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https://applieden-my.sharepoint.com/personal/dbrown_aemcorp_com/Documents/Projects/CEDS/CEDS_2019/Updating CEDS Versions/Upload Files/"/>
    </mc:Choice>
  </mc:AlternateContent>
  <xr:revisionPtr revIDLastSave="32" documentId="8_{DD304E42-94C8-402F-B2A2-DBE84F446CC1}" xr6:coauthVersionLast="47" xr6:coauthVersionMax="47" xr10:uidLastSave="{3F8A0D7F-1B0B-44DA-9330-874AECA973A8}"/>
  <bookViews>
    <workbookView xWindow="-108" yWindow="-108" windowWidth="23256" windowHeight="12576" activeTab="4" xr2:uid="{00000000-000D-0000-FFFF-FFFF00000000}"/>
  </bookViews>
  <sheets>
    <sheet name="New" sheetId="11" r:id="rId1"/>
    <sheet name="Changed" sheetId="12" r:id="rId2"/>
    <sheet name="All - By Name" sheetId="17" r:id="rId3"/>
    <sheet name="All - By Domain" sheetId="16" r:id="rId4"/>
    <sheet name="Extend Elements" sheetId="18" r:id="rId5"/>
  </sheets>
  <definedNames>
    <definedName name="_xlnm._FilterDatabase" localSheetId="3" hidden="1">'All - By Domain'!$A$1:$Q$1</definedName>
    <definedName name="_xlnm._FilterDatabase" localSheetId="2" hidden="1">'All - By Name'!$A$1:$M$1</definedName>
    <definedName name="_xlnm._FilterDatabase" localSheetId="1" hidden="1">Changed!$A$1:$M$1</definedName>
    <definedName name="_xlnm._FilterDatabase" localSheetId="0" hidden="1">New!$A$1:$M$1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 i="16" l="1"/>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P1265" i="16"/>
  <c r="P1266" i="16"/>
  <c r="P1267" i="16"/>
  <c r="P1268" i="16"/>
  <c r="P1269" i="16"/>
  <c r="P1270" i="16"/>
  <c r="P1271" i="16"/>
  <c r="P1272" i="16"/>
  <c r="P1273" i="16"/>
  <c r="P1274" i="16"/>
  <c r="P1275" i="16"/>
  <c r="P1276" i="16"/>
  <c r="P1277" i="16"/>
  <c r="P1278" i="16"/>
  <c r="P1279" i="16"/>
  <c r="P1280" i="16"/>
  <c r="P1281" i="16"/>
  <c r="P1282" i="16"/>
  <c r="P1283" i="16"/>
  <c r="P1284" i="16"/>
  <c r="P1285" i="16"/>
  <c r="P1286" i="16"/>
  <c r="P1287" i="16"/>
  <c r="P1288" i="16"/>
  <c r="P1289" i="16"/>
  <c r="P1290" i="16"/>
  <c r="P1291" i="16"/>
  <c r="P1292" i="16"/>
  <c r="P1293" i="16"/>
  <c r="P1294" i="16"/>
  <c r="P1295" i="16"/>
  <c r="P1296" i="16"/>
  <c r="P1297" i="16"/>
  <c r="P1298" i="16"/>
  <c r="P1299" i="16"/>
  <c r="P1300" i="16"/>
  <c r="P1301" i="16"/>
  <c r="P1302" i="16"/>
  <c r="P1303" i="16"/>
  <c r="P1304" i="16"/>
  <c r="P1305" i="16"/>
  <c r="P1306" i="16"/>
  <c r="P1307" i="16"/>
  <c r="P1308" i="16"/>
  <c r="P1309" i="16"/>
  <c r="P1310" i="16"/>
  <c r="P1311" i="16"/>
  <c r="P1312" i="16"/>
  <c r="P1313" i="16"/>
  <c r="P1314" i="16"/>
  <c r="P1315" i="16"/>
  <c r="P1316" i="16"/>
  <c r="P1317" i="16"/>
  <c r="P1318" i="16"/>
  <c r="P1319" i="16"/>
  <c r="P1320" i="16"/>
  <c r="P1321" i="16"/>
  <c r="P1322" i="16"/>
  <c r="P1323" i="16"/>
  <c r="P1324" i="16"/>
  <c r="P1325" i="16"/>
  <c r="P1326" i="16"/>
  <c r="P1327" i="16"/>
  <c r="P1328" i="16"/>
  <c r="P1329" i="16"/>
  <c r="P1330" i="16"/>
  <c r="P1331" i="16"/>
  <c r="P1332" i="16"/>
  <c r="P1333" i="16"/>
  <c r="P1334" i="16"/>
  <c r="P1335" i="16"/>
  <c r="P1336" i="16"/>
  <c r="P1337" i="16"/>
  <c r="P1338" i="16"/>
  <c r="P1339" i="16"/>
  <c r="P1340" i="16"/>
  <c r="P1341" i="16"/>
  <c r="P1342" i="16"/>
  <c r="P1343" i="16"/>
  <c r="P1344" i="16"/>
  <c r="P1345" i="16"/>
  <c r="P1346" i="16"/>
  <c r="P1347" i="16"/>
  <c r="P1348" i="16"/>
  <c r="P1349" i="16"/>
  <c r="P1350" i="16"/>
  <c r="P1351" i="16"/>
  <c r="P1352" i="16"/>
  <c r="P1353" i="16"/>
  <c r="P1354" i="16"/>
  <c r="P1355" i="16"/>
  <c r="P1356" i="16"/>
  <c r="P1357" i="16"/>
  <c r="P1358" i="16"/>
  <c r="P1359" i="16"/>
  <c r="P1360" i="16"/>
  <c r="P1361" i="16"/>
  <c r="P1362" i="16"/>
  <c r="P1363" i="16"/>
  <c r="P1364" i="16"/>
  <c r="P1365" i="16"/>
  <c r="P1366" i="16"/>
  <c r="P1367" i="16"/>
  <c r="P1368" i="16"/>
  <c r="P1369" i="16"/>
  <c r="P1370" i="16"/>
  <c r="P1371" i="16"/>
  <c r="P1372" i="16"/>
  <c r="P1373" i="16"/>
  <c r="P1374" i="16"/>
  <c r="P1375" i="16"/>
  <c r="P1376" i="16"/>
  <c r="P1377" i="16"/>
  <c r="P1378" i="16"/>
  <c r="P1379" i="16"/>
  <c r="P1380" i="16"/>
  <c r="P1381" i="16"/>
  <c r="P1382" i="16"/>
  <c r="P1383" i="16"/>
  <c r="P1384" i="16"/>
  <c r="P1385" i="16"/>
  <c r="P1386" i="16"/>
  <c r="P1387" i="16"/>
  <c r="P1388" i="16"/>
  <c r="P1389" i="16"/>
  <c r="P1390" i="16"/>
  <c r="P1391" i="16"/>
  <c r="P1392" i="16"/>
  <c r="P1393" i="16"/>
  <c r="P1394" i="16"/>
  <c r="P1395" i="16"/>
  <c r="P1396" i="16"/>
  <c r="P1397" i="16"/>
  <c r="P1398" i="16"/>
  <c r="P1399" i="16"/>
  <c r="P1400" i="16"/>
  <c r="P1401" i="16"/>
  <c r="P1402" i="16"/>
  <c r="P1403" i="16"/>
  <c r="P1404" i="16"/>
  <c r="P1405" i="16"/>
  <c r="P1406" i="16"/>
  <c r="P1407" i="16"/>
  <c r="P1408" i="16"/>
  <c r="P1409" i="16"/>
  <c r="P1410" i="16"/>
  <c r="P1411" i="16"/>
  <c r="P1412" i="16"/>
  <c r="P1413" i="16"/>
  <c r="P1414" i="16"/>
  <c r="P1415" i="16"/>
  <c r="P1416" i="16"/>
  <c r="P1417" i="16"/>
  <c r="P1418" i="16"/>
  <c r="P1419" i="16"/>
  <c r="P1420" i="16"/>
  <c r="P1421" i="16"/>
  <c r="P1422" i="16"/>
  <c r="P1423" i="16"/>
  <c r="P1424" i="16"/>
  <c r="P1425" i="16"/>
  <c r="P1426" i="16"/>
  <c r="P1427" i="16"/>
  <c r="P1428" i="16"/>
  <c r="P1429" i="16"/>
  <c r="P1430" i="16"/>
  <c r="P1431" i="16"/>
  <c r="P1432" i="16"/>
  <c r="P1433" i="16"/>
  <c r="P1434" i="16"/>
  <c r="P1435" i="16"/>
  <c r="P1436" i="16"/>
  <c r="P1437" i="16"/>
  <c r="P1438" i="16"/>
  <c r="P1439" i="16"/>
  <c r="P1440" i="16"/>
  <c r="P1441" i="16"/>
  <c r="P1442" i="16"/>
  <c r="P1443" i="16"/>
  <c r="P1444" i="16"/>
  <c r="P1445" i="16"/>
  <c r="P1446" i="16"/>
  <c r="P1447" i="16"/>
  <c r="P1448" i="16"/>
  <c r="P1449" i="16"/>
  <c r="P1450" i="16"/>
  <c r="P1451" i="16"/>
  <c r="P1452" i="16"/>
  <c r="P1453" i="16"/>
  <c r="P1454" i="16"/>
  <c r="P1455" i="16"/>
  <c r="P1456" i="16"/>
  <c r="P1457" i="16"/>
  <c r="P1458" i="16"/>
  <c r="P1459" i="16"/>
  <c r="P1460" i="16"/>
  <c r="P1461" i="16"/>
  <c r="P1462" i="16"/>
  <c r="P1463" i="16"/>
  <c r="P1464" i="16"/>
  <c r="P1465" i="16"/>
  <c r="P1466" i="16"/>
  <c r="P1467" i="16"/>
  <c r="P1468" i="16"/>
  <c r="P1469" i="16"/>
  <c r="P1470" i="16"/>
  <c r="P1471" i="16"/>
  <c r="P1472" i="16"/>
  <c r="P1473" i="16"/>
  <c r="P1474" i="16"/>
  <c r="P1475" i="16"/>
  <c r="P1476" i="16"/>
  <c r="P1477" i="16"/>
  <c r="P1478" i="16"/>
  <c r="P1479" i="16"/>
  <c r="P1480" i="16"/>
  <c r="P1481" i="16"/>
  <c r="P1482" i="16"/>
  <c r="P1483" i="16"/>
  <c r="P1484" i="16"/>
  <c r="P1485" i="16"/>
  <c r="P1486" i="16"/>
  <c r="P1487" i="16"/>
  <c r="P1488" i="16"/>
  <c r="P1489" i="16"/>
  <c r="P1490" i="16"/>
  <c r="P1491" i="16"/>
  <c r="P1492" i="16"/>
  <c r="P1493" i="16"/>
  <c r="P1494" i="16"/>
  <c r="P1495" i="16"/>
  <c r="P1496" i="16"/>
  <c r="P1497" i="16"/>
  <c r="P1498" i="16"/>
  <c r="P1499" i="16"/>
  <c r="P1500" i="16"/>
  <c r="P1501" i="16"/>
  <c r="P1502" i="16"/>
  <c r="P1503" i="16"/>
  <c r="P1504" i="16"/>
  <c r="P1505" i="16"/>
  <c r="P1506" i="16"/>
  <c r="P1507" i="16"/>
  <c r="P1508" i="16"/>
  <c r="P1509" i="16"/>
  <c r="P1510" i="16"/>
  <c r="P1511" i="16"/>
  <c r="P1512" i="16"/>
  <c r="P1513" i="16"/>
  <c r="P1514" i="16"/>
  <c r="P1515" i="16"/>
  <c r="P1516" i="16"/>
  <c r="P1517" i="16"/>
  <c r="P1518" i="16"/>
  <c r="P1519" i="16"/>
  <c r="P1520" i="16"/>
  <c r="P1521" i="16"/>
  <c r="P1522" i="16"/>
  <c r="P1523" i="16"/>
  <c r="P1524" i="16"/>
  <c r="P1525" i="16"/>
  <c r="P1526" i="16"/>
  <c r="P1527" i="16"/>
  <c r="P1528" i="16"/>
  <c r="P1529" i="16"/>
  <c r="P1530" i="16"/>
  <c r="P1531" i="16"/>
  <c r="P1532" i="16"/>
  <c r="P1533" i="16"/>
  <c r="P1534" i="16"/>
  <c r="P1535" i="16"/>
  <c r="P1536" i="16"/>
  <c r="P1537" i="16"/>
  <c r="P1538" i="16"/>
  <c r="P1539" i="16"/>
  <c r="P1540" i="16"/>
  <c r="P1541" i="16"/>
  <c r="P1542" i="16"/>
  <c r="P1543" i="16"/>
  <c r="P1544" i="16"/>
  <c r="P1545" i="16"/>
  <c r="P1546" i="16"/>
  <c r="P1547" i="16"/>
  <c r="P1548" i="16"/>
  <c r="P1549" i="16"/>
  <c r="P1550" i="16"/>
  <c r="P1551" i="16"/>
  <c r="P1552" i="16"/>
  <c r="P1553" i="16"/>
  <c r="P1554" i="16"/>
  <c r="P1555" i="16"/>
  <c r="P1556" i="16"/>
  <c r="P1557" i="16"/>
  <c r="P1558" i="16"/>
  <c r="P1559" i="16"/>
  <c r="P1560" i="16"/>
  <c r="P1561" i="16"/>
  <c r="P1562" i="16"/>
  <c r="P1563" i="16"/>
  <c r="P1564" i="16"/>
  <c r="P1565" i="16"/>
  <c r="P1566" i="16"/>
  <c r="P1567" i="16"/>
  <c r="P1568" i="16"/>
  <c r="P1569" i="16"/>
  <c r="P1570" i="16"/>
  <c r="P1571" i="16"/>
  <c r="P1572" i="16"/>
  <c r="P1573" i="16"/>
  <c r="P1574" i="16"/>
  <c r="P1575" i="16"/>
  <c r="P1576" i="16"/>
  <c r="P1577" i="16"/>
  <c r="P1578" i="16"/>
  <c r="P1579" i="16"/>
  <c r="P1580" i="16"/>
  <c r="P1581" i="16"/>
  <c r="P1582" i="16"/>
  <c r="P1583" i="16"/>
  <c r="P1584" i="16"/>
  <c r="P1585" i="16"/>
  <c r="P1586" i="16"/>
  <c r="P1587" i="16"/>
  <c r="P1588" i="16"/>
  <c r="P1589" i="16"/>
  <c r="P1590" i="16"/>
  <c r="P1591" i="16"/>
  <c r="P1592" i="16"/>
  <c r="P1593" i="16"/>
  <c r="P1594" i="16"/>
  <c r="P1595" i="16"/>
  <c r="P1596" i="16"/>
  <c r="P1597" i="16"/>
  <c r="P1598" i="16"/>
  <c r="P1599" i="16"/>
  <c r="P1600" i="16"/>
  <c r="P1601" i="16"/>
  <c r="P1602" i="16"/>
  <c r="P1603" i="16"/>
  <c r="P1604" i="16"/>
  <c r="P1605" i="16"/>
  <c r="P1606" i="16"/>
  <c r="P1607" i="16"/>
  <c r="P1608" i="16"/>
  <c r="P1609" i="16"/>
  <c r="P1610" i="16"/>
  <c r="P1611" i="16"/>
  <c r="P1612" i="16"/>
  <c r="P1613" i="16"/>
  <c r="P1614" i="16"/>
  <c r="P1615" i="16"/>
  <c r="P1616" i="16"/>
  <c r="P1617" i="16"/>
  <c r="P1618" i="16"/>
  <c r="P1619" i="16"/>
  <c r="P1620" i="16"/>
  <c r="P1621" i="16"/>
  <c r="P1622" i="16"/>
  <c r="P1623" i="16"/>
  <c r="P1624" i="16"/>
  <c r="P1625" i="16"/>
  <c r="P1626" i="16"/>
  <c r="P1627" i="16"/>
  <c r="P1628" i="16"/>
  <c r="P1629" i="16"/>
  <c r="P1630" i="16"/>
  <c r="P1631" i="16"/>
  <c r="P1632" i="16"/>
  <c r="P1633" i="16"/>
  <c r="P1634" i="16"/>
  <c r="P1635" i="16"/>
  <c r="P1636" i="16"/>
  <c r="P1637" i="16"/>
  <c r="P1638" i="16"/>
  <c r="P1639" i="16"/>
  <c r="P1640" i="16"/>
  <c r="P1641" i="16"/>
  <c r="P1642" i="16"/>
  <c r="P1643" i="16"/>
  <c r="P1644" i="16"/>
  <c r="P1645" i="16"/>
  <c r="P1646" i="16"/>
  <c r="P1647" i="16"/>
  <c r="P1648" i="16"/>
  <c r="P1649" i="16"/>
  <c r="P1650" i="16"/>
  <c r="P1651" i="16"/>
  <c r="P1652" i="16"/>
  <c r="P1653" i="16"/>
  <c r="P1654" i="16"/>
  <c r="P1655" i="16"/>
  <c r="P1656" i="16"/>
  <c r="P1657" i="16"/>
  <c r="P1658" i="16"/>
  <c r="P1659" i="16"/>
  <c r="P1660" i="16"/>
  <c r="P1661" i="16"/>
  <c r="P1662" i="16"/>
  <c r="P1663" i="16"/>
  <c r="P1664" i="16"/>
  <c r="P1665" i="16"/>
  <c r="P1666" i="16"/>
  <c r="P1667" i="16"/>
  <c r="P1668" i="16"/>
  <c r="P1669" i="16"/>
  <c r="P1670" i="16"/>
  <c r="P1671" i="16"/>
  <c r="P1672" i="16"/>
  <c r="P1673" i="16"/>
  <c r="P1674" i="16"/>
  <c r="P1675" i="16"/>
  <c r="P1676" i="16"/>
  <c r="P1677" i="16"/>
  <c r="P1678" i="16"/>
  <c r="P1679" i="16"/>
  <c r="P1680" i="16"/>
  <c r="P1681" i="16"/>
  <c r="P1682" i="16"/>
  <c r="P1683" i="16"/>
  <c r="P1684" i="16"/>
  <c r="P1685" i="16"/>
  <c r="P1686" i="16"/>
  <c r="P1687" i="16"/>
  <c r="P1688" i="16"/>
  <c r="P1689" i="16"/>
  <c r="P1690" i="16"/>
  <c r="P1691" i="16"/>
  <c r="P1692" i="16"/>
  <c r="P1693" i="16"/>
  <c r="P1694" i="16"/>
  <c r="P1695" i="16"/>
  <c r="P1696" i="16"/>
  <c r="P1697" i="16"/>
  <c r="P1698" i="16"/>
  <c r="P1699" i="16"/>
  <c r="P1700" i="16"/>
  <c r="P1701" i="16"/>
  <c r="P1702" i="16"/>
  <c r="P1703" i="16"/>
  <c r="P1704" i="16"/>
  <c r="P1705" i="16"/>
  <c r="P1706" i="16"/>
  <c r="P1707" i="16"/>
  <c r="P1708" i="16"/>
  <c r="P1709" i="16"/>
  <c r="P1710" i="16"/>
  <c r="P1711" i="16"/>
  <c r="P1712" i="16"/>
  <c r="P1713" i="16"/>
  <c r="P1714" i="16"/>
  <c r="P1715" i="16"/>
  <c r="P1716" i="16"/>
  <c r="P1717" i="16"/>
  <c r="P1718" i="16"/>
  <c r="P1719" i="16"/>
  <c r="P1720" i="16"/>
  <c r="P1721" i="16"/>
  <c r="P1722" i="16"/>
  <c r="P1723" i="16"/>
  <c r="P1724" i="16"/>
  <c r="P1725" i="16"/>
  <c r="P1726" i="16"/>
  <c r="P1727" i="16"/>
  <c r="P1728" i="16"/>
  <c r="P1729" i="16"/>
  <c r="P1730" i="16"/>
  <c r="P1731" i="16"/>
  <c r="P1732" i="16"/>
  <c r="P1733" i="16"/>
  <c r="P1734" i="16"/>
  <c r="P1735" i="16"/>
  <c r="P1736" i="16"/>
  <c r="P1737" i="16"/>
  <c r="P1738" i="16"/>
  <c r="P1739" i="16"/>
  <c r="P1740" i="16"/>
  <c r="P1741" i="16"/>
  <c r="P1742" i="16"/>
  <c r="P1743" i="16"/>
  <c r="P1744" i="16"/>
  <c r="P1745" i="16"/>
  <c r="P1746" i="16"/>
  <c r="P1747" i="16"/>
  <c r="P1748" i="16"/>
  <c r="P1749" i="16"/>
  <c r="P1750" i="16"/>
  <c r="P1751" i="16"/>
  <c r="P1752" i="16"/>
  <c r="P1753" i="16"/>
  <c r="P1754" i="16"/>
  <c r="P1755" i="16"/>
  <c r="P1756" i="16"/>
  <c r="P1757" i="16"/>
  <c r="P1758" i="16"/>
  <c r="P1759" i="16"/>
  <c r="P1760" i="16"/>
  <c r="P1761" i="16"/>
  <c r="P1762" i="16"/>
  <c r="P1763" i="16"/>
  <c r="P1764" i="16"/>
  <c r="P1765" i="16"/>
  <c r="P1766" i="16"/>
  <c r="P1767" i="16"/>
  <c r="P1768" i="16"/>
  <c r="P1769" i="16"/>
  <c r="P1770" i="16"/>
  <c r="P1771" i="16"/>
  <c r="P1772" i="16"/>
  <c r="P1773" i="16"/>
  <c r="P1774" i="16"/>
  <c r="P1775" i="16"/>
  <c r="P1776" i="16"/>
  <c r="P1777" i="16"/>
  <c r="P1778" i="16"/>
  <c r="P1779" i="16"/>
  <c r="P1780" i="16"/>
  <c r="P1781" i="16"/>
  <c r="P1782" i="16"/>
  <c r="P1783" i="16"/>
  <c r="P1784" i="16"/>
  <c r="P1785" i="16"/>
  <c r="P1786" i="16"/>
  <c r="P1787" i="16"/>
  <c r="P1788" i="16"/>
  <c r="P1789" i="16"/>
  <c r="P1790" i="16"/>
  <c r="P1791" i="16"/>
  <c r="P1792" i="16"/>
  <c r="P1793" i="16"/>
  <c r="P1794" i="16"/>
  <c r="P1795" i="16"/>
  <c r="P1796" i="16"/>
  <c r="P1797" i="16"/>
  <c r="P1798" i="16"/>
  <c r="P1799" i="16"/>
  <c r="P1800" i="16"/>
  <c r="P1801" i="16"/>
  <c r="P1802" i="16"/>
  <c r="P1803" i="16"/>
  <c r="P1804" i="16"/>
  <c r="P1805" i="16"/>
  <c r="P1806" i="16"/>
  <c r="P1807" i="16"/>
  <c r="P1808" i="16"/>
  <c r="P1809" i="16"/>
  <c r="P1810" i="16"/>
  <c r="P1811" i="16"/>
  <c r="P1812" i="16"/>
  <c r="P1813" i="16"/>
  <c r="P1814" i="16"/>
  <c r="P1815" i="16"/>
  <c r="P1816" i="16"/>
  <c r="P1817" i="16"/>
  <c r="P1818" i="16"/>
  <c r="P1819" i="16"/>
  <c r="P1820" i="16"/>
  <c r="P1821" i="16"/>
  <c r="P1822" i="16"/>
  <c r="P1823" i="16"/>
  <c r="P1824" i="16"/>
  <c r="P1825" i="16"/>
  <c r="P1826" i="16"/>
  <c r="P1827" i="16"/>
  <c r="P1828" i="16"/>
  <c r="P1829" i="16"/>
  <c r="P1830" i="16"/>
  <c r="P1831" i="16"/>
  <c r="P1832" i="16"/>
  <c r="P1833" i="16"/>
  <c r="P1834" i="16"/>
  <c r="P1835" i="16"/>
  <c r="P1836" i="16"/>
  <c r="P1837" i="16"/>
  <c r="P1838" i="16"/>
  <c r="P1839" i="16"/>
  <c r="P1840" i="16"/>
  <c r="P1841" i="16"/>
  <c r="P1842" i="16"/>
  <c r="P1843" i="16"/>
  <c r="P1844" i="16"/>
  <c r="P1845" i="16"/>
  <c r="P1846" i="16"/>
  <c r="P1847" i="16"/>
  <c r="P1848" i="16"/>
  <c r="P1849" i="16"/>
  <c r="P1850" i="16"/>
  <c r="P1851" i="16"/>
  <c r="P1852" i="16"/>
  <c r="P1853" i="16"/>
  <c r="P1854" i="16"/>
  <c r="P1855" i="16"/>
  <c r="P1856" i="16"/>
  <c r="P1857" i="16"/>
  <c r="P1858" i="16"/>
  <c r="P1859" i="16"/>
  <c r="P1860" i="16"/>
  <c r="P1861" i="16"/>
  <c r="P1862" i="16"/>
  <c r="P1863" i="16"/>
  <c r="P1864" i="16"/>
  <c r="P1865" i="16"/>
  <c r="P1866" i="16"/>
  <c r="P1867" i="16"/>
  <c r="P1868" i="16"/>
  <c r="P1869" i="16"/>
  <c r="P1870" i="16"/>
  <c r="P1871" i="16"/>
  <c r="P1872" i="16"/>
  <c r="P1873" i="16"/>
  <c r="P1874" i="16"/>
  <c r="P1875" i="16"/>
  <c r="P1876" i="16"/>
  <c r="P1877" i="16"/>
  <c r="P1878" i="16"/>
  <c r="P1879" i="16"/>
  <c r="P1880" i="16"/>
  <c r="P1881" i="16"/>
  <c r="P1882" i="16"/>
  <c r="P1883" i="16"/>
  <c r="P1884" i="16"/>
  <c r="P1885" i="16"/>
  <c r="P1886" i="16"/>
  <c r="P1887" i="16"/>
  <c r="P1888" i="16"/>
  <c r="P1889" i="16"/>
  <c r="P1890" i="16"/>
  <c r="P1891" i="16"/>
  <c r="P1892" i="16"/>
  <c r="P1893" i="16"/>
  <c r="P1894" i="16"/>
  <c r="P1895" i="16"/>
  <c r="P1896" i="16"/>
  <c r="P1897" i="16"/>
  <c r="P1898" i="16"/>
  <c r="P1899" i="16"/>
  <c r="P1900" i="16"/>
  <c r="P1901" i="16"/>
  <c r="P1902" i="16"/>
  <c r="P1903" i="16"/>
  <c r="P1904" i="16"/>
  <c r="P1905" i="16"/>
  <c r="P1906" i="16"/>
  <c r="P1907" i="16"/>
  <c r="P1908" i="16"/>
  <c r="P1909" i="16"/>
  <c r="P1910" i="16"/>
  <c r="P1911" i="16"/>
  <c r="P1912" i="16"/>
  <c r="P1913" i="16"/>
  <c r="P1914" i="16"/>
  <c r="P1915" i="16"/>
  <c r="P1916" i="16"/>
  <c r="P1917" i="16"/>
  <c r="P1918" i="16"/>
  <c r="P1919" i="16"/>
  <c r="P1920" i="16"/>
  <c r="P1921" i="16"/>
  <c r="P1922" i="16"/>
  <c r="P1923" i="16"/>
  <c r="P1924" i="16"/>
  <c r="P1925" i="16"/>
  <c r="P1926" i="16"/>
  <c r="P1927" i="16"/>
  <c r="P1928" i="16"/>
  <c r="P1929" i="16"/>
  <c r="P1930" i="16"/>
  <c r="P1931" i="16"/>
  <c r="P1932" i="16"/>
  <c r="P1933" i="16"/>
  <c r="P1934" i="16"/>
  <c r="P1935" i="16"/>
  <c r="P1936" i="16"/>
  <c r="P1937" i="16"/>
  <c r="P1938" i="16"/>
  <c r="P1939" i="16"/>
  <c r="P1940" i="16"/>
  <c r="P1941" i="16"/>
  <c r="P1942" i="16"/>
  <c r="P1943" i="16"/>
  <c r="P1944" i="16"/>
  <c r="P1945" i="16"/>
  <c r="P1946" i="16"/>
  <c r="P1947" i="16"/>
  <c r="P1948" i="16"/>
  <c r="P1949" i="16"/>
  <c r="P1950" i="16"/>
  <c r="P1951" i="16"/>
  <c r="P1952" i="16"/>
  <c r="P1953" i="16"/>
  <c r="P1954" i="16"/>
  <c r="P1955" i="16"/>
  <c r="P1956" i="16"/>
  <c r="P1957" i="16"/>
  <c r="P1958" i="16"/>
  <c r="P1959" i="16"/>
  <c r="P1960" i="16"/>
  <c r="P1961" i="16"/>
  <c r="P1962" i="16"/>
  <c r="P1963" i="16"/>
  <c r="P1964" i="16"/>
  <c r="P1965" i="16"/>
  <c r="P1966" i="16"/>
  <c r="P1967" i="16"/>
  <c r="P1968" i="16"/>
  <c r="P1969" i="16"/>
  <c r="P1970" i="16"/>
  <c r="P1971" i="16"/>
  <c r="P1972" i="16"/>
  <c r="P1973" i="16"/>
  <c r="P1974" i="16"/>
  <c r="P1975" i="16"/>
  <c r="P1976" i="16"/>
  <c r="P1977" i="16"/>
  <c r="P1978" i="16"/>
  <c r="P1979" i="16"/>
  <c r="P1980" i="16"/>
  <c r="P1981" i="16"/>
  <c r="P1982" i="16"/>
  <c r="P1983" i="16"/>
  <c r="P1984" i="16"/>
  <c r="P1985" i="16"/>
  <c r="P1986" i="16"/>
  <c r="P1987" i="16"/>
  <c r="P1988" i="16"/>
  <c r="P1989" i="16"/>
  <c r="P1990" i="16"/>
  <c r="P1991" i="16"/>
  <c r="P1992" i="16"/>
  <c r="P1993" i="16"/>
  <c r="P1994" i="16"/>
  <c r="P1995" i="16"/>
  <c r="P1996" i="16"/>
  <c r="P1997" i="16"/>
  <c r="P1998" i="16"/>
  <c r="P1999" i="16"/>
  <c r="P2000" i="16"/>
  <c r="P2001" i="16"/>
  <c r="P2002" i="16"/>
  <c r="P2003" i="16"/>
  <c r="P2004" i="16"/>
  <c r="P2005" i="16"/>
  <c r="P2006" i="16"/>
  <c r="P2007" i="16"/>
  <c r="P2008" i="16"/>
  <c r="P2009" i="16"/>
  <c r="P2010" i="16"/>
  <c r="P2011" i="16"/>
  <c r="P2012" i="16"/>
  <c r="P2013" i="16"/>
  <c r="P2014" i="16"/>
  <c r="P2015" i="16"/>
  <c r="P2016" i="16"/>
  <c r="P2017" i="16"/>
  <c r="P2018" i="16"/>
  <c r="P2019" i="16"/>
  <c r="P2020" i="16"/>
  <c r="P2021" i="16"/>
  <c r="P2022" i="16"/>
  <c r="P2023" i="16"/>
  <c r="P2024" i="16"/>
  <c r="P2025" i="16"/>
  <c r="P2026" i="16"/>
  <c r="P2027" i="16"/>
  <c r="P2028" i="16"/>
  <c r="P2029" i="16"/>
  <c r="P2030" i="16"/>
  <c r="P2031" i="16"/>
  <c r="P2032" i="16"/>
  <c r="P2033" i="16"/>
  <c r="P2034" i="16"/>
  <c r="P2035" i="16"/>
  <c r="P2036" i="16"/>
  <c r="P2037" i="16"/>
  <c r="P2038" i="16"/>
  <c r="P2039" i="16"/>
  <c r="P2040" i="16"/>
  <c r="P2041" i="16"/>
  <c r="P2042" i="16"/>
  <c r="P2043" i="16"/>
  <c r="P2044" i="16"/>
  <c r="P2045" i="16"/>
  <c r="P2046" i="16"/>
  <c r="P2047" i="16"/>
  <c r="P2048" i="16"/>
  <c r="P2049" i="16"/>
  <c r="P2050" i="16"/>
  <c r="P2051" i="16"/>
  <c r="P2052" i="16"/>
  <c r="P2053" i="16"/>
  <c r="P2054" i="16"/>
  <c r="P2055" i="16"/>
  <c r="P2056" i="16"/>
  <c r="P2057" i="16"/>
  <c r="P2058" i="16"/>
  <c r="P2059" i="16"/>
  <c r="P2060" i="16"/>
  <c r="P2061" i="16"/>
  <c r="P2062" i="16"/>
  <c r="P2063" i="16"/>
  <c r="P2064" i="16"/>
  <c r="P2065" i="16"/>
  <c r="P2066" i="16"/>
  <c r="P2067" i="16"/>
  <c r="P2068" i="16"/>
  <c r="P2069" i="16"/>
  <c r="P2070" i="16"/>
  <c r="P2071" i="16"/>
  <c r="P2072" i="16"/>
  <c r="P2073" i="16"/>
  <c r="P2074" i="16"/>
  <c r="P2075" i="16"/>
  <c r="P2076" i="16"/>
  <c r="P2077" i="16"/>
  <c r="P2078" i="16"/>
  <c r="P2079" i="16"/>
  <c r="P2080" i="16"/>
  <c r="P2081" i="16"/>
  <c r="P2082" i="16"/>
  <c r="P2083" i="16"/>
  <c r="P2084" i="16"/>
  <c r="P2085" i="16"/>
  <c r="P2086" i="16"/>
  <c r="P2087" i="16"/>
  <c r="P2088" i="16"/>
  <c r="P2089" i="16"/>
  <c r="P2090" i="16"/>
  <c r="P2091" i="16"/>
  <c r="P2092" i="16"/>
  <c r="P2093" i="16"/>
  <c r="P2094" i="16"/>
  <c r="P2095" i="16"/>
  <c r="P2096" i="16"/>
  <c r="P2097" i="16"/>
  <c r="P2098" i="16"/>
  <c r="P2099" i="16"/>
  <c r="P2100" i="16"/>
  <c r="P2101" i="16"/>
  <c r="P2102" i="16"/>
  <c r="P2103" i="16"/>
  <c r="P2104" i="16"/>
  <c r="P2105" i="16"/>
  <c r="P2106" i="16"/>
  <c r="P2107" i="16"/>
  <c r="P2108" i="16"/>
  <c r="P2109" i="16"/>
  <c r="P2110" i="16"/>
  <c r="P2111" i="16"/>
  <c r="P2112" i="16"/>
  <c r="P2113" i="16"/>
  <c r="P2114" i="16"/>
  <c r="P2115" i="16"/>
  <c r="P2116" i="16"/>
  <c r="P2117" i="16"/>
  <c r="P2118" i="16"/>
  <c r="P2119" i="16"/>
  <c r="P2120" i="16"/>
  <c r="P2121" i="16"/>
  <c r="P2122" i="16"/>
  <c r="P2123" i="16"/>
  <c r="P2124" i="16"/>
  <c r="P2125" i="16"/>
  <c r="P2126" i="16"/>
  <c r="P2127" i="16"/>
  <c r="P2128" i="16"/>
  <c r="P2129" i="16"/>
  <c r="P2130" i="16"/>
  <c r="P2131" i="16"/>
  <c r="P2132" i="16"/>
  <c r="P2133" i="16"/>
  <c r="P2134" i="16"/>
  <c r="P2135" i="16"/>
  <c r="P2136" i="16"/>
  <c r="P2137" i="16"/>
  <c r="P2138" i="16"/>
  <c r="P2139" i="16"/>
  <c r="P2140" i="16"/>
  <c r="P2141" i="16"/>
  <c r="P2142" i="16"/>
  <c r="P2143" i="16"/>
  <c r="P2144" i="16"/>
  <c r="P2145" i="16"/>
  <c r="P2146" i="16"/>
  <c r="P2147" i="16"/>
  <c r="P2148" i="16"/>
  <c r="P2149" i="16"/>
  <c r="P2150" i="16"/>
  <c r="P2151" i="16"/>
  <c r="P2152" i="16"/>
  <c r="P2153" i="16"/>
  <c r="P2154" i="16"/>
  <c r="P2155" i="16"/>
  <c r="P2156" i="16"/>
  <c r="P2157" i="16"/>
  <c r="P2158" i="16"/>
  <c r="P2159" i="16"/>
  <c r="P2160" i="16"/>
  <c r="P2161" i="16"/>
  <c r="P2162" i="16"/>
  <c r="P2163" i="16"/>
  <c r="P2164" i="16"/>
  <c r="P2165" i="16"/>
  <c r="P2166" i="16"/>
  <c r="P2167" i="16"/>
  <c r="P2168" i="16"/>
  <c r="P2169" i="16"/>
  <c r="P2170" i="16"/>
  <c r="P2171" i="16"/>
  <c r="P2172" i="16"/>
  <c r="P2173" i="16"/>
  <c r="P2174" i="16"/>
  <c r="P2175" i="16"/>
  <c r="P2176" i="16"/>
  <c r="P2177" i="16"/>
  <c r="P2178" i="16"/>
  <c r="P2179" i="16"/>
  <c r="P2180" i="16"/>
  <c r="P2181" i="16"/>
  <c r="P2182" i="16"/>
  <c r="P2183" i="16"/>
  <c r="P2184" i="16"/>
  <c r="P2185" i="16"/>
  <c r="P2186" i="16"/>
  <c r="P2187" i="16"/>
  <c r="P2188" i="16"/>
  <c r="P2189" i="16"/>
  <c r="P2190" i="16"/>
  <c r="P2191" i="16"/>
  <c r="P2192" i="16"/>
  <c r="P2193" i="16"/>
  <c r="P2194" i="16"/>
  <c r="P2195" i="16"/>
  <c r="P2196" i="16"/>
  <c r="P2197" i="16"/>
  <c r="P2198" i="16"/>
  <c r="P2199" i="16"/>
  <c r="P2200" i="16"/>
  <c r="P2201" i="16"/>
  <c r="P2202" i="16"/>
  <c r="P2203" i="16"/>
  <c r="P2204" i="16"/>
  <c r="P2205" i="16"/>
  <c r="P2206" i="16"/>
  <c r="P2207" i="16"/>
  <c r="P2208" i="16"/>
  <c r="P2209" i="16"/>
  <c r="P2210" i="16"/>
  <c r="P2211" i="16"/>
  <c r="P2212" i="16"/>
  <c r="P2213" i="16"/>
  <c r="P2214" i="16"/>
  <c r="P2215" i="16"/>
  <c r="P2216" i="16"/>
  <c r="P2217" i="16"/>
  <c r="P2218" i="16"/>
  <c r="P2219" i="16"/>
  <c r="P2220" i="16"/>
  <c r="P2221" i="16"/>
  <c r="P2222" i="16"/>
  <c r="P2223" i="16"/>
  <c r="P2224" i="16"/>
  <c r="P2225" i="16"/>
  <c r="P2226" i="16"/>
  <c r="P2227" i="16"/>
  <c r="P2228" i="16"/>
  <c r="P2229" i="16"/>
  <c r="P2230" i="16"/>
  <c r="P2231" i="16"/>
  <c r="P2232" i="16"/>
  <c r="P2233" i="16"/>
  <c r="P2234" i="16"/>
  <c r="P2235" i="16"/>
  <c r="P2236" i="16"/>
  <c r="P2237" i="16"/>
  <c r="P2238" i="16"/>
  <c r="P2239" i="16"/>
  <c r="P2240" i="16"/>
  <c r="P2241" i="16"/>
  <c r="P2242" i="16"/>
  <c r="P2243" i="16"/>
  <c r="P2244" i="16"/>
  <c r="P2245" i="16"/>
  <c r="P2246" i="16"/>
  <c r="P2247" i="16"/>
  <c r="P2248" i="16"/>
  <c r="P2249" i="16"/>
  <c r="P2250" i="16"/>
  <c r="P2251" i="16"/>
  <c r="P2252" i="16"/>
  <c r="P2253" i="16"/>
  <c r="P2254" i="16"/>
  <c r="P2255" i="16"/>
  <c r="P2256" i="16"/>
  <c r="P2257" i="16"/>
  <c r="P2258" i="16"/>
  <c r="P2259" i="16"/>
  <c r="P2260" i="16"/>
  <c r="P2261" i="16"/>
  <c r="P2262" i="16"/>
  <c r="P2263" i="16"/>
  <c r="P2264" i="16"/>
  <c r="P2265" i="16"/>
  <c r="P2266" i="16"/>
  <c r="P2267" i="16"/>
  <c r="P2268" i="16"/>
  <c r="P2269" i="16"/>
  <c r="P2270" i="16"/>
  <c r="P2271" i="16"/>
  <c r="P2272" i="16"/>
  <c r="P2273" i="16"/>
  <c r="P2274" i="16"/>
  <c r="P2275" i="16"/>
  <c r="P2276" i="16"/>
  <c r="P2277" i="16"/>
  <c r="P2278" i="16"/>
  <c r="P2279" i="16"/>
  <c r="P2280" i="16"/>
  <c r="P2281" i="16"/>
  <c r="P2282" i="16"/>
  <c r="P2283" i="16"/>
  <c r="P2284" i="16"/>
  <c r="P2285" i="16"/>
  <c r="P2286" i="16"/>
  <c r="P2287" i="16"/>
  <c r="P2288" i="16"/>
  <c r="P2289" i="16"/>
  <c r="P2290" i="16"/>
  <c r="P2291" i="16"/>
  <c r="P2292" i="16"/>
  <c r="P2293" i="16"/>
  <c r="P2294" i="16"/>
  <c r="P2295" i="16"/>
  <c r="P2296" i="16"/>
  <c r="P2297" i="16"/>
  <c r="P2298" i="16"/>
  <c r="P2299" i="16"/>
  <c r="P2300" i="16"/>
  <c r="P2301" i="16"/>
  <c r="P2302" i="16"/>
  <c r="P2303" i="16"/>
  <c r="P2304" i="16"/>
  <c r="P2305" i="16"/>
  <c r="P2306" i="16"/>
  <c r="P2307" i="16"/>
  <c r="P2308" i="16"/>
  <c r="P2309" i="16"/>
  <c r="P2310" i="16"/>
  <c r="P2311" i="16"/>
  <c r="P2312" i="16"/>
  <c r="P2313" i="16"/>
  <c r="P2314" i="16"/>
  <c r="P2315" i="16"/>
  <c r="P2316" i="16"/>
  <c r="P2317" i="16"/>
  <c r="P2318" i="16"/>
  <c r="P2319" i="16"/>
  <c r="P2320" i="16"/>
  <c r="P2321" i="16"/>
  <c r="P2322" i="16"/>
  <c r="P2323" i="16"/>
  <c r="P2324" i="16"/>
  <c r="P2325" i="16"/>
  <c r="P2326" i="16"/>
  <c r="P2327" i="16"/>
  <c r="P2328" i="16"/>
  <c r="P2329" i="16"/>
  <c r="P2330" i="16"/>
  <c r="P2331" i="16"/>
  <c r="P2332" i="16"/>
  <c r="P2333" i="16"/>
  <c r="P2334" i="16"/>
  <c r="P2335" i="16"/>
  <c r="P2336" i="16"/>
  <c r="P2337" i="16"/>
  <c r="P2338" i="16"/>
  <c r="P2339" i="16"/>
  <c r="P2340" i="16"/>
  <c r="P2341" i="16"/>
  <c r="P2342" i="16"/>
  <c r="P2343" i="16"/>
  <c r="P2344" i="16"/>
  <c r="P2345" i="16"/>
  <c r="P2346" i="16"/>
  <c r="P2347" i="16"/>
  <c r="P2348" i="16"/>
  <c r="P2349" i="16"/>
  <c r="P2350" i="16"/>
  <c r="P2351" i="16"/>
  <c r="P2352" i="16"/>
  <c r="P2353" i="16"/>
  <c r="P2354" i="16"/>
  <c r="P2355" i="16"/>
  <c r="P2356" i="16"/>
  <c r="P2357" i="16"/>
  <c r="P2358" i="16"/>
  <c r="P2359" i="16"/>
  <c r="P2360" i="16"/>
  <c r="P2361" i="16"/>
  <c r="P2362" i="16"/>
  <c r="P2363" i="16"/>
  <c r="P2364" i="16"/>
  <c r="P2365" i="16"/>
  <c r="P2366" i="16"/>
  <c r="P2367" i="16"/>
  <c r="P2368" i="16"/>
  <c r="P2369" i="16"/>
  <c r="P2370" i="16"/>
  <c r="P2371" i="16"/>
  <c r="P2372" i="16"/>
  <c r="P2373" i="16"/>
  <c r="P2374" i="16"/>
  <c r="P2375" i="16"/>
  <c r="P2376" i="16"/>
  <c r="P2377" i="16"/>
  <c r="P2378" i="16"/>
  <c r="P2379" i="16"/>
  <c r="P2380" i="16"/>
  <c r="P2381" i="16"/>
  <c r="P2382" i="16"/>
  <c r="P2383" i="16"/>
  <c r="P2384" i="16"/>
  <c r="P2385" i="16"/>
  <c r="P2386" i="16"/>
  <c r="P2387" i="16"/>
  <c r="P2388" i="16"/>
  <c r="P2389" i="16"/>
  <c r="P2390" i="16"/>
  <c r="P2391" i="16"/>
  <c r="P2392" i="16"/>
  <c r="P2393" i="16"/>
  <c r="P2394" i="16"/>
  <c r="P2395" i="16"/>
  <c r="P2396" i="16"/>
  <c r="P2397" i="16"/>
  <c r="P2398" i="16"/>
  <c r="P2399" i="16"/>
  <c r="P2400" i="16"/>
  <c r="P2401" i="16"/>
  <c r="P2402" i="16"/>
  <c r="P2403" i="16"/>
  <c r="P2404" i="16"/>
  <c r="P2405" i="16"/>
  <c r="P2406" i="16"/>
  <c r="P2407" i="16"/>
  <c r="P2408" i="16"/>
  <c r="P2409" i="16"/>
  <c r="P2410" i="16"/>
  <c r="P2411" i="16"/>
  <c r="P2412" i="16"/>
  <c r="P2413" i="16"/>
  <c r="P2414" i="16"/>
  <c r="P2415" i="16"/>
  <c r="P2416" i="16"/>
  <c r="P2417" i="16"/>
  <c r="P2418" i="16"/>
  <c r="P2419" i="16"/>
  <c r="P2420" i="16"/>
  <c r="P2421" i="16"/>
  <c r="P2422" i="16"/>
  <c r="P2423" i="16"/>
  <c r="P2424" i="16"/>
  <c r="P2425" i="16"/>
  <c r="P2426" i="16"/>
  <c r="P2427" i="16"/>
  <c r="P2428" i="16"/>
  <c r="P2429" i="16"/>
  <c r="P2430" i="16"/>
  <c r="P2431" i="16"/>
  <c r="P2432" i="16"/>
  <c r="P2433" i="16"/>
  <c r="P2434" i="16"/>
  <c r="P2435" i="16"/>
  <c r="P2436" i="16"/>
  <c r="P2437" i="16"/>
  <c r="P2438" i="16"/>
  <c r="P2439" i="16"/>
  <c r="P2440" i="16"/>
  <c r="P2441" i="16"/>
  <c r="P2442" i="16"/>
  <c r="P2443" i="16"/>
  <c r="P2444" i="16"/>
  <c r="P2445" i="16"/>
  <c r="P2446" i="16"/>
  <c r="P2447" i="16"/>
  <c r="P2448" i="16"/>
  <c r="P2449" i="16"/>
  <c r="P2450" i="16"/>
  <c r="P2451" i="16"/>
  <c r="P2452" i="16"/>
  <c r="P2453" i="16"/>
  <c r="P2454" i="16"/>
  <c r="P2455" i="16"/>
  <c r="P2456" i="16"/>
  <c r="P2457" i="16"/>
  <c r="P2458" i="16"/>
  <c r="P2459" i="16"/>
  <c r="P2460" i="16"/>
  <c r="P2461" i="16"/>
  <c r="P2462" i="16"/>
  <c r="P2463" i="16"/>
  <c r="P2464" i="16"/>
  <c r="P2465" i="16"/>
  <c r="P2466" i="16"/>
  <c r="P2467" i="16"/>
  <c r="P2468" i="16"/>
  <c r="P2469" i="16"/>
  <c r="P2470" i="16"/>
  <c r="P2471" i="16"/>
  <c r="P2472" i="16"/>
  <c r="P2473" i="16"/>
  <c r="P2474" i="16"/>
  <c r="P2475" i="16"/>
  <c r="P2476" i="16"/>
  <c r="P2477" i="16"/>
  <c r="P2478" i="16"/>
  <c r="P2479" i="16"/>
  <c r="P2480" i="16"/>
  <c r="P2481" i="16"/>
  <c r="P2482" i="16"/>
  <c r="P2483" i="16"/>
  <c r="P2484" i="16"/>
  <c r="P2485" i="16"/>
  <c r="P2486" i="16"/>
  <c r="P2487" i="16"/>
  <c r="P2488" i="16"/>
  <c r="P2489" i="16"/>
  <c r="P2490" i="16"/>
  <c r="P2491" i="16"/>
  <c r="P2492" i="16"/>
  <c r="P2493" i="16"/>
  <c r="P2494" i="16"/>
  <c r="P2495" i="16"/>
  <c r="P2496" i="16"/>
  <c r="P2497" i="16"/>
  <c r="P2498" i="16"/>
  <c r="P2499" i="16"/>
  <c r="P2500" i="16"/>
  <c r="P2501" i="16"/>
  <c r="P2502" i="16"/>
  <c r="P2503" i="16"/>
  <c r="P2504" i="16"/>
  <c r="P2505" i="16"/>
  <c r="P2506" i="16"/>
  <c r="P2507" i="16"/>
  <c r="P2508" i="16"/>
  <c r="P2509" i="16"/>
  <c r="P2510" i="16"/>
  <c r="P2511" i="16"/>
  <c r="P2512" i="16"/>
  <c r="P2513" i="16"/>
  <c r="P2514" i="16"/>
  <c r="P2515" i="16"/>
  <c r="P2516" i="16"/>
  <c r="P2517" i="16"/>
  <c r="P2518" i="16"/>
  <c r="P2519" i="16"/>
  <c r="P2520" i="16"/>
  <c r="P2521" i="16"/>
  <c r="P2522" i="16"/>
  <c r="P2523" i="16"/>
  <c r="P2524" i="16"/>
  <c r="P2525" i="16"/>
  <c r="P2526" i="16"/>
  <c r="P2527" i="16"/>
  <c r="P2528" i="16"/>
  <c r="P2529" i="16"/>
  <c r="P2530" i="16"/>
  <c r="P2531" i="16"/>
  <c r="P2532" i="16"/>
  <c r="P2533" i="16"/>
  <c r="P2534" i="16"/>
  <c r="P2535" i="16"/>
  <c r="P2536" i="16"/>
  <c r="P2537" i="16"/>
  <c r="P2538" i="16"/>
  <c r="P2539" i="16"/>
  <c r="P2540" i="16"/>
  <c r="P2541" i="16"/>
  <c r="P2542" i="16"/>
  <c r="P2543" i="16"/>
  <c r="P2544" i="16"/>
  <c r="P2545" i="16"/>
  <c r="P2546" i="16"/>
  <c r="P2547" i="16"/>
  <c r="P2548" i="16"/>
  <c r="P2549" i="16"/>
  <c r="P2550" i="16"/>
  <c r="P2551" i="16"/>
  <c r="P2552" i="16"/>
  <c r="P2553" i="16"/>
  <c r="P2554" i="16"/>
  <c r="P2555" i="16"/>
  <c r="P2556" i="16"/>
  <c r="P2557" i="16"/>
  <c r="P2558" i="16"/>
  <c r="P2559" i="16"/>
  <c r="P2560" i="16"/>
  <c r="P2561" i="16"/>
  <c r="P2562" i="16"/>
  <c r="P2563" i="16"/>
  <c r="P2564" i="16"/>
  <c r="P2565" i="16"/>
  <c r="P2566" i="16"/>
  <c r="P2567" i="16"/>
  <c r="P2568" i="16"/>
  <c r="P2569" i="16"/>
  <c r="P2570" i="16"/>
  <c r="P2571" i="16"/>
  <c r="P2572" i="16"/>
  <c r="P2573" i="16"/>
  <c r="P2574" i="16"/>
  <c r="P2575" i="16"/>
  <c r="P2576" i="16"/>
  <c r="P2577" i="16"/>
  <c r="P2578" i="16"/>
  <c r="P2579" i="16"/>
  <c r="P2580" i="16"/>
  <c r="P2581" i="16"/>
  <c r="P2582" i="16"/>
  <c r="P2583" i="16"/>
  <c r="P2584" i="16"/>
  <c r="P2585" i="16"/>
  <c r="P2586" i="16"/>
  <c r="P2587" i="16"/>
  <c r="P2588" i="16"/>
  <c r="P2589" i="16"/>
  <c r="P2590" i="16"/>
  <c r="P2591" i="16"/>
  <c r="P2592" i="16"/>
  <c r="P2593" i="16"/>
  <c r="P2594" i="16"/>
  <c r="P2595" i="16"/>
  <c r="P2596" i="16"/>
  <c r="P2597" i="16"/>
  <c r="P2598" i="16"/>
  <c r="P2599" i="16"/>
  <c r="P2600" i="16"/>
  <c r="P2601" i="16"/>
  <c r="P2602" i="16"/>
  <c r="P2603" i="16"/>
  <c r="P2604" i="16"/>
  <c r="P2605" i="16"/>
  <c r="P2606" i="16"/>
  <c r="P2607" i="16"/>
  <c r="P2608" i="16"/>
  <c r="P2609" i="16"/>
  <c r="P2610" i="16"/>
  <c r="P2611" i="16"/>
  <c r="P2612" i="16"/>
  <c r="P2613" i="16"/>
  <c r="P2614" i="16"/>
  <c r="P2615" i="16"/>
  <c r="P2616" i="16"/>
  <c r="P2617" i="16"/>
  <c r="P2618" i="16"/>
  <c r="P2619" i="16"/>
  <c r="P2620" i="16"/>
  <c r="P2621" i="16"/>
  <c r="P2622" i="16"/>
  <c r="P2623" i="16"/>
  <c r="P2624" i="16"/>
  <c r="P2625" i="16"/>
  <c r="P2626" i="16"/>
  <c r="P2627" i="16"/>
  <c r="P2628" i="16"/>
  <c r="P2629" i="16"/>
  <c r="P2630" i="16"/>
  <c r="P2631" i="16"/>
  <c r="P2632" i="16"/>
  <c r="P2633" i="16"/>
  <c r="P2634" i="16"/>
  <c r="P2635" i="16"/>
  <c r="P2636" i="16"/>
  <c r="P2637" i="16"/>
  <c r="P2638" i="16"/>
  <c r="P2639" i="16"/>
  <c r="P2640" i="16"/>
  <c r="P2641" i="16"/>
  <c r="P2642" i="16"/>
  <c r="P2643" i="16"/>
  <c r="P2644" i="16"/>
  <c r="P2645" i="16"/>
  <c r="P2646" i="16"/>
  <c r="P2647" i="16"/>
  <c r="P2648" i="16"/>
  <c r="P2649" i="16"/>
  <c r="P2650" i="16"/>
  <c r="P2651" i="16"/>
  <c r="P2652" i="16"/>
  <c r="P2653" i="16"/>
  <c r="P2654" i="16"/>
  <c r="P2655" i="16"/>
  <c r="P2656" i="16"/>
  <c r="P2657" i="16"/>
  <c r="P2658" i="16"/>
  <c r="P2659" i="16"/>
  <c r="P2660" i="16"/>
  <c r="P2661" i="16"/>
  <c r="P2662" i="16"/>
  <c r="P2663" i="16"/>
  <c r="P2664" i="16"/>
  <c r="P2665" i="16"/>
  <c r="P2666" i="16"/>
  <c r="P2667" i="16"/>
  <c r="P2668" i="16"/>
  <c r="P2669" i="16"/>
  <c r="P2670" i="16"/>
  <c r="P2671" i="16"/>
  <c r="P2672" i="16"/>
  <c r="P2673" i="16"/>
  <c r="P2674" i="16"/>
  <c r="P2675" i="16"/>
  <c r="P2676" i="16"/>
  <c r="P2677" i="16"/>
  <c r="P2678" i="16"/>
  <c r="P2679" i="16"/>
  <c r="P2680" i="16"/>
  <c r="P2681" i="16"/>
  <c r="P2682" i="16"/>
  <c r="P2683" i="16"/>
  <c r="P2684" i="16"/>
  <c r="P2685" i="16"/>
  <c r="P2686" i="16"/>
  <c r="P2687" i="16"/>
  <c r="P2688" i="16"/>
  <c r="P2689" i="16"/>
  <c r="P2690" i="16"/>
  <c r="P2691" i="16"/>
  <c r="P2692" i="16"/>
  <c r="P2693" i="16"/>
  <c r="P2694" i="16"/>
  <c r="P2695" i="16"/>
  <c r="P2696" i="16"/>
  <c r="P2697" i="16"/>
  <c r="P2698" i="16"/>
  <c r="P2699" i="16"/>
  <c r="P2700" i="16"/>
  <c r="P2701" i="16"/>
  <c r="P2702" i="16"/>
  <c r="P2703" i="16"/>
  <c r="P2704" i="16"/>
  <c r="P2705" i="16"/>
  <c r="P2706" i="16"/>
  <c r="P2707" i="16"/>
  <c r="P2708" i="16"/>
  <c r="P2709" i="16"/>
  <c r="P2710" i="16"/>
  <c r="P2711" i="16"/>
  <c r="P2712" i="16"/>
  <c r="P2713" i="16"/>
  <c r="P2714" i="16"/>
  <c r="P2715" i="16"/>
  <c r="P2716" i="16"/>
  <c r="P2717" i="16"/>
  <c r="P2718" i="16"/>
  <c r="P2719" i="16"/>
  <c r="P2720" i="16"/>
  <c r="P2721" i="16"/>
  <c r="P2722" i="16"/>
  <c r="P2723" i="16"/>
  <c r="P2724" i="16"/>
  <c r="P2725" i="16"/>
  <c r="P2726" i="16"/>
  <c r="P2727" i="16"/>
  <c r="P2728" i="16"/>
  <c r="P2729" i="16"/>
  <c r="P2730" i="16"/>
  <c r="P2731" i="16"/>
  <c r="P2732" i="16"/>
  <c r="P2733" i="16"/>
  <c r="P2734" i="16"/>
  <c r="P2735" i="16"/>
  <c r="P2736" i="16"/>
  <c r="P2737" i="16"/>
  <c r="P2738" i="16"/>
  <c r="P2739" i="16"/>
  <c r="P2740" i="16"/>
  <c r="P2741" i="16"/>
  <c r="P2742" i="16"/>
  <c r="P2743" i="16"/>
  <c r="P2744" i="16"/>
  <c r="P2745" i="16"/>
  <c r="P2746" i="16"/>
  <c r="P2747" i="16"/>
  <c r="P2748" i="16"/>
  <c r="P2749" i="16"/>
  <c r="P2750" i="16"/>
  <c r="P2751" i="16"/>
  <c r="P2752" i="16"/>
  <c r="P2753" i="16"/>
  <c r="P2754" i="16"/>
  <c r="P2755" i="16"/>
  <c r="P2756" i="16"/>
  <c r="P2757" i="16"/>
  <c r="P2758" i="16"/>
  <c r="P2759" i="16"/>
  <c r="P2760" i="16"/>
  <c r="P2761" i="16"/>
  <c r="P2762" i="16"/>
  <c r="P2763" i="16"/>
  <c r="P2764" i="16"/>
  <c r="P2765" i="16"/>
  <c r="P2766" i="16"/>
  <c r="P2767" i="16"/>
  <c r="P2768" i="16"/>
  <c r="P2769" i="16"/>
  <c r="P2770" i="16"/>
  <c r="P2771" i="16"/>
  <c r="P2772" i="16"/>
  <c r="P2773" i="16"/>
  <c r="P2774" i="16"/>
  <c r="P2775" i="16"/>
  <c r="P2776" i="16"/>
  <c r="P2777" i="16"/>
  <c r="P2778" i="16"/>
  <c r="P2779" i="16"/>
  <c r="P2780" i="16"/>
  <c r="P2781" i="16"/>
  <c r="P2782" i="16"/>
  <c r="P2783" i="16"/>
  <c r="P2784" i="16"/>
  <c r="P2785" i="16"/>
  <c r="P2786" i="16"/>
  <c r="P2787" i="16"/>
  <c r="P2788" i="16"/>
  <c r="P2789" i="16"/>
  <c r="P2790" i="16"/>
  <c r="P2791" i="16"/>
  <c r="P2792" i="16"/>
  <c r="P2793" i="16"/>
  <c r="P2794" i="16"/>
  <c r="P2795" i="16"/>
  <c r="P2796" i="16"/>
  <c r="P2797" i="16"/>
  <c r="P2798" i="16"/>
  <c r="P2799" i="16"/>
  <c r="P2800" i="16"/>
  <c r="P2801" i="16"/>
  <c r="P2802" i="16"/>
  <c r="P2803" i="16"/>
  <c r="P2804" i="16"/>
  <c r="P2805" i="16"/>
  <c r="P2806" i="16"/>
  <c r="P2807" i="16"/>
  <c r="P2808" i="16"/>
  <c r="P2809" i="16"/>
  <c r="P2810" i="16"/>
  <c r="P2811" i="16"/>
  <c r="P2812" i="16"/>
  <c r="P2813" i="16"/>
  <c r="P2814" i="16"/>
  <c r="P2815" i="16"/>
  <c r="P2816" i="16"/>
  <c r="P2817" i="16"/>
  <c r="P2818" i="16"/>
  <c r="P2819" i="16"/>
  <c r="P2820" i="16"/>
  <c r="P2821" i="16"/>
  <c r="P2822" i="16"/>
  <c r="P2823" i="16"/>
  <c r="P2824" i="16"/>
  <c r="P2825" i="16"/>
  <c r="P2826" i="16"/>
  <c r="P2827" i="16"/>
  <c r="P2828" i="16"/>
  <c r="P2829" i="16"/>
  <c r="P2830" i="16"/>
  <c r="P2831" i="16"/>
  <c r="P2832" i="16"/>
  <c r="P2833" i="16"/>
  <c r="P2834" i="16"/>
  <c r="P2835" i="16"/>
  <c r="P2836" i="16"/>
  <c r="P2837" i="16"/>
  <c r="P2838" i="16"/>
  <c r="P2839" i="16"/>
  <c r="P2840" i="16"/>
  <c r="P2841" i="16"/>
  <c r="P2842" i="16"/>
  <c r="P2843" i="16"/>
  <c r="P2844" i="16"/>
  <c r="P2845" i="16"/>
  <c r="P2846" i="16"/>
  <c r="P2847" i="16"/>
  <c r="P2848" i="16"/>
  <c r="P2849" i="16"/>
  <c r="P2850" i="16"/>
  <c r="P2851" i="16"/>
  <c r="P2852" i="16"/>
  <c r="P2853" i="16"/>
  <c r="P2854" i="16"/>
  <c r="P2855" i="16"/>
  <c r="P2856" i="16"/>
  <c r="P2857" i="16"/>
  <c r="P2858" i="16"/>
  <c r="P2859" i="16"/>
  <c r="P2860" i="16"/>
  <c r="P2861" i="16"/>
  <c r="P2862" i="16"/>
  <c r="P2863" i="16"/>
  <c r="P2864" i="16"/>
  <c r="P2865" i="16"/>
  <c r="P2866" i="16"/>
  <c r="P2867" i="16"/>
  <c r="P2868" i="16"/>
  <c r="P2869" i="16"/>
  <c r="P2870" i="16"/>
  <c r="P2871" i="16"/>
  <c r="P2872" i="16"/>
  <c r="P2873" i="16"/>
  <c r="P2874" i="16"/>
  <c r="P2875" i="16"/>
  <c r="P2876" i="16"/>
  <c r="P2877" i="16"/>
  <c r="P2878" i="16"/>
  <c r="P2879" i="16"/>
  <c r="P2880" i="16"/>
  <c r="P2881" i="16"/>
  <c r="P2882" i="16"/>
  <c r="P2883" i="16"/>
  <c r="P2884" i="16"/>
  <c r="P2885" i="16"/>
  <c r="P2886" i="16"/>
  <c r="P2887" i="16"/>
  <c r="P2888" i="16"/>
  <c r="P2889" i="16"/>
  <c r="P2890" i="16"/>
  <c r="P2891" i="16"/>
  <c r="P2892" i="16"/>
  <c r="P2893" i="16"/>
  <c r="P2894" i="16"/>
  <c r="P2895" i="16"/>
  <c r="P2896" i="16"/>
  <c r="P2897" i="16"/>
  <c r="P2898" i="16"/>
  <c r="P2899" i="16"/>
  <c r="P2900" i="16"/>
  <c r="P2901" i="16"/>
  <c r="P2902" i="16"/>
  <c r="P2903" i="16"/>
  <c r="P2904" i="16"/>
  <c r="P2905" i="16"/>
  <c r="P2906" i="16"/>
  <c r="P2907" i="16"/>
  <c r="P2908" i="16"/>
  <c r="P2909" i="16"/>
  <c r="P2910" i="16"/>
  <c r="P2911" i="16"/>
  <c r="P2912" i="16"/>
  <c r="P2913" i="16"/>
  <c r="P2914" i="16"/>
  <c r="P2915" i="16"/>
  <c r="P2916" i="16"/>
  <c r="P2917" i="16"/>
  <c r="P2918" i="16"/>
  <c r="P2919" i="16"/>
  <c r="P2920" i="16"/>
  <c r="P2921" i="16"/>
  <c r="P2922" i="16"/>
  <c r="P2923" i="16"/>
  <c r="P2924" i="16"/>
  <c r="P2925" i="16"/>
  <c r="P2926" i="16"/>
  <c r="P2927" i="16"/>
  <c r="P2928" i="16"/>
  <c r="P2929" i="16"/>
  <c r="P2930" i="16"/>
  <c r="P2931" i="16"/>
  <c r="P2932" i="16"/>
  <c r="P2933" i="16"/>
  <c r="P2934" i="16"/>
  <c r="P2935" i="16"/>
  <c r="P2936" i="16"/>
  <c r="P2937" i="16"/>
  <c r="P2938" i="16"/>
  <c r="P2939" i="16"/>
  <c r="P2940" i="16"/>
  <c r="P2941" i="16"/>
  <c r="P2942" i="16"/>
  <c r="P2943" i="16"/>
  <c r="P2944" i="16"/>
  <c r="P2945" i="16"/>
  <c r="P2946" i="16"/>
  <c r="P2947" i="16"/>
  <c r="P2948" i="16"/>
  <c r="P2949" i="16"/>
  <c r="P2950" i="16"/>
  <c r="P2951" i="16"/>
  <c r="P2952" i="16"/>
  <c r="P2953" i="16"/>
  <c r="P2954" i="16"/>
  <c r="P2955" i="16"/>
  <c r="P2956" i="16"/>
  <c r="P2957" i="16"/>
  <c r="P2958" i="16"/>
  <c r="P2959" i="16"/>
  <c r="P2960" i="16"/>
  <c r="P2961" i="16"/>
  <c r="P2962" i="16"/>
  <c r="P2963" i="16"/>
  <c r="P2964" i="16"/>
  <c r="P2965" i="16"/>
  <c r="P2966" i="16"/>
  <c r="P2967" i="16"/>
  <c r="P2968" i="16"/>
  <c r="P2969" i="16"/>
  <c r="P2970" i="16"/>
  <c r="P2971" i="16"/>
  <c r="P2972" i="16"/>
  <c r="P2973" i="16"/>
  <c r="P2974" i="16"/>
  <c r="P2975" i="16"/>
  <c r="P2976" i="16"/>
  <c r="P2977" i="16"/>
  <c r="P2978" i="16"/>
  <c r="P2979" i="16"/>
  <c r="P2980" i="16"/>
  <c r="P2981" i="16"/>
  <c r="P2982" i="16"/>
  <c r="P2983" i="16"/>
  <c r="P2984" i="16"/>
  <c r="P2985" i="16"/>
  <c r="P2986" i="16"/>
  <c r="P2987" i="16"/>
  <c r="P2988" i="16"/>
  <c r="P2989" i="16"/>
  <c r="P2990" i="16"/>
  <c r="P2991" i="16"/>
  <c r="P2992" i="16"/>
  <c r="P2993" i="16"/>
  <c r="P2994" i="16"/>
  <c r="P2995" i="16"/>
  <c r="P2996" i="16"/>
  <c r="P2997" i="16"/>
  <c r="P2998" i="16"/>
  <c r="P2999" i="16"/>
  <c r="P3000" i="16"/>
  <c r="P3001" i="16"/>
  <c r="P3002" i="16"/>
  <c r="P3003" i="16"/>
  <c r="P3004" i="16"/>
  <c r="P3005" i="16"/>
  <c r="P3006" i="16"/>
  <c r="P3007" i="16"/>
  <c r="P3008" i="16"/>
  <c r="P3009" i="16"/>
  <c r="P3010" i="16"/>
  <c r="P3011" i="16"/>
  <c r="P3012" i="16"/>
  <c r="P3013" i="16"/>
  <c r="P3014" i="16"/>
  <c r="P3015" i="16"/>
  <c r="P3016" i="16"/>
  <c r="P3017" i="16"/>
  <c r="P3018" i="16"/>
  <c r="P3019" i="16"/>
  <c r="P3020" i="16"/>
  <c r="P3021" i="16"/>
  <c r="P3022" i="16"/>
  <c r="P3023" i="16"/>
  <c r="P3024" i="16"/>
  <c r="P3025" i="16"/>
  <c r="P3026" i="16"/>
  <c r="P3027" i="16"/>
  <c r="P3028" i="16"/>
  <c r="P3029" i="16"/>
  <c r="P3030" i="16"/>
  <c r="P3031" i="16"/>
  <c r="P3032" i="16"/>
  <c r="P3033" i="16"/>
  <c r="P3034" i="16"/>
  <c r="P3035" i="16"/>
  <c r="P3036" i="16"/>
  <c r="P3037" i="16"/>
  <c r="P3038" i="16"/>
  <c r="P3039" i="16"/>
  <c r="P3040" i="16"/>
  <c r="P3041" i="16"/>
  <c r="P3042" i="16"/>
  <c r="P3043" i="16"/>
  <c r="P3044" i="16"/>
  <c r="P3045" i="16"/>
  <c r="P3046" i="16"/>
  <c r="P3047" i="16"/>
  <c r="P3048" i="16"/>
  <c r="P3049" i="16"/>
  <c r="P3050" i="16"/>
  <c r="P3051" i="16"/>
  <c r="P3052" i="16"/>
  <c r="P3053" i="16"/>
  <c r="P3054" i="16"/>
  <c r="P3055" i="16"/>
  <c r="P3056" i="16"/>
  <c r="P3057" i="16"/>
  <c r="P3058" i="16"/>
  <c r="P3059" i="16"/>
  <c r="P3060" i="16"/>
  <c r="P3061" i="16"/>
  <c r="P3062" i="16"/>
  <c r="P3063" i="16"/>
  <c r="P3064" i="16"/>
  <c r="P3065" i="16"/>
  <c r="P3066" i="16"/>
  <c r="P3067" i="16"/>
  <c r="P3068" i="16"/>
  <c r="P3069" i="16"/>
  <c r="P3070" i="16"/>
  <c r="P3071" i="16"/>
  <c r="P3072" i="16"/>
  <c r="P3073" i="16"/>
  <c r="P3074" i="16"/>
  <c r="P3075" i="16"/>
  <c r="P3076" i="16"/>
  <c r="P3077" i="16"/>
  <c r="P3078" i="16"/>
  <c r="P3079" i="16"/>
  <c r="P3080" i="16"/>
  <c r="P3081" i="16"/>
  <c r="P3082" i="16"/>
  <c r="P3083" i="16"/>
  <c r="P3084" i="16"/>
  <c r="P3085" i="16"/>
  <c r="P3086" i="16"/>
  <c r="P3087" i="16"/>
  <c r="P3088" i="16"/>
  <c r="P3089" i="16"/>
  <c r="P3090" i="16"/>
  <c r="P3091" i="16"/>
  <c r="P3092" i="16"/>
  <c r="P3093" i="16"/>
  <c r="P3094" i="16"/>
  <c r="P3095" i="16"/>
  <c r="P3096" i="16"/>
  <c r="P3097" i="16"/>
  <c r="P3098" i="16"/>
  <c r="P3099" i="16"/>
  <c r="P3100" i="16"/>
  <c r="P3101" i="16"/>
  <c r="P3102" i="16"/>
  <c r="P3103" i="16"/>
  <c r="P3104" i="16"/>
  <c r="P3105" i="16"/>
  <c r="P3106" i="16"/>
  <c r="P3107" i="16"/>
  <c r="P3108" i="16"/>
  <c r="P3109" i="16"/>
  <c r="P3110" i="16"/>
  <c r="P3111" i="16"/>
  <c r="P3112" i="16"/>
  <c r="P3113" i="16"/>
  <c r="P3114" i="16"/>
  <c r="P3115" i="16"/>
  <c r="P3116" i="16"/>
  <c r="P3117" i="16"/>
  <c r="P3118" i="16"/>
  <c r="P3119" i="16"/>
  <c r="P3120" i="16"/>
  <c r="P3121" i="16"/>
  <c r="P3122" i="16"/>
  <c r="P3123" i="16"/>
  <c r="P3124" i="16"/>
  <c r="P3125" i="16"/>
  <c r="P3126" i="16"/>
  <c r="P3127" i="16"/>
  <c r="P3128" i="16"/>
  <c r="P3129" i="16"/>
  <c r="P3130" i="16"/>
  <c r="P3131" i="16"/>
  <c r="P3132" i="16"/>
  <c r="P3133" i="16"/>
  <c r="P3134" i="16"/>
  <c r="P3135" i="16"/>
  <c r="P3136" i="16"/>
  <c r="P3137" i="16"/>
  <c r="P3138" i="16"/>
  <c r="P3139" i="16"/>
  <c r="P3140" i="16"/>
  <c r="P3141" i="16"/>
  <c r="P3142" i="16"/>
  <c r="P3143" i="16"/>
  <c r="P3144" i="16"/>
  <c r="P3145" i="16"/>
  <c r="P3146" i="16"/>
  <c r="P3147" i="16"/>
  <c r="P3148" i="16"/>
  <c r="P3149" i="16"/>
  <c r="P3150" i="16"/>
  <c r="P3151" i="16"/>
  <c r="P3152" i="16"/>
  <c r="P3153" i="16"/>
  <c r="P3154" i="16"/>
  <c r="P3155" i="16"/>
  <c r="P3156" i="16"/>
  <c r="P3157" i="16"/>
  <c r="P3158" i="16"/>
  <c r="P3159" i="16"/>
  <c r="P3160" i="16"/>
  <c r="P3161" i="16"/>
  <c r="P3162" i="16"/>
  <c r="P3163" i="16"/>
  <c r="P3164" i="16"/>
  <c r="P3165" i="16"/>
  <c r="P3166" i="16"/>
  <c r="P3167" i="16"/>
  <c r="P3168" i="16"/>
  <c r="P3169" i="16"/>
  <c r="P3170" i="16"/>
  <c r="P3171" i="16"/>
  <c r="P3172" i="16"/>
  <c r="P3173" i="16"/>
  <c r="P3174" i="16"/>
  <c r="P3175" i="16"/>
  <c r="P3176" i="16"/>
  <c r="P3177" i="16"/>
  <c r="P3178" i="16"/>
  <c r="P3179" i="16"/>
  <c r="P3180" i="16"/>
  <c r="P3181" i="16"/>
  <c r="P3182" i="16"/>
  <c r="P3183" i="16"/>
  <c r="P3184" i="16"/>
  <c r="P3185" i="16"/>
  <c r="P3186" i="16"/>
  <c r="P3187" i="16"/>
  <c r="P3188" i="16"/>
  <c r="P3189" i="16"/>
  <c r="P3190" i="16"/>
  <c r="P3191" i="16"/>
  <c r="P3192" i="16"/>
  <c r="P3193" i="16"/>
  <c r="P3194" i="16"/>
  <c r="P3195" i="16"/>
  <c r="P3196" i="16"/>
  <c r="P3197" i="16"/>
  <c r="P3198" i="16"/>
  <c r="P3199" i="16"/>
  <c r="P3200" i="16"/>
  <c r="P3201" i="16"/>
  <c r="P3202" i="16"/>
  <c r="P3203" i="16"/>
  <c r="P3204" i="16"/>
  <c r="P3205" i="16"/>
  <c r="P3206" i="16"/>
  <c r="P3207" i="16"/>
  <c r="P3208" i="16"/>
  <c r="P3209" i="16"/>
  <c r="P3210" i="16"/>
  <c r="P3211" i="16"/>
  <c r="P3212" i="16"/>
  <c r="P3213" i="16"/>
  <c r="P3214" i="16"/>
  <c r="P3215" i="16"/>
  <c r="P3216" i="16"/>
  <c r="P3217" i="16"/>
  <c r="P3218" i="16"/>
  <c r="P3219" i="16"/>
  <c r="P3220" i="16"/>
  <c r="P3221" i="16"/>
  <c r="P3222" i="16"/>
  <c r="P3223" i="16"/>
  <c r="P3224" i="16"/>
  <c r="P3225" i="16"/>
  <c r="P3226" i="16"/>
  <c r="P3227" i="16"/>
  <c r="P3228" i="16"/>
  <c r="P3229" i="16"/>
  <c r="P3230" i="16"/>
  <c r="P3231" i="16"/>
  <c r="P3232" i="16"/>
  <c r="P3233" i="16"/>
  <c r="P3234" i="16"/>
  <c r="P3235" i="16"/>
  <c r="P3236" i="16"/>
  <c r="P3237" i="16"/>
  <c r="P3238" i="16"/>
  <c r="P3239" i="16"/>
  <c r="P3240" i="16"/>
  <c r="P3241" i="16"/>
  <c r="P3242" i="16"/>
  <c r="P3243" i="16"/>
  <c r="P3244" i="16"/>
  <c r="P3245" i="16"/>
  <c r="P3246" i="16"/>
  <c r="P3247" i="16"/>
  <c r="P3248" i="16"/>
  <c r="P3249" i="16"/>
  <c r="P3250" i="16"/>
  <c r="P3251" i="16"/>
  <c r="P3252" i="16"/>
  <c r="P3253" i="16"/>
  <c r="P3254" i="16"/>
  <c r="P3255" i="16"/>
  <c r="P3256" i="16"/>
  <c r="P3257" i="16"/>
  <c r="P3258" i="16"/>
  <c r="P3259" i="16"/>
  <c r="P3260" i="16"/>
  <c r="P3261" i="16"/>
  <c r="P3262" i="16"/>
  <c r="P3263" i="16"/>
  <c r="P3264" i="16"/>
  <c r="P3265" i="16"/>
  <c r="P3266" i="16"/>
  <c r="P3267" i="16"/>
  <c r="P3268" i="16"/>
  <c r="P3269" i="16"/>
  <c r="P3270" i="16"/>
  <c r="P3271" i="16"/>
  <c r="P3272" i="16"/>
  <c r="P3273" i="16"/>
  <c r="P3274" i="16"/>
  <c r="P3275" i="16"/>
  <c r="P3276" i="16"/>
  <c r="P3277" i="16"/>
  <c r="P3278" i="16"/>
  <c r="P3279" i="16"/>
  <c r="P3280" i="16"/>
  <c r="P3281" i="16"/>
  <c r="P3282" i="16"/>
  <c r="P3283" i="16"/>
  <c r="P3284" i="16"/>
  <c r="P3285" i="16"/>
  <c r="P3286" i="16"/>
  <c r="P3287" i="16"/>
  <c r="P3288" i="16"/>
  <c r="P3289" i="16"/>
  <c r="P3290" i="16"/>
  <c r="P3291" i="16"/>
  <c r="P3292" i="16"/>
  <c r="P3293" i="16"/>
  <c r="P3294" i="16"/>
  <c r="P3295" i="16"/>
  <c r="P3296" i="16"/>
  <c r="P3297" i="16"/>
  <c r="P3298" i="16"/>
  <c r="P3299" i="16"/>
  <c r="P3300" i="16"/>
  <c r="P3301" i="16"/>
  <c r="P3302" i="16"/>
  <c r="P3303" i="16"/>
  <c r="P3304" i="16"/>
  <c r="P3305" i="16"/>
  <c r="P3306" i="16"/>
  <c r="P3307" i="16"/>
  <c r="P3308" i="16"/>
  <c r="P3309" i="16"/>
  <c r="P3310" i="16"/>
  <c r="P3311" i="16"/>
  <c r="P3312" i="16"/>
  <c r="P3313" i="16"/>
  <c r="P3314" i="16"/>
  <c r="P3315" i="16"/>
  <c r="P3316" i="16"/>
  <c r="P3317" i="16"/>
  <c r="P3318" i="16"/>
  <c r="P3319" i="16"/>
  <c r="P3320" i="16"/>
  <c r="P3321" i="16"/>
  <c r="P3322" i="16"/>
  <c r="P3323" i="16"/>
  <c r="P3324" i="16"/>
  <c r="P3325" i="16"/>
  <c r="P3326" i="16"/>
  <c r="P3327" i="16"/>
  <c r="P3328" i="16"/>
  <c r="P3329" i="16"/>
  <c r="P3330" i="16"/>
  <c r="P3331" i="16"/>
  <c r="P3332" i="16"/>
  <c r="P3333" i="16"/>
  <c r="P3334" i="16"/>
  <c r="P3335" i="16"/>
  <c r="P3336" i="16"/>
  <c r="P3337" i="16"/>
  <c r="P3338" i="16"/>
  <c r="P3339" i="16"/>
  <c r="P3340" i="16"/>
  <c r="P3341" i="16"/>
  <c r="P3342" i="16"/>
  <c r="P3343" i="16"/>
  <c r="P3344" i="16"/>
  <c r="P3345" i="16"/>
  <c r="P3346" i="16"/>
  <c r="P3347" i="16"/>
  <c r="P3348" i="16"/>
  <c r="P3349" i="16"/>
  <c r="P3350" i="16"/>
  <c r="P3351" i="16"/>
  <c r="P3352" i="16"/>
  <c r="P3353" i="16"/>
  <c r="P3354" i="16"/>
  <c r="P3355" i="16"/>
  <c r="P3356" i="16"/>
  <c r="P3357" i="16"/>
  <c r="P3358" i="16"/>
  <c r="P3359" i="16"/>
  <c r="P3360" i="16"/>
  <c r="P3361" i="16"/>
  <c r="P3362" i="16"/>
  <c r="P3363" i="16"/>
  <c r="P3364" i="16"/>
  <c r="P3365" i="16"/>
  <c r="P3366" i="16"/>
  <c r="P3367" i="16"/>
  <c r="P3368" i="16"/>
  <c r="P3369" i="16"/>
  <c r="P3370" i="16"/>
  <c r="P3371" i="16"/>
  <c r="P3372" i="16"/>
  <c r="P3373" i="16"/>
  <c r="P3374" i="16"/>
  <c r="P3375" i="16"/>
  <c r="P3376" i="16"/>
  <c r="P3377" i="16"/>
  <c r="P3378" i="16"/>
  <c r="P3379" i="16"/>
  <c r="P3380" i="16"/>
  <c r="P3381" i="16"/>
  <c r="P3382" i="16"/>
  <c r="P3383" i="16"/>
  <c r="P3384" i="16"/>
  <c r="P3385" i="16"/>
  <c r="P3386" i="16"/>
  <c r="P3387" i="16"/>
  <c r="P3388" i="16"/>
  <c r="P3389" i="16"/>
  <c r="P3390" i="16"/>
  <c r="P3391" i="16"/>
  <c r="P3392" i="16"/>
  <c r="P3393" i="16"/>
  <c r="P3394" i="16"/>
  <c r="P3395" i="16"/>
  <c r="P3396" i="16"/>
  <c r="P3397" i="16"/>
  <c r="P3398" i="16"/>
  <c r="P3399" i="16"/>
  <c r="P3400" i="16"/>
  <c r="P3401" i="16"/>
  <c r="P3402" i="16"/>
  <c r="P3403" i="16"/>
  <c r="P3404" i="16"/>
  <c r="P3405" i="16"/>
  <c r="P3406" i="16"/>
  <c r="P3407" i="16"/>
  <c r="P3408" i="16"/>
  <c r="P3409" i="16"/>
  <c r="P3410" i="16"/>
  <c r="P3411" i="16"/>
  <c r="P3412" i="16"/>
  <c r="P3413" i="16"/>
  <c r="P3414" i="16"/>
  <c r="P3415" i="16"/>
  <c r="P3416" i="16"/>
  <c r="P3417" i="16"/>
  <c r="P3418" i="16"/>
  <c r="P3419" i="16"/>
  <c r="P3420" i="16"/>
  <c r="P3421" i="16"/>
  <c r="P3422" i="16"/>
  <c r="P3423" i="16"/>
  <c r="P3424" i="16"/>
  <c r="P3425" i="16"/>
  <c r="P3426" i="16"/>
  <c r="P3427" i="16"/>
  <c r="P3428" i="16"/>
  <c r="P3429" i="16"/>
  <c r="P3430" i="16"/>
  <c r="P3431" i="16"/>
  <c r="P3432" i="16"/>
  <c r="P3433" i="16"/>
  <c r="P3434" i="16"/>
  <c r="P3435" i="16"/>
  <c r="P3436" i="16"/>
  <c r="P3437" i="16"/>
  <c r="P3438" i="16"/>
  <c r="P3439" i="16"/>
  <c r="P3440" i="16"/>
  <c r="P3441" i="16"/>
  <c r="P3442" i="16"/>
  <c r="P3443" i="16"/>
  <c r="P3444" i="16"/>
  <c r="P3445" i="16"/>
  <c r="P3446" i="16"/>
  <c r="P3447" i="16"/>
  <c r="P3448" i="16"/>
  <c r="P3449" i="16"/>
  <c r="P3450" i="16"/>
  <c r="P3451" i="16"/>
  <c r="P3452" i="16"/>
  <c r="P3453" i="16"/>
  <c r="P3454" i="16"/>
  <c r="P3455" i="16"/>
  <c r="P3456" i="16"/>
  <c r="P3457" i="16"/>
  <c r="P3458" i="16"/>
  <c r="P3459" i="16"/>
  <c r="P3460" i="16"/>
  <c r="P3461" i="16"/>
  <c r="P3462" i="16"/>
  <c r="P3463" i="16"/>
  <c r="P3464" i="16"/>
  <c r="P3465" i="16"/>
  <c r="P3466" i="16"/>
  <c r="P3467" i="16"/>
  <c r="P3468" i="16"/>
  <c r="P3469" i="16"/>
  <c r="P3470" i="16"/>
  <c r="P3471" i="16"/>
  <c r="P3472" i="16"/>
  <c r="P3473" i="16"/>
  <c r="P3474" i="16"/>
  <c r="P3475" i="16"/>
  <c r="P3476" i="16"/>
  <c r="P3477" i="16"/>
  <c r="P3478" i="16"/>
  <c r="P3479" i="16"/>
  <c r="P3480" i="16"/>
  <c r="P3481" i="16"/>
  <c r="P3482" i="16"/>
  <c r="P3483" i="16"/>
  <c r="P3484" i="16"/>
  <c r="P3485" i="16"/>
  <c r="P3486" i="16"/>
  <c r="P3487" i="16"/>
  <c r="P3488" i="16"/>
  <c r="P3489" i="16"/>
  <c r="P3490" i="16"/>
  <c r="P3491" i="16"/>
  <c r="P3492" i="16"/>
  <c r="P3493" i="16"/>
  <c r="P3494" i="16"/>
  <c r="P3495" i="16"/>
  <c r="P3496" i="16"/>
  <c r="P3497" i="16"/>
  <c r="P3498" i="16"/>
  <c r="P3499" i="16"/>
  <c r="P3500" i="16"/>
  <c r="P3501" i="16"/>
  <c r="P3502" i="16"/>
  <c r="P3503" i="16"/>
  <c r="P3504" i="16"/>
  <c r="P3505" i="16"/>
  <c r="P3506" i="16"/>
  <c r="P3507" i="16"/>
  <c r="P3508" i="16"/>
  <c r="P3509" i="16"/>
  <c r="P3510" i="16"/>
  <c r="P3511" i="16"/>
  <c r="P3512" i="16"/>
  <c r="P3513" i="16"/>
  <c r="P3514" i="16"/>
  <c r="P3515" i="16"/>
  <c r="P3516" i="16"/>
  <c r="P3517" i="16"/>
  <c r="P3518" i="16"/>
  <c r="P3519" i="16"/>
  <c r="P3520" i="16"/>
  <c r="P3521" i="16"/>
  <c r="P3522" i="16"/>
  <c r="P3523" i="16"/>
  <c r="P3524" i="16"/>
  <c r="P3525" i="16"/>
  <c r="P3526" i="16"/>
  <c r="P3527" i="16"/>
  <c r="P3528" i="16"/>
  <c r="P3529" i="16"/>
  <c r="P3530" i="16"/>
  <c r="P3531" i="16"/>
  <c r="P3532" i="16"/>
  <c r="P3533" i="16"/>
  <c r="P3534" i="16"/>
  <c r="P3535" i="16"/>
  <c r="P3536" i="16"/>
  <c r="P3537" i="16"/>
  <c r="P3538" i="16"/>
  <c r="P3539" i="16"/>
  <c r="P3540" i="16"/>
  <c r="P3541" i="16"/>
  <c r="P3542" i="16"/>
  <c r="P3543" i="16"/>
  <c r="P3544" i="16"/>
  <c r="P3545" i="16"/>
  <c r="P3546" i="16"/>
  <c r="P3547" i="16"/>
  <c r="P3548" i="16"/>
  <c r="P3549" i="16"/>
  <c r="P3550" i="16"/>
  <c r="P3551" i="16"/>
  <c r="P3552" i="16"/>
  <c r="P3553" i="16"/>
  <c r="P3554" i="16"/>
  <c r="P3555" i="16"/>
  <c r="P3556" i="16"/>
  <c r="P3557" i="16"/>
  <c r="P3558" i="16"/>
  <c r="P3559" i="16"/>
  <c r="P3560" i="16"/>
  <c r="P3561" i="16"/>
  <c r="P3562" i="16"/>
  <c r="P3563" i="16"/>
  <c r="P3564" i="16"/>
  <c r="P3565" i="16"/>
  <c r="P3566" i="16"/>
  <c r="P3567" i="16"/>
  <c r="P3568" i="16"/>
  <c r="P3569" i="16"/>
  <c r="P3570" i="16"/>
  <c r="P3571" i="16"/>
  <c r="P3572" i="16"/>
  <c r="P3573" i="16"/>
  <c r="P3574" i="16"/>
  <c r="P3575" i="16"/>
  <c r="P3576" i="16"/>
  <c r="P3577" i="16"/>
  <c r="P3578" i="16"/>
  <c r="P3579" i="16"/>
  <c r="P3580" i="16"/>
  <c r="P3581" i="16"/>
  <c r="P3582" i="16"/>
  <c r="P3583" i="16"/>
  <c r="P3584" i="16"/>
  <c r="P3585" i="16"/>
  <c r="P3586" i="16"/>
  <c r="P3587" i="16"/>
  <c r="P3588" i="16"/>
  <c r="P3589" i="16"/>
  <c r="P3590" i="16"/>
  <c r="P3591" i="16"/>
  <c r="P3592" i="16"/>
  <c r="P3593" i="16"/>
  <c r="P3594" i="16"/>
  <c r="P3595" i="16"/>
  <c r="P3596" i="16"/>
  <c r="P3597" i="16"/>
  <c r="P3598" i="16"/>
  <c r="P3599" i="16"/>
  <c r="P3600" i="16"/>
  <c r="P3601" i="16"/>
  <c r="P3602" i="16"/>
  <c r="P3603" i="16"/>
  <c r="P3604" i="16"/>
  <c r="P3605" i="16"/>
  <c r="P3606" i="16"/>
  <c r="P3607" i="16"/>
  <c r="P3608" i="16"/>
  <c r="P3609" i="16"/>
  <c r="P3610" i="16"/>
  <c r="P3611" i="16"/>
  <c r="P3612" i="16"/>
  <c r="P3613" i="16"/>
  <c r="P3614" i="16"/>
  <c r="P3615" i="16"/>
  <c r="P3616" i="16"/>
  <c r="P3617" i="16"/>
  <c r="P3618" i="16"/>
  <c r="P3619" i="16"/>
  <c r="P3620" i="16"/>
  <c r="P3621" i="16"/>
  <c r="P3622" i="16"/>
  <c r="P3623" i="16"/>
  <c r="P3624" i="16"/>
  <c r="P3625" i="16"/>
  <c r="P3626" i="16"/>
  <c r="P3627" i="16"/>
  <c r="P3628" i="16"/>
  <c r="P3629" i="16"/>
  <c r="P3630" i="16"/>
  <c r="P3631" i="16"/>
  <c r="P3632" i="16"/>
  <c r="P3633" i="16"/>
  <c r="P3634" i="16"/>
  <c r="P3635" i="16"/>
  <c r="P3636" i="16"/>
  <c r="P3637" i="16"/>
  <c r="P3638" i="16"/>
  <c r="P3639" i="16"/>
  <c r="P3640" i="16"/>
  <c r="P3641" i="16"/>
  <c r="P3642" i="16"/>
  <c r="P3643" i="16"/>
  <c r="P3644" i="16"/>
  <c r="P3645" i="16"/>
  <c r="P3646" i="16"/>
  <c r="P3647" i="16"/>
  <c r="P3648" i="16"/>
  <c r="P3649" i="16"/>
  <c r="P3650" i="16"/>
  <c r="P3651" i="16"/>
  <c r="P3652" i="16"/>
  <c r="P3653" i="16"/>
  <c r="P3654" i="16"/>
  <c r="P3655" i="16"/>
  <c r="P3656" i="16"/>
  <c r="P3657" i="16"/>
  <c r="P3658" i="16"/>
  <c r="P3659" i="16"/>
  <c r="P3660" i="16"/>
  <c r="P3661" i="16"/>
  <c r="P3662" i="16"/>
  <c r="P3663" i="16"/>
  <c r="P3664" i="16"/>
  <c r="P3665" i="16"/>
  <c r="P3666" i="16"/>
  <c r="P3667" i="16"/>
  <c r="P3668" i="16"/>
  <c r="P3669" i="16"/>
  <c r="P3670" i="16"/>
  <c r="P3671" i="16"/>
  <c r="P3672" i="16"/>
  <c r="P3673" i="16"/>
  <c r="P3674" i="16"/>
  <c r="P3675" i="16"/>
  <c r="P3676" i="16"/>
  <c r="P3677" i="16"/>
  <c r="P3678" i="16"/>
  <c r="P3679" i="16"/>
  <c r="P3680" i="16"/>
  <c r="P3681" i="16"/>
  <c r="P3682" i="16"/>
  <c r="P3683" i="16"/>
  <c r="P3684" i="16"/>
  <c r="P3685" i="16"/>
  <c r="P3686" i="16"/>
  <c r="P3687" i="16"/>
  <c r="P3688" i="16"/>
  <c r="P3689" i="16"/>
  <c r="P3690" i="16"/>
  <c r="P3691" i="16"/>
  <c r="P3692" i="16"/>
  <c r="P3693" i="16"/>
  <c r="P3694" i="16"/>
  <c r="P3695" i="16"/>
  <c r="P3696" i="16"/>
  <c r="P3697" i="16"/>
  <c r="P3698" i="16"/>
  <c r="P3699" i="16"/>
  <c r="P3700" i="16"/>
  <c r="P3701" i="16"/>
  <c r="P3702" i="16"/>
  <c r="P3703" i="16"/>
  <c r="P3704" i="16"/>
  <c r="P3705" i="16"/>
  <c r="P3706" i="16"/>
  <c r="P3707" i="16"/>
  <c r="P3708" i="16"/>
  <c r="P3709" i="16"/>
  <c r="P3710" i="16"/>
  <c r="P3711" i="16"/>
  <c r="P3712" i="16"/>
  <c r="P3713" i="16"/>
  <c r="P3714" i="16"/>
  <c r="P3715" i="16"/>
  <c r="P3716" i="16"/>
  <c r="P3717" i="16"/>
  <c r="P3718" i="16"/>
  <c r="P3719" i="16"/>
  <c r="P3720" i="16"/>
  <c r="P3721" i="16"/>
  <c r="P3722" i="16"/>
  <c r="P3723" i="16"/>
  <c r="P3724" i="16"/>
  <c r="P3725" i="16"/>
  <c r="P3726" i="16"/>
  <c r="P3727" i="16"/>
  <c r="P3728" i="16"/>
  <c r="P3729" i="16"/>
  <c r="P3730" i="16"/>
  <c r="P3731" i="16"/>
  <c r="P3732" i="16"/>
  <c r="P3733" i="16"/>
  <c r="P3734" i="16"/>
  <c r="P3735" i="16"/>
  <c r="P3736" i="16"/>
  <c r="P3737" i="16"/>
  <c r="P3738" i="16"/>
  <c r="P3739" i="16"/>
  <c r="P3740" i="16"/>
  <c r="P3741" i="16"/>
  <c r="P3742" i="16"/>
  <c r="P3743" i="16"/>
  <c r="P3744" i="16"/>
  <c r="P3745" i="16"/>
  <c r="P3746" i="16"/>
  <c r="P3747" i="16"/>
  <c r="P3748" i="16"/>
  <c r="P3749" i="16"/>
  <c r="P3750" i="16"/>
  <c r="P3751" i="16"/>
  <c r="P3752" i="16"/>
  <c r="P3753" i="16"/>
  <c r="P3754" i="16"/>
  <c r="P3755" i="16"/>
  <c r="P3756" i="16"/>
  <c r="P3757" i="16"/>
  <c r="P3758" i="16"/>
  <c r="P3759" i="16"/>
  <c r="P3760" i="16"/>
  <c r="P3761" i="16"/>
  <c r="P3762" i="16"/>
  <c r="P3763" i="16"/>
  <c r="P3764" i="16"/>
  <c r="P3765" i="16"/>
  <c r="P3766" i="16"/>
  <c r="P3767" i="16"/>
  <c r="P3768" i="16"/>
  <c r="P3769" i="16"/>
  <c r="P3770" i="16"/>
  <c r="P3771" i="16"/>
  <c r="P3772" i="16"/>
  <c r="P3773" i="16"/>
  <c r="P3774" i="16"/>
  <c r="P3775" i="16"/>
  <c r="P3776" i="16"/>
  <c r="P3777" i="16"/>
  <c r="P3778" i="16"/>
  <c r="P3779" i="16"/>
  <c r="P3780" i="16"/>
  <c r="P3781" i="16"/>
  <c r="P3782" i="16"/>
  <c r="P3783" i="16"/>
  <c r="P3784" i="16"/>
  <c r="P3785" i="16"/>
  <c r="P3786" i="16"/>
  <c r="P3787" i="16"/>
  <c r="P3788" i="16"/>
  <c r="P3789" i="16"/>
  <c r="P3790" i="16"/>
  <c r="P3791" i="16"/>
  <c r="P3792" i="16"/>
  <c r="P3793" i="16"/>
  <c r="P3794" i="16"/>
  <c r="P3795" i="16"/>
  <c r="P3796" i="16"/>
  <c r="P3797" i="16"/>
  <c r="P3798" i="16"/>
  <c r="P3799" i="16"/>
  <c r="P3800" i="16"/>
  <c r="P3801" i="16"/>
  <c r="P3802" i="16"/>
  <c r="P3803" i="16"/>
  <c r="P3804" i="16"/>
  <c r="P3805" i="16"/>
  <c r="P3806" i="16"/>
  <c r="P3807" i="16"/>
  <c r="P3808" i="16"/>
  <c r="P3809" i="16"/>
  <c r="P3810" i="16"/>
  <c r="P3811" i="16"/>
  <c r="P3812" i="16"/>
  <c r="P3813" i="16"/>
  <c r="P3814" i="16"/>
  <c r="P3815" i="16"/>
  <c r="P3816" i="16"/>
  <c r="P3817" i="16"/>
  <c r="P3818" i="16"/>
  <c r="P3819" i="16"/>
  <c r="P3820" i="16"/>
  <c r="P3821" i="16"/>
  <c r="P3822" i="16"/>
  <c r="P3823" i="16"/>
  <c r="P3824" i="16"/>
  <c r="P3825" i="16"/>
  <c r="P3826" i="16"/>
  <c r="P3827" i="16"/>
  <c r="P3828" i="16"/>
  <c r="P3829" i="16"/>
  <c r="P3830" i="16"/>
  <c r="P3831" i="16"/>
  <c r="P3832" i="16"/>
  <c r="P3833" i="16"/>
  <c r="P3834" i="16"/>
  <c r="P3835" i="16"/>
  <c r="P3836" i="16"/>
  <c r="P3837" i="16"/>
  <c r="P3838" i="16"/>
  <c r="P3839" i="16"/>
  <c r="P3840" i="16"/>
  <c r="P3841" i="16"/>
  <c r="P3842" i="16"/>
  <c r="P3843" i="16"/>
  <c r="P3844" i="16"/>
  <c r="P3845" i="16"/>
  <c r="P3846" i="16"/>
  <c r="P3847" i="16"/>
  <c r="P3848" i="16"/>
  <c r="P3849" i="16"/>
  <c r="P3850" i="16"/>
  <c r="P3851" i="16"/>
  <c r="P3852" i="16"/>
  <c r="P3853" i="16"/>
  <c r="P3854" i="16"/>
  <c r="P3855" i="16"/>
  <c r="P3856" i="16"/>
  <c r="P3857" i="16"/>
  <c r="P3858" i="16"/>
  <c r="P3859" i="16"/>
  <c r="P3860" i="16"/>
  <c r="P3861" i="16"/>
  <c r="P3862" i="16"/>
  <c r="P3863" i="16"/>
  <c r="P3864" i="16"/>
  <c r="P3865" i="16"/>
  <c r="P3866" i="16"/>
  <c r="P3867" i="16"/>
  <c r="P3868" i="16"/>
  <c r="P3869" i="16"/>
  <c r="P3870" i="16"/>
  <c r="P3871" i="16"/>
  <c r="P3872" i="16"/>
  <c r="P3873" i="16"/>
  <c r="P3874" i="16"/>
  <c r="P3875" i="16"/>
  <c r="P3876" i="16"/>
  <c r="P3877" i="16"/>
  <c r="P3878" i="16"/>
  <c r="P3879" i="16"/>
  <c r="P3880" i="16"/>
  <c r="P3881" i="16"/>
  <c r="P3882" i="16"/>
  <c r="P3883" i="16"/>
  <c r="P3884" i="16"/>
  <c r="P3885" i="16"/>
  <c r="P3886" i="16"/>
  <c r="P3887" i="16"/>
  <c r="P3888" i="16"/>
  <c r="P3889" i="16"/>
  <c r="P3890" i="16"/>
  <c r="P3891" i="16"/>
  <c r="P3892" i="16"/>
  <c r="P3893" i="16"/>
  <c r="P3894" i="16"/>
  <c r="P3895" i="16"/>
  <c r="P3896" i="16"/>
  <c r="P3897" i="16"/>
  <c r="P3898" i="16"/>
  <c r="P3899" i="16"/>
  <c r="P3900" i="16"/>
  <c r="P3901" i="16"/>
  <c r="P3902" i="16"/>
  <c r="P3903" i="16"/>
  <c r="P3904" i="16"/>
  <c r="P3905" i="16"/>
  <c r="P3906" i="16"/>
  <c r="P3907" i="16"/>
  <c r="P3908" i="16"/>
  <c r="P3909" i="16"/>
  <c r="P3910" i="16"/>
  <c r="P3911" i="16"/>
  <c r="P3912" i="16"/>
  <c r="P3913" i="16"/>
  <c r="P3914" i="16"/>
  <c r="P3915" i="16"/>
  <c r="P3916" i="16"/>
  <c r="P3917" i="16"/>
  <c r="P3918" i="16"/>
  <c r="P3919" i="16"/>
  <c r="P3920" i="16"/>
  <c r="P3921" i="16"/>
  <c r="P3922" i="16"/>
  <c r="P3923" i="16"/>
  <c r="P3924" i="16"/>
  <c r="P3925" i="16"/>
  <c r="P3926" i="16"/>
  <c r="P3927" i="16"/>
  <c r="P3928" i="16"/>
  <c r="P3929" i="16"/>
  <c r="P3930" i="16"/>
  <c r="P3931" i="16"/>
  <c r="P3932" i="16"/>
  <c r="P3933" i="16"/>
  <c r="P3934" i="16"/>
  <c r="P3935" i="16"/>
  <c r="P3936" i="16"/>
  <c r="P3937" i="16"/>
  <c r="P3938" i="16"/>
  <c r="P3939" i="16"/>
  <c r="P3940" i="16"/>
  <c r="P3941" i="16"/>
  <c r="P3942" i="16"/>
  <c r="P3943" i="16"/>
  <c r="P3944" i="16"/>
  <c r="P3945" i="16"/>
  <c r="P3946" i="16"/>
  <c r="P3947" i="16"/>
  <c r="P3948" i="16"/>
  <c r="P3949" i="16"/>
  <c r="P3950" i="16"/>
  <c r="P3951" i="16"/>
  <c r="P3952" i="16"/>
  <c r="P3953" i="16"/>
  <c r="P3954" i="16"/>
  <c r="P3955" i="16"/>
  <c r="P3956" i="16"/>
  <c r="P3957" i="16"/>
  <c r="P3958" i="16"/>
  <c r="P3959" i="16"/>
  <c r="P3960" i="16"/>
  <c r="P3961" i="16"/>
  <c r="P3962" i="16"/>
  <c r="P3963" i="16"/>
  <c r="P3964" i="16"/>
  <c r="P3965" i="16"/>
  <c r="P3966" i="16"/>
  <c r="P3967" i="16"/>
  <c r="P3968" i="16"/>
  <c r="P3969" i="16"/>
  <c r="P3970" i="16"/>
  <c r="P3971" i="16"/>
  <c r="P3972" i="16"/>
  <c r="P3973" i="16"/>
  <c r="P3974" i="16"/>
  <c r="P3975" i="16"/>
  <c r="P3976" i="16"/>
  <c r="P3977" i="16"/>
  <c r="P3978" i="16"/>
  <c r="P3979" i="16"/>
  <c r="P3980" i="16"/>
  <c r="P3981" i="16"/>
  <c r="P3982" i="16"/>
  <c r="P3983" i="16"/>
  <c r="P3984" i="16"/>
  <c r="P3985" i="16"/>
  <c r="P3986" i="16"/>
  <c r="P3987" i="16"/>
  <c r="P3988" i="16"/>
  <c r="P3989" i="16"/>
  <c r="P3990" i="16"/>
  <c r="P3991" i="16"/>
  <c r="P3992" i="16"/>
  <c r="P3993" i="16"/>
  <c r="P3994" i="16"/>
  <c r="P3995" i="16"/>
  <c r="P3996" i="16"/>
  <c r="P3997" i="16"/>
  <c r="P3998" i="16"/>
  <c r="P3999" i="16"/>
  <c r="P4000" i="16"/>
  <c r="P4001" i="16"/>
  <c r="P4002" i="16"/>
  <c r="P4003" i="16"/>
  <c r="P4004" i="16"/>
  <c r="P4005" i="16"/>
  <c r="P4006" i="16"/>
  <c r="P4007" i="16"/>
  <c r="P4008" i="16"/>
  <c r="P4009" i="16"/>
  <c r="P4010" i="16"/>
  <c r="P4011" i="16"/>
  <c r="P4012" i="16"/>
  <c r="P4013" i="16"/>
  <c r="P4014" i="16"/>
  <c r="P4015" i="16"/>
  <c r="P4016" i="16"/>
  <c r="P4017" i="16"/>
  <c r="P4018" i="16"/>
  <c r="P4019" i="16"/>
  <c r="P4020" i="16"/>
  <c r="P4021" i="16"/>
  <c r="P4022" i="16"/>
  <c r="P4023" i="16"/>
  <c r="P4024" i="16"/>
  <c r="P4025" i="16"/>
  <c r="P4026" i="16"/>
  <c r="P4027" i="16"/>
  <c r="P4028" i="16"/>
  <c r="P4029" i="16"/>
  <c r="P4030" i="16"/>
  <c r="P4031" i="16"/>
  <c r="P4032" i="16"/>
  <c r="P4033" i="16"/>
  <c r="P4034" i="16"/>
  <c r="P4035" i="16"/>
  <c r="P4036" i="16"/>
  <c r="P4037" i="16"/>
  <c r="P4038" i="16"/>
  <c r="P4039" i="16"/>
  <c r="P4040" i="16"/>
  <c r="P4041" i="16"/>
  <c r="P4042" i="16"/>
  <c r="P4043" i="16"/>
  <c r="P4044" i="16"/>
  <c r="P4045" i="16"/>
  <c r="P4046" i="16"/>
  <c r="P4047" i="16"/>
  <c r="P4048" i="16"/>
  <c r="P4049" i="16"/>
  <c r="P4050" i="16"/>
  <c r="P4051" i="16"/>
  <c r="P4052" i="16"/>
  <c r="P4053" i="16"/>
  <c r="P4054" i="16"/>
  <c r="P4055" i="16"/>
  <c r="P4056" i="16"/>
  <c r="P4057" i="16"/>
  <c r="P4058" i="16"/>
  <c r="P4059" i="16"/>
  <c r="P4060" i="16"/>
  <c r="P4061" i="16"/>
  <c r="P4062" i="16"/>
  <c r="P4063" i="16"/>
  <c r="P4064" i="16"/>
  <c r="P4065" i="16"/>
  <c r="P4066" i="16"/>
  <c r="P4067" i="16"/>
  <c r="P4068" i="16"/>
  <c r="P4069" i="16"/>
  <c r="P4070" i="16"/>
  <c r="P4071" i="16"/>
  <c r="P4072" i="16"/>
  <c r="P4073" i="16"/>
  <c r="P4074" i="16"/>
  <c r="P4075" i="16"/>
  <c r="P4076" i="16"/>
  <c r="P4077" i="16"/>
  <c r="P4078" i="16"/>
  <c r="P4079" i="16"/>
  <c r="P4080" i="16"/>
  <c r="P4081" i="16"/>
  <c r="P4082" i="16"/>
  <c r="P4083" i="16"/>
  <c r="P4084" i="16"/>
  <c r="P4085" i="16"/>
  <c r="P4086" i="16"/>
  <c r="P4087" i="16"/>
  <c r="P4088" i="16"/>
  <c r="P4089" i="16"/>
  <c r="P4090" i="16"/>
  <c r="P4091" i="16"/>
  <c r="P4092" i="16"/>
  <c r="P4093" i="16"/>
  <c r="P4094" i="16"/>
  <c r="P4095" i="16"/>
  <c r="P4096" i="16"/>
  <c r="P4097" i="16"/>
  <c r="P4098" i="16"/>
  <c r="P4099" i="16"/>
  <c r="P4100" i="16"/>
  <c r="P4101" i="16"/>
  <c r="P4102" i="16"/>
  <c r="P4103" i="16"/>
  <c r="P4104" i="16"/>
  <c r="P4105" i="16"/>
  <c r="P4106" i="16"/>
  <c r="P4107" i="16"/>
  <c r="P4108" i="16"/>
  <c r="P4109" i="16"/>
  <c r="P4110" i="16"/>
  <c r="P4111" i="16"/>
  <c r="P4112" i="16"/>
  <c r="P4113" i="16"/>
  <c r="P4114" i="16"/>
  <c r="P4115" i="16"/>
  <c r="P4116" i="16"/>
  <c r="P4117" i="16"/>
  <c r="P4118" i="16"/>
  <c r="P4119" i="16"/>
  <c r="P4120" i="16"/>
  <c r="P4121" i="16"/>
  <c r="P4122" i="16"/>
  <c r="P4123" i="16"/>
  <c r="P4124" i="16"/>
  <c r="P4125" i="16"/>
  <c r="P4126" i="16"/>
  <c r="P4127" i="16"/>
  <c r="P4128" i="16"/>
  <c r="P4129" i="16"/>
  <c r="P4130" i="16"/>
  <c r="P4131" i="16"/>
  <c r="P4132" i="16"/>
  <c r="P4133" i="16"/>
  <c r="P4134" i="16"/>
  <c r="P4135" i="16"/>
  <c r="P4136" i="16"/>
  <c r="P4137" i="16"/>
  <c r="P4138" i="16"/>
  <c r="P4139" i="16"/>
  <c r="P4140" i="16"/>
  <c r="P4141" i="16"/>
  <c r="P4142" i="16"/>
  <c r="P4143" i="16"/>
  <c r="P4144" i="16"/>
  <c r="P4145" i="16"/>
  <c r="P4146" i="16"/>
  <c r="P4147" i="16"/>
  <c r="P4148" i="16"/>
  <c r="P4149" i="16"/>
  <c r="P4150" i="16"/>
  <c r="P4151" i="16"/>
  <c r="P4152" i="16"/>
  <c r="P4153" i="16"/>
  <c r="P4154" i="16"/>
  <c r="P4155" i="16"/>
  <c r="P4156" i="16"/>
  <c r="P4157" i="16"/>
  <c r="P4158" i="16"/>
  <c r="P4159" i="16"/>
  <c r="P4160" i="16"/>
  <c r="P4161" i="16"/>
  <c r="P4162" i="16"/>
  <c r="P4163" i="16"/>
  <c r="P4164" i="16"/>
  <c r="P4165" i="16"/>
  <c r="P4166" i="16"/>
  <c r="P4167" i="16"/>
  <c r="P4168" i="16"/>
  <c r="P4169" i="16"/>
  <c r="P4170" i="16"/>
  <c r="P4171" i="16"/>
  <c r="P4172" i="16"/>
  <c r="P4173" i="16"/>
  <c r="P4174" i="16"/>
  <c r="P4175" i="16"/>
  <c r="P4176" i="16"/>
  <c r="P4177" i="16"/>
  <c r="P4178" i="16"/>
  <c r="P4179" i="16"/>
  <c r="P4180" i="16"/>
  <c r="P4181" i="16"/>
  <c r="P4182" i="16"/>
  <c r="P4183" i="16"/>
  <c r="P4184" i="16"/>
  <c r="P4185" i="16"/>
  <c r="P4186" i="16"/>
  <c r="P4187" i="16"/>
  <c r="P4188" i="16"/>
  <c r="P4189" i="16"/>
  <c r="P4190" i="16"/>
  <c r="P4191" i="16"/>
  <c r="P4192" i="16"/>
  <c r="P4193" i="16"/>
  <c r="P4194" i="16"/>
  <c r="P4195" i="16"/>
  <c r="P4196" i="16"/>
  <c r="P4197" i="16"/>
  <c r="P4198" i="16"/>
  <c r="P4199" i="16"/>
  <c r="P4200" i="16"/>
  <c r="P4201" i="16"/>
  <c r="P4202" i="16"/>
  <c r="P4203" i="16"/>
  <c r="P4204" i="16"/>
  <c r="P4205" i="16"/>
  <c r="P4206" i="16"/>
  <c r="P4207" i="16"/>
  <c r="P4208" i="16"/>
  <c r="P4209" i="16"/>
  <c r="P4210" i="16"/>
  <c r="P4211" i="16"/>
  <c r="P4212" i="16"/>
  <c r="P4213" i="16"/>
  <c r="P4214" i="16"/>
  <c r="P4215" i="16"/>
  <c r="P4216" i="16"/>
  <c r="P4217" i="16"/>
  <c r="P4218" i="16"/>
  <c r="P4219" i="16"/>
  <c r="P4220" i="16"/>
  <c r="P4221" i="16"/>
  <c r="P4222" i="16"/>
  <c r="P4223" i="16"/>
  <c r="P4224" i="16"/>
  <c r="P4225" i="16"/>
  <c r="P4226" i="16"/>
  <c r="P4227" i="16"/>
  <c r="P4228" i="16"/>
  <c r="P4229" i="16"/>
  <c r="P4230" i="16"/>
  <c r="P4231" i="16"/>
  <c r="P4232" i="16"/>
  <c r="P4233" i="16"/>
  <c r="P4234" i="16"/>
  <c r="P4235" i="16"/>
  <c r="P4236" i="16"/>
  <c r="P4237" i="16"/>
  <c r="P4238" i="16"/>
  <c r="P4239" i="16"/>
  <c r="P4240" i="16"/>
  <c r="P4241" i="16"/>
  <c r="P4242" i="16"/>
  <c r="P4243" i="16"/>
  <c r="P4244" i="16"/>
  <c r="P4245" i="16"/>
  <c r="P4246" i="16"/>
  <c r="P4247" i="16"/>
  <c r="P4248" i="16"/>
  <c r="P4249" i="16"/>
  <c r="P4250" i="16"/>
  <c r="P4251" i="16"/>
  <c r="P4252" i="16"/>
  <c r="P4253" i="16"/>
  <c r="P4254" i="16"/>
  <c r="P4255" i="16"/>
  <c r="P4256" i="16"/>
  <c r="P4257" i="16"/>
  <c r="P4258" i="16"/>
  <c r="P4259" i="16"/>
  <c r="P4260" i="16"/>
  <c r="P4261" i="16"/>
  <c r="P4262" i="16"/>
  <c r="P4263" i="16"/>
  <c r="P4264" i="16"/>
  <c r="P4265" i="16"/>
  <c r="P4266" i="16"/>
  <c r="P4267" i="16"/>
  <c r="P4268" i="16"/>
  <c r="P4269" i="16"/>
  <c r="P4270" i="16"/>
  <c r="P4271" i="16"/>
  <c r="P4272" i="16"/>
  <c r="P4273" i="16"/>
  <c r="P4274" i="16"/>
  <c r="P4275" i="16"/>
  <c r="P4276" i="16"/>
  <c r="P4277" i="16"/>
  <c r="P4278" i="16"/>
  <c r="P4279" i="16"/>
  <c r="P4280" i="16"/>
  <c r="P4281" i="16"/>
  <c r="P4282" i="16"/>
  <c r="P4283" i="16"/>
  <c r="P4284" i="16"/>
  <c r="P4285" i="16"/>
  <c r="P4286" i="16"/>
  <c r="P4287" i="16"/>
  <c r="P4288" i="16"/>
  <c r="P4289" i="16"/>
  <c r="P4290" i="16"/>
  <c r="P4291" i="16"/>
  <c r="P4292" i="16"/>
  <c r="P4293" i="16"/>
  <c r="P4294" i="16"/>
  <c r="P4295" i="16"/>
  <c r="P4296" i="16"/>
  <c r="P4297" i="16"/>
  <c r="P4298" i="16"/>
  <c r="P4299" i="16"/>
  <c r="P4300" i="16"/>
  <c r="P4301" i="16"/>
  <c r="P4302" i="16"/>
  <c r="P4303" i="16"/>
  <c r="P4304" i="16"/>
  <c r="P4305" i="16"/>
  <c r="P4306" i="16"/>
  <c r="P4307" i="16"/>
  <c r="P4308" i="16"/>
  <c r="P4309" i="16"/>
  <c r="P4310" i="16"/>
  <c r="P4311" i="16"/>
  <c r="P4312" i="16"/>
  <c r="P4313" i="16"/>
  <c r="P4314" i="16"/>
  <c r="P4315" i="16"/>
  <c r="P4316" i="16"/>
  <c r="P4317" i="16"/>
  <c r="P4318" i="16"/>
  <c r="P4319" i="16"/>
  <c r="P4320" i="16"/>
  <c r="P4321" i="16"/>
  <c r="P4322" i="16"/>
  <c r="P4323" i="16"/>
  <c r="P4324" i="16"/>
  <c r="P4325" i="16"/>
  <c r="P4326" i="16"/>
  <c r="P4327" i="16"/>
  <c r="P4328" i="16"/>
  <c r="P4329" i="16"/>
  <c r="P4330" i="16"/>
  <c r="P4331" i="16"/>
  <c r="P4332" i="16"/>
  <c r="P4333" i="16"/>
  <c r="P4334" i="16"/>
  <c r="P4335" i="16"/>
  <c r="P4336" i="16"/>
  <c r="P4337" i="16"/>
  <c r="P4338" i="16"/>
  <c r="P4339" i="16"/>
  <c r="P4340" i="16"/>
  <c r="P4341" i="16"/>
  <c r="P4342" i="16"/>
  <c r="P4343" i="16"/>
  <c r="P4344" i="16"/>
  <c r="P4345" i="16"/>
  <c r="P4346" i="16"/>
  <c r="P4347" i="16"/>
  <c r="P4348" i="16"/>
  <c r="P4349" i="16"/>
  <c r="P4350" i="16"/>
  <c r="P4351" i="16"/>
  <c r="P4352" i="16"/>
  <c r="P4353" i="16"/>
  <c r="P4354" i="16"/>
  <c r="P4355" i="16"/>
  <c r="P4356" i="16"/>
  <c r="P4357" i="16"/>
  <c r="P4358" i="16"/>
  <c r="P4359" i="16"/>
  <c r="P4360" i="16"/>
  <c r="P4361" i="16"/>
  <c r="P4362" i="16"/>
  <c r="P4363" i="16"/>
  <c r="P4364" i="16"/>
  <c r="P4365" i="16"/>
  <c r="P4366" i="16"/>
  <c r="P4367" i="16"/>
  <c r="P4368" i="16"/>
  <c r="P4369" i="16"/>
  <c r="P4370" i="16"/>
  <c r="M2" i="17"/>
  <c r="M3" i="17"/>
  <c r="M4" i="17"/>
  <c r="M5" i="17"/>
  <c r="M6" i="17"/>
  <c r="M7" i="17"/>
  <c r="M8" i="17"/>
  <c r="M9"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016" i="17"/>
  <c r="M1017" i="17"/>
  <c r="M1018" i="17"/>
  <c r="M1019" i="17"/>
  <c r="M1020" i="17"/>
  <c r="M1021" i="17"/>
  <c r="M1022" i="17"/>
  <c r="M1023" i="17"/>
  <c r="M1024" i="17"/>
  <c r="M1025" i="17"/>
  <c r="M1026" i="17"/>
  <c r="M1027" i="17"/>
  <c r="M1028" i="17"/>
  <c r="M1029" i="17"/>
  <c r="M1030" i="17"/>
  <c r="M1031" i="17"/>
  <c r="M1032" i="17"/>
  <c r="M1033" i="17"/>
  <c r="M1034" i="17"/>
  <c r="M1035" i="17"/>
  <c r="M1036" i="17"/>
  <c r="M1037" i="17"/>
  <c r="M1038" i="17"/>
  <c r="M1039" i="17"/>
  <c r="M1040" i="17"/>
  <c r="M1041" i="17"/>
  <c r="M1042" i="17"/>
  <c r="M1043" i="17"/>
  <c r="M1044" i="17"/>
  <c r="M1045" i="17"/>
  <c r="M1046" i="17"/>
  <c r="M1047" i="17"/>
  <c r="M1048" i="17"/>
  <c r="M1049" i="17"/>
  <c r="M1050" i="17"/>
  <c r="M1051" i="17"/>
  <c r="M1052" i="17"/>
  <c r="M1053" i="17"/>
  <c r="M1054" i="17"/>
  <c r="M1055" i="17"/>
  <c r="M1056" i="17"/>
  <c r="M1057" i="17"/>
  <c r="M1058" i="17"/>
  <c r="M1059" i="17"/>
  <c r="M1060" i="17"/>
  <c r="M1061" i="17"/>
  <c r="M1062" i="17"/>
  <c r="M1063" i="17"/>
  <c r="M1064" i="17"/>
  <c r="M1065" i="17"/>
  <c r="M1066" i="17"/>
  <c r="M1067" i="17"/>
  <c r="M1068" i="17"/>
  <c r="M1069" i="17"/>
  <c r="M1070" i="17"/>
  <c r="M1071" i="17"/>
  <c r="M1072" i="17"/>
  <c r="M1073" i="17"/>
  <c r="M1074" i="17"/>
  <c r="M1075" i="17"/>
  <c r="M1076" i="17"/>
  <c r="M1077" i="17"/>
  <c r="M1078" i="17"/>
  <c r="M1079" i="17"/>
  <c r="M1080" i="17"/>
  <c r="M1081" i="17"/>
  <c r="M1082" i="17"/>
  <c r="M1083" i="17"/>
  <c r="M1084" i="17"/>
  <c r="M1085" i="17"/>
  <c r="M1086" i="17"/>
  <c r="M1087" i="17"/>
  <c r="M1088" i="17"/>
  <c r="M1089" i="17"/>
  <c r="M1090" i="17"/>
  <c r="M1091" i="17"/>
  <c r="M1092" i="17"/>
  <c r="M1093" i="17"/>
  <c r="M1094" i="17"/>
  <c r="M1095" i="17"/>
  <c r="M1096" i="17"/>
  <c r="M1097" i="17"/>
  <c r="M1098" i="17"/>
  <c r="M1099" i="17"/>
  <c r="M1100" i="17"/>
  <c r="M1101" i="17"/>
  <c r="M1102" i="17"/>
  <c r="M1103" i="17"/>
  <c r="M1104" i="17"/>
  <c r="M1105" i="17"/>
  <c r="M1106" i="17"/>
  <c r="M1107" i="17"/>
  <c r="M1108" i="17"/>
  <c r="M1109" i="17"/>
  <c r="M1110" i="17"/>
  <c r="M1111" i="17"/>
  <c r="M1112" i="17"/>
  <c r="M1113" i="17"/>
  <c r="M1114" i="17"/>
  <c r="M1115" i="17"/>
  <c r="M1116" i="17"/>
  <c r="M1117" i="17"/>
  <c r="M1118" i="17"/>
  <c r="M1119" i="17"/>
  <c r="M1120" i="17"/>
  <c r="M1121" i="17"/>
  <c r="M1122" i="17"/>
  <c r="M1123" i="17"/>
  <c r="M1124" i="17"/>
  <c r="M1125" i="17"/>
  <c r="M1126" i="17"/>
  <c r="M1127" i="17"/>
  <c r="M1128" i="17"/>
  <c r="M1129" i="17"/>
  <c r="M1130" i="17"/>
  <c r="M1131" i="17"/>
  <c r="M1132" i="17"/>
  <c r="M1133" i="17"/>
  <c r="M1134" i="17"/>
  <c r="M1135" i="17"/>
  <c r="M1136" i="17"/>
  <c r="M1137" i="17"/>
  <c r="M1138" i="17"/>
  <c r="M1139" i="17"/>
  <c r="M1140" i="17"/>
  <c r="M1141" i="17"/>
  <c r="M1142" i="17"/>
  <c r="M1143" i="17"/>
  <c r="M1144" i="17"/>
  <c r="M1145" i="17"/>
  <c r="M1146" i="17"/>
  <c r="M1147" i="17"/>
  <c r="M1148" i="17"/>
  <c r="M1149" i="17"/>
  <c r="M1150" i="17"/>
  <c r="M1151" i="17"/>
  <c r="M1152" i="17"/>
  <c r="M1153" i="17"/>
  <c r="M1154" i="17"/>
  <c r="M1155" i="17"/>
  <c r="M1156" i="17"/>
  <c r="M1157" i="17"/>
  <c r="M1158" i="17"/>
  <c r="M1159" i="17"/>
  <c r="M1160" i="17"/>
  <c r="M1161" i="17"/>
  <c r="M1162" i="17"/>
  <c r="M1163" i="17"/>
  <c r="M1164" i="17"/>
  <c r="M1165" i="17"/>
  <c r="M1166" i="17"/>
  <c r="M1167" i="17"/>
  <c r="M1168" i="17"/>
  <c r="M1169" i="17"/>
  <c r="M1170" i="17"/>
  <c r="M1171" i="17"/>
  <c r="M1172" i="17"/>
  <c r="M1173" i="17"/>
  <c r="M1174" i="17"/>
  <c r="M1175" i="17"/>
  <c r="M1176" i="17"/>
  <c r="M1177" i="17"/>
  <c r="M1178" i="17"/>
  <c r="M1179" i="17"/>
  <c r="M1180" i="17"/>
  <c r="M1181" i="17"/>
  <c r="M1182" i="17"/>
  <c r="M1183" i="17"/>
  <c r="M1184" i="17"/>
  <c r="M1185" i="17"/>
  <c r="M1186" i="17"/>
  <c r="M1187" i="17"/>
  <c r="M1188" i="17"/>
  <c r="M1189" i="17"/>
  <c r="M1190" i="17"/>
  <c r="M1191" i="17"/>
  <c r="M1192" i="17"/>
  <c r="M1193" i="17"/>
  <c r="M1194" i="17"/>
  <c r="M1195" i="17"/>
  <c r="M1196" i="17"/>
  <c r="M1197" i="17"/>
  <c r="M1198" i="17"/>
  <c r="M1199" i="17"/>
  <c r="M1200" i="17"/>
  <c r="M1201" i="17"/>
  <c r="M1202" i="17"/>
  <c r="M1203" i="17"/>
  <c r="M1204" i="17"/>
  <c r="M1205" i="17"/>
  <c r="M1206" i="17"/>
  <c r="M1207" i="17"/>
  <c r="M1208" i="17"/>
  <c r="M1209" i="17"/>
  <c r="M1210" i="17"/>
  <c r="M1211" i="17"/>
  <c r="M1212" i="17"/>
  <c r="M1213" i="17"/>
  <c r="M1214" i="17"/>
  <c r="M1215" i="17"/>
  <c r="M1216" i="17"/>
  <c r="M1217" i="17"/>
  <c r="M1218" i="17"/>
  <c r="M1219" i="17"/>
  <c r="M1220" i="17"/>
  <c r="M1221" i="17"/>
  <c r="M1222" i="17"/>
  <c r="M1223" i="17"/>
  <c r="M1224" i="17"/>
  <c r="M1225" i="17"/>
  <c r="M1226" i="17"/>
  <c r="M1227" i="17"/>
  <c r="M1228" i="17"/>
  <c r="M1229" i="17"/>
  <c r="M1230" i="17"/>
  <c r="M1231" i="17"/>
  <c r="M1232" i="17"/>
  <c r="M1233" i="17"/>
  <c r="M1234" i="17"/>
  <c r="M1235" i="17"/>
  <c r="M1236" i="17"/>
  <c r="M1237" i="17"/>
  <c r="M1238" i="17"/>
  <c r="M1239" i="17"/>
  <c r="M1240" i="17"/>
  <c r="M1241" i="17"/>
  <c r="M1242" i="17"/>
  <c r="M1243" i="17"/>
  <c r="M1244" i="17"/>
  <c r="M1245" i="17"/>
  <c r="M1246" i="17"/>
  <c r="M1247" i="17"/>
  <c r="M1248" i="17"/>
  <c r="M1249" i="17"/>
  <c r="M1250" i="17"/>
  <c r="M1251" i="17"/>
  <c r="M1252" i="17"/>
  <c r="M1253" i="17"/>
  <c r="M1254" i="17"/>
  <c r="M1255" i="17"/>
  <c r="M1256" i="17"/>
  <c r="M1257" i="17"/>
  <c r="M1258" i="17"/>
  <c r="M1259" i="17"/>
  <c r="M1260" i="17"/>
  <c r="M1261" i="17"/>
  <c r="M1262" i="17"/>
  <c r="M1263" i="17"/>
  <c r="M1264" i="17"/>
  <c r="M1265" i="17"/>
  <c r="M1266" i="17"/>
  <c r="M1267" i="17"/>
  <c r="M1268" i="17"/>
  <c r="M1269" i="17"/>
  <c r="M1270" i="17"/>
  <c r="M1271" i="17"/>
  <c r="M1272" i="17"/>
  <c r="M1273" i="17"/>
  <c r="M1274" i="17"/>
  <c r="M1275" i="17"/>
  <c r="M1276" i="17"/>
  <c r="M1277" i="17"/>
  <c r="M1278" i="17"/>
  <c r="M1279" i="17"/>
  <c r="M1280" i="17"/>
  <c r="M1281" i="17"/>
  <c r="M1282" i="17"/>
  <c r="M1283" i="17"/>
  <c r="M1284" i="17"/>
  <c r="M1285" i="17"/>
  <c r="M1286" i="17"/>
  <c r="M1287" i="17"/>
  <c r="M1288" i="17"/>
  <c r="M1289" i="17"/>
  <c r="M1290" i="17"/>
  <c r="M1291" i="17"/>
  <c r="M1292" i="17"/>
  <c r="M1293" i="17"/>
  <c r="M1294" i="17"/>
  <c r="M1295" i="17"/>
  <c r="M1296" i="17"/>
  <c r="M1297" i="17"/>
  <c r="M1298" i="17"/>
  <c r="M1299" i="17"/>
  <c r="M1300" i="17"/>
  <c r="M1301" i="17"/>
  <c r="M1302" i="17"/>
  <c r="M1303" i="17"/>
  <c r="M1304" i="17"/>
  <c r="M1305" i="17"/>
  <c r="M1306" i="17"/>
  <c r="M1307" i="17"/>
  <c r="M1308" i="17"/>
  <c r="M1309" i="17"/>
  <c r="M1310" i="17"/>
  <c r="M1311" i="17"/>
  <c r="M1312" i="17"/>
  <c r="M1313" i="17"/>
  <c r="M1314" i="17"/>
  <c r="M1315" i="17"/>
  <c r="M1316" i="17"/>
  <c r="M1317" i="17"/>
  <c r="M1318" i="17"/>
  <c r="M1319" i="17"/>
  <c r="M1320" i="17"/>
  <c r="M1321" i="17"/>
  <c r="M1322" i="17"/>
  <c r="M1323" i="17"/>
  <c r="M1324" i="17"/>
  <c r="M1325" i="17"/>
  <c r="M1326" i="17"/>
  <c r="M1327" i="17"/>
  <c r="M1328" i="17"/>
  <c r="M1329" i="17"/>
  <c r="M1330" i="17"/>
  <c r="M1331" i="17"/>
  <c r="M1332" i="17"/>
  <c r="M1333" i="17"/>
  <c r="M1334" i="17"/>
  <c r="M1335" i="17"/>
  <c r="M1336" i="17"/>
  <c r="M1337" i="17"/>
  <c r="M1338" i="17"/>
  <c r="M1339" i="17"/>
  <c r="M1340" i="17"/>
  <c r="M1341" i="17"/>
  <c r="M1342" i="17"/>
  <c r="M1343" i="17"/>
  <c r="M1344" i="17"/>
  <c r="M1345" i="17"/>
  <c r="M1346" i="17"/>
  <c r="M1347" i="17"/>
  <c r="M1348" i="17"/>
  <c r="M1349" i="17"/>
  <c r="M1350" i="17"/>
  <c r="M1351" i="17"/>
  <c r="M1352" i="17"/>
  <c r="M1353" i="17"/>
  <c r="M1354" i="17"/>
  <c r="M1355" i="17"/>
  <c r="M1356" i="17"/>
  <c r="M1357" i="17"/>
  <c r="M1358" i="17"/>
  <c r="M1359" i="17"/>
  <c r="M1360" i="17"/>
  <c r="M1361" i="17"/>
  <c r="M1362" i="17"/>
  <c r="M1363" i="17"/>
  <c r="M1364" i="17"/>
  <c r="M1365" i="17"/>
  <c r="M1366" i="17"/>
  <c r="M1367" i="17"/>
  <c r="M1368" i="17"/>
  <c r="M1369" i="17"/>
  <c r="M1370" i="17"/>
  <c r="M1371" i="17"/>
  <c r="M1372" i="17"/>
  <c r="M1373" i="17"/>
  <c r="M1374" i="17"/>
  <c r="M1375" i="17"/>
  <c r="M1376" i="17"/>
  <c r="M1377" i="17"/>
  <c r="M1378" i="17"/>
  <c r="M1379" i="17"/>
  <c r="M1380" i="17"/>
  <c r="M1381" i="17"/>
  <c r="M1382" i="17"/>
  <c r="M1383" i="17"/>
  <c r="M1384" i="17"/>
  <c r="M1385" i="17"/>
  <c r="M1386" i="17"/>
  <c r="M1387" i="17"/>
  <c r="M1388" i="17"/>
  <c r="M1389" i="17"/>
  <c r="M1390" i="17"/>
  <c r="M1391" i="17"/>
  <c r="M1392" i="17"/>
  <c r="M1393" i="17"/>
  <c r="M1394" i="17"/>
  <c r="M1395" i="17"/>
  <c r="M1396" i="17"/>
  <c r="M1397" i="17"/>
  <c r="M1398" i="17"/>
  <c r="M1399" i="17"/>
  <c r="M1400" i="17"/>
  <c r="M1401" i="17"/>
  <c r="M1402" i="17"/>
  <c r="M1403" i="17"/>
  <c r="M1404" i="17"/>
  <c r="M1405" i="17"/>
  <c r="M1406" i="17"/>
  <c r="M1407" i="17"/>
  <c r="M1408" i="17"/>
  <c r="M1409" i="17"/>
  <c r="M1410" i="17"/>
  <c r="M1411" i="17"/>
  <c r="M1412" i="17"/>
  <c r="M1413" i="17"/>
  <c r="M1414" i="17"/>
  <c r="M1415" i="17"/>
  <c r="M1416" i="17"/>
  <c r="M1417" i="17"/>
  <c r="M1418" i="17"/>
  <c r="M1419" i="17"/>
  <c r="M1420" i="17"/>
  <c r="M1421" i="17"/>
  <c r="M1422" i="17"/>
  <c r="M1423" i="17"/>
  <c r="M1424" i="17"/>
  <c r="M1425" i="17"/>
  <c r="M1426" i="17"/>
  <c r="M1427" i="17"/>
  <c r="M1428" i="17"/>
  <c r="M1429" i="17"/>
  <c r="M1430" i="17"/>
  <c r="M1431" i="17"/>
  <c r="M1432" i="17"/>
  <c r="M1433" i="17"/>
  <c r="M1434" i="17"/>
  <c r="M1435" i="17"/>
  <c r="M1436" i="17"/>
  <c r="M1437" i="17"/>
  <c r="M1438" i="17"/>
  <c r="M1439" i="17"/>
  <c r="M1440" i="17"/>
  <c r="M1441" i="17"/>
  <c r="M1442" i="17"/>
  <c r="M1443" i="17"/>
  <c r="M1444" i="17"/>
  <c r="M1445" i="17"/>
  <c r="M1446" i="17"/>
  <c r="M1447" i="17"/>
  <c r="M1448" i="17"/>
  <c r="M1449" i="17"/>
  <c r="M1450" i="17"/>
  <c r="M1451" i="17"/>
  <c r="M1452" i="17"/>
  <c r="M1453" i="17"/>
  <c r="M1454" i="17"/>
  <c r="M1455" i="17"/>
  <c r="M1456" i="17"/>
  <c r="M1457" i="17"/>
  <c r="M1458" i="17"/>
  <c r="M1459" i="17"/>
  <c r="M1460" i="17"/>
  <c r="M1461" i="17"/>
  <c r="M1462" i="17"/>
  <c r="M1463" i="17"/>
  <c r="M1464" i="17"/>
  <c r="M1465" i="17"/>
  <c r="M1466" i="17"/>
  <c r="M1467" i="17"/>
  <c r="M1468" i="17"/>
  <c r="M1469" i="17"/>
  <c r="M1470" i="17"/>
  <c r="M1471" i="17"/>
  <c r="M1472" i="17"/>
  <c r="M1473" i="17"/>
  <c r="M1474" i="17"/>
  <c r="M1475" i="17"/>
  <c r="M1476" i="17"/>
  <c r="M1477" i="17"/>
  <c r="M1478" i="17"/>
  <c r="M1479" i="17"/>
  <c r="M1480" i="17"/>
  <c r="M1481" i="17"/>
  <c r="M1482" i="17"/>
  <c r="M1483" i="17"/>
  <c r="M1484" i="17"/>
  <c r="M1485" i="17"/>
  <c r="M1486" i="17"/>
  <c r="M1487" i="17"/>
  <c r="M1488" i="17"/>
  <c r="M1489" i="17"/>
  <c r="M1490" i="17"/>
  <c r="M1491" i="17"/>
  <c r="M1492" i="17"/>
  <c r="M1493" i="17"/>
  <c r="M1494" i="17"/>
  <c r="M1495" i="17"/>
  <c r="M1496" i="17"/>
  <c r="M1497" i="17"/>
  <c r="M1498" i="17"/>
  <c r="M1499" i="17"/>
  <c r="M1500" i="17"/>
  <c r="M1501" i="17"/>
  <c r="M1502" i="17"/>
  <c r="M1503" i="17"/>
  <c r="M1504" i="17"/>
  <c r="M1505" i="17"/>
  <c r="M1506" i="17"/>
  <c r="M1507" i="17"/>
  <c r="M1508" i="17"/>
  <c r="M1509" i="17"/>
  <c r="M1510" i="17"/>
  <c r="M1511" i="17"/>
  <c r="M1512" i="17"/>
  <c r="M1513" i="17"/>
  <c r="M1514" i="17"/>
  <c r="M1515" i="17"/>
  <c r="M1516" i="17"/>
  <c r="M1517" i="17"/>
  <c r="M1518" i="17"/>
  <c r="M1519" i="17"/>
  <c r="M1520" i="17"/>
  <c r="M1521" i="17"/>
  <c r="M1522" i="17"/>
  <c r="M1523" i="17"/>
  <c r="M1524" i="17"/>
  <c r="M1525" i="17"/>
  <c r="M1526" i="17"/>
  <c r="M1527" i="17"/>
  <c r="M1528" i="17"/>
  <c r="M1529" i="17"/>
  <c r="M1530" i="17"/>
  <c r="M1531" i="17"/>
  <c r="M1532" i="17"/>
  <c r="M1533" i="17"/>
  <c r="M1534" i="17"/>
  <c r="M1535" i="17"/>
  <c r="M1536" i="17"/>
  <c r="M1537" i="17"/>
  <c r="M1538" i="17"/>
  <c r="M1539" i="17"/>
  <c r="M1540" i="17"/>
  <c r="M1541" i="17"/>
  <c r="M1542" i="17"/>
  <c r="M1543" i="17"/>
  <c r="M1544" i="17"/>
  <c r="M1545" i="17"/>
  <c r="M1546" i="17"/>
  <c r="M1547" i="17"/>
  <c r="M1548" i="17"/>
  <c r="M1549" i="17"/>
  <c r="M1550" i="17"/>
  <c r="M1551" i="17"/>
  <c r="M1552" i="17"/>
  <c r="M1553" i="17"/>
  <c r="M1554" i="17"/>
  <c r="M1555" i="17"/>
  <c r="M1556" i="17"/>
  <c r="M1557" i="17"/>
  <c r="M1558" i="17"/>
  <c r="M1559" i="17"/>
  <c r="M1560" i="17"/>
  <c r="M1561" i="17"/>
  <c r="M1562" i="17"/>
  <c r="M1563" i="17"/>
  <c r="M1564" i="17"/>
  <c r="M1565" i="17"/>
  <c r="M1566" i="17"/>
  <c r="M1567" i="17"/>
  <c r="M1568" i="17"/>
  <c r="M1569" i="17"/>
  <c r="M1570" i="17"/>
  <c r="M1571" i="17"/>
  <c r="M1572" i="17"/>
  <c r="M1573" i="17"/>
  <c r="M1574" i="17"/>
  <c r="M1575" i="17"/>
  <c r="M1576" i="17"/>
  <c r="M1577" i="17"/>
  <c r="M1578" i="17"/>
  <c r="M1579" i="17"/>
  <c r="M1580" i="17"/>
  <c r="M1581" i="17"/>
  <c r="M1582" i="17"/>
  <c r="M1583" i="17"/>
  <c r="M1584" i="17"/>
  <c r="M1585" i="17"/>
  <c r="M1586" i="17"/>
  <c r="M1587" i="17"/>
  <c r="M1588" i="17"/>
  <c r="M1589" i="17"/>
  <c r="M1590" i="17"/>
  <c r="M1591" i="17"/>
  <c r="M1592" i="17"/>
  <c r="M1593" i="17"/>
  <c r="M1594" i="17"/>
  <c r="M1595" i="17"/>
  <c r="M1596" i="17"/>
  <c r="M1597" i="17"/>
  <c r="M1598" i="17"/>
  <c r="M1599" i="17"/>
  <c r="M1600" i="17"/>
  <c r="M1601" i="17"/>
  <c r="M1602" i="17"/>
  <c r="M1603" i="17"/>
  <c r="M1604" i="17"/>
  <c r="M1605" i="17"/>
  <c r="M1606" i="17"/>
  <c r="M1607" i="17"/>
  <c r="M1608" i="17"/>
  <c r="M1609" i="17"/>
  <c r="M1610" i="17"/>
  <c r="M1611" i="17"/>
  <c r="M1612" i="17"/>
  <c r="M1613" i="17"/>
  <c r="M1614" i="17"/>
  <c r="M1615" i="17"/>
  <c r="M1616" i="17"/>
  <c r="M1617" i="17"/>
  <c r="M1618" i="17"/>
  <c r="M1619" i="17"/>
  <c r="M1620" i="17"/>
  <c r="M1621" i="17"/>
  <c r="M1622" i="17"/>
  <c r="M1623" i="17"/>
  <c r="M1624" i="17"/>
  <c r="M1625" i="17"/>
  <c r="M1626" i="17"/>
  <c r="M1627" i="17"/>
  <c r="M1628" i="17"/>
  <c r="M1629" i="17"/>
  <c r="M1630" i="17"/>
  <c r="M1631" i="17"/>
  <c r="M1632" i="17"/>
  <c r="M1633" i="17"/>
  <c r="M1634" i="17"/>
  <c r="M1635" i="17"/>
  <c r="M1636" i="17"/>
  <c r="M1637" i="17"/>
  <c r="M1638" i="17"/>
  <c r="M1639" i="17"/>
  <c r="M1640" i="17"/>
  <c r="M1641" i="17"/>
  <c r="M1642" i="17"/>
  <c r="M1643" i="17"/>
  <c r="M1644" i="17"/>
  <c r="M1645" i="17"/>
  <c r="M1646" i="17"/>
  <c r="M1647" i="17"/>
  <c r="M1648" i="17"/>
  <c r="M1649" i="17"/>
  <c r="M1650" i="17"/>
  <c r="M1651" i="17"/>
  <c r="M1652" i="17"/>
  <c r="M1653" i="17"/>
  <c r="M1654" i="17"/>
  <c r="M1655" i="17"/>
  <c r="M1656" i="17"/>
  <c r="M1657" i="17"/>
  <c r="M1658" i="17"/>
  <c r="M1659" i="17"/>
  <c r="M1660" i="17"/>
  <c r="M1661" i="17"/>
  <c r="M1662" i="17"/>
  <c r="M1663" i="17"/>
  <c r="M1664" i="17"/>
  <c r="M1665" i="17"/>
  <c r="M1666" i="17"/>
  <c r="M1667" i="17"/>
  <c r="M1668" i="17"/>
  <c r="M1669" i="17"/>
  <c r="M1670" i="17"/>
  <c r="M1671" i="17"/>
  <c r="M1672" i="17"/>
  <c r="M1673" i="17"/>
  <c r="M1674" i="17"/>
  <c r="M1675" i="17"/>
  <c r="M1676" i="17"/>
  <c r="M1677" i="17"/>
  <c r="M1678" i="17"/>
  <c r="M1679" i="17"/>
  <c r="M1680" i="17"/>
  <c r="M1681" i="17"/>
  <c r="M1682" i="17"/>
  <c r="M1683" i="17"/>
  <c r="M1684" i="17"/>
  <c r="M1685" i="17"/>
  <c r="M1686" i="17"/>
  <c r="M1687" i="17"/>
  <c r="M1688" i="17"/>
  <c r="M1689" i="17"/>
  <c r="M1690" i="17"/>
  <c r="M1691" i="17"/>
  <c r="M1692" i="17"/>
  <c r="M1693" i="17"/>
  <c r="M1694" i="17"/>
  <c r="M1695" i="17"/>
  <c r="M1696" i="17"/>
  <c r="M1697" i="17"/>
  <c r="M1698" i="17"/>
  <c r="M1699" i="17"/>
  <c r="M1700" i="17"/>
  <c r="M1701" i="17"/>
  <c r="M1702" i="17"/>
  <c r="M1703" i="17"/>
  <c r="M1704" i="17"/>
  <c r="M1705" i="17"/>
  <c r="M1706" i="17"/>
  <c r="M1707" i="17"/>
  <c r="M1708" i="17"/>
  <c r="M1709" i="17"/>
  <c r="M1710" i="17"/>
  <c r="M1711" i="17"/>
  <c r="M1712" i="17"/>
  <c r="M1713" i="17"/>
  <c r="M1714" i="17"/>
  <c r="M1715" i="17"/>
  <c r="M1716" i="17"/>
  <c r="M1717" i="17"/>
  <c r="M1718" i="17"/>
  <c r="M1719" i="17"/>
  <c r="M1720" i="17"/>
  <c r="M1721" i="17"/>
  <c r="M1722" i="17"/>
  <c r="M1723" i="17"/>
  <c r="M1724" i="17"/>
  <c r="M1725" i="17"/>
  <c r="M1726" i="17"/>
  <c r="M1727" i="17"/>
  <c r="M1728" i="17"/>
  <c r="M1729" i="17"/>
  <c r="M1730" i="17"/>
  <c r="M1731" i="17"/>
  <c r="M1732" i="17"/>
  <c r="M1733" i="17"/>
  <c r="M1734" i="17"/>
  <c r="M1735" i="17"/>
  <c r="M1736" i="17"/>
  <c r="M1737" i="17"/>
  <c r="M1738" i="17"/>
  <c r="M1739" i="17"/>
  <c r="M1740" i="17"/>
  <c r="M1741" i="17"/>
  <c r="M1742" i="17"/>
  <c r="M1743" i="17"/>
  <c r="M1744" i="17"/>
  <c r="M1745" i="17"/>
  <c r="M1746" i="17"/>
  <c r="M1747" i="17"/>
  <c r="M1748" i="17"/>
  <c r="M1749" i="17"/>
  <c r="M1750" i="17"/>
  <c r="M1751" i="17"/>
  <c r="M1752" i="17"/>
  <c r="M1753" i="17"/>
  <c r="M1754" i="17"/>
  <c r="M1755" i="17"/>
  <c r="M1756" i="17"/>
  <c r="M1757" i="17"/>
  <c r="M1758" i="17"/>
  <c r="M1759" i="17"/>
  <c r="M1760" i="17"/>
  <c r="M1761" i="17"/>
  <c r="M1762" i="17"/>
  <c r="M1763" i="17"/>
  <c r="M1764" i="17"/>
  <c r="M1765" i="17"/>
  <c r="M1766" i="17"/>
  <c r="M1767" i="17"/>
  <c r="M1768" i="17"/>
  <c r="M1769" i="17"/>
  <c r="M1770" i="17"/>
  <c r="M1771" i="17"/>
  <c r="M1772" i="17"/>
  <c r="M1773" i="17"/>
  <c r="M1774" i="17"/>
  <c r="M1775" i="17"/>
  <c r="M1776" i="17"/>
  <c r="M1777" i="17"/>
  <c r="M1778" i="17"/>
  <c r="M1779" i="17"/>
  <c r="M1780" i="17"/>
  <c r="M1781" i="17"/>
  <c r="M1782" i="17"/>
  <c r="M1783" i="17"/>
  <c r="M1784" i="17"/>
  <c r="M1785" i="17"/>
  <c r="M1786" i="17"/>
  <c r="M1787" i="17"/>
  <c r="M1788" i="17"/>
  <c r="M1789" i="17"/>
  <c r="M1790" i="17"/>
  <c r="M1791" i="17"/>
  <c r="M1792" i="17"/>
  <c r="M1793" i="17"/>
  <c r="M1794" i="17"/>
  <c r="M1795" i="17"/>
  <c r="M1796" i="17"/>
  <c r="M1797" i="17"/>
  <c r="M1798" i="17"/>
  <c r="M1799" i="17"/>
  <c r="M1800" i="17"/>
  <c r="M1801" i="17"/>
  <c r="M1802" i="17"/>
  <c r="M1803" i="17"/>
  <c r="M1804" i="17"/>
  <c r="M1805" i="17"/>
  <c r="M1806" i="17"/>
  <c r="M1807" i="17"/>
  <c r="M1808" i="17"/>
  <c r="M1809" i="17"/>
  <c r="M2" i="12"/>
  <c r="M3" i="12"/>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2" i="11"/>
  <c r="M3" i="11"/>
  <c r="M4" i="11"/>
  <c r="M5" i="11"/>
  <c r="M6" i="11"/>
  <c r="M7" i="11"/>
  <c r="M8" i="11"/>
  <c r="M9" i="11"/>
  <c r="M10" i="11"/>
  <c r="M11" i="11"/>
  <c r="M12" i="11"/>
  <c r="M13" i="11"/>
  <c r="M14" i="11"/>
  <c r="M15" i="11"/>
  <c r="M16" i="11"/>
  <c r="M17" i="11"/>
  <c r="M18" i="11"/>
  <c r="M19" i="11"/>
  <c r="M20" i="11"/>
  <c r="M21" i="11"/>
  <c r="M22" i="11"/>
  <c r="M23" i="11"/>
  <c r="M24" i="11"/>
</calcChain>
</file>

<file path=xl/sharedStrings.xml><?xml version="1.0" encoding="utf-8"?>
<sst xmlns="http://schemas.openxmlformats.org/spreadsheetml/2006/main" count="73565" uniqueCount="12792">
  <si>
    <t>Element Name</t>
  </si>
  <si>
    <t>Definition</t>
  </si>
  <si>
    <t>Option Set</t>
  </si>
  <si>
    <t>Domain -&gt; Entity -&gt; Category</t>
  </si>
  <si>
    <t>Status</t>
  </si>
  <si>
    <t>Format</t>
  </si>
  <si>
    <t>Change Notes</t>
  </si>
  <si>
    <t>Usage Notes</t>
  </si>
  <si>
    <t>Global ID</t>
  </si>
  <si>
    <t>Alternate Name</t>
  </si>
  <si>
    <t>Technical Name</t>
  </si>
  <si>
    <t>Use Case/Connection</t>
  </si>
  <si>
    <t>URL</t>
  </si>
  <si>
    <t>Domain</t>
  </si>
  <si>
    <t>Entity</t>
  </si>
  <si>
    <t>Category</t>
  </si>
  <si>
    <t>New Association</t>
  </si>
  <si>
    <t>Use Case / Connection</t>
  </si>
  <si>
    <t>Element Change Status</t>
  </si>
  <si>
    <t>Data Model ID</t>
  </si>
  <si>
    <t>Ability Grouping Status</t>
  </si>
  <si>
    <t>An indication of whether the school has students who are ability grouped for classroom instruction in mathematics or English/reading/language arts.</t>
  </si>
  <si>
    <t xml:space="preserve">Yes
No
</t>
  </si>
  <si>
    <t>000328</t>
  </si>
  <si>
    <t>AbilityGroupingStatus</t>
  </si>
  <si>
    <t>K-12 -&gt; Civil Rights Data Collection</t>
  </si>
  <si>
    <t>Absent Attendance Category</t>
  </si>
  <si>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</si>
  <si>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</si>
  <si>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</si>
  <si>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</si>
  <si>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</si>
  <si>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</si>
  <si>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</si>
  <si>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</si>
  <si>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</si>
  <si>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</si>
  <si>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</si>
  <si>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</si>
  <si>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</si>
  <si>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</si>
  <si>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</si>
  <si>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</si>
  <si>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</si>
  <si>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</si>
  <si>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</si>
  <si>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</si>
  <si>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</si>
  <si>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</si>
  <si>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</si>
  <si>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</si>
  <si>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</si>
  <si>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</si>
  <si>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</si>
  <si>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</si>
  <si>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</si>
  <si>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</si>
  <si>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</si>
  <si>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</si>
  <si>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</si>
  <si>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</si>
  <si>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t>K12 -&gt; K12 Student -&gt; Academic Record</t>
  </si>
  <si>
    <t>000004</t>
  </si>
  <si>
    <t>AcademicHonorsType</t>
  </si>
  <si>
    <t>K-12 -&gt; High School Generated Transcript
K-12 -&gt; LEA-to-LEA Student Record Exchange
K-12 -&gt; LEA-to-SEA Student Record Exchange</t>
  </si>
  <si>
    <t>Academic Rank</t>
  </si>
  <si>
    <t>Postsecondary -&gt; PS Staff -&gt; Employment</t>
  </si>
  <si>
    <t>000740</t>
  </si>
  <si>
    <t>AcademicRank</t>
  </si>
  <si>
    <t>Postsecondary Education -&gt; IPEDS -&gt; HR</t>
  </si>
  <si>
    <t>Academic Term Designator</t>
  </si>
  <si>
    <t>The academic term for which the data apply.</t>
  </si>
  <si>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</si>
  <si>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</si>
  <si>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</si>
  <si>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</si>
  <si>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</si>
  <si>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</si>
  <si>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</si>
  <si>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</si>
  <si>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</si>
  <si>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</si>
  <si>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</si>
  <si>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</si>
  <si>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</si>
  <si>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</si>
  <si>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</si>
  <si>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</si>
  <si>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</si>
  <si>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</si>
  <si>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</si>
  <si>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</si>
  <si>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</si>
  <si>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</si>
  <si>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</si>
  <si>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</si>
  <si>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</si>
  <si>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</si>
  <si>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</si>
  <si>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</si>
  <si>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</si>
  <si>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</si>
  <si>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</si>
  <si>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</si>
  <si>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</si>
  <si>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</si>
  <si>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</si>
  <si>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</si>
  <si>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</si>
  <si>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</si>
  <si>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</si>
  <si>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</si>
  <si>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</si>
  <si>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</si>
  <si>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</si>
  <si>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</si>
  <si>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</si>
  <si>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</si>
  <si>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</si>
  <si>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</si>
  <si>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</si>
  <si>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</si>
  <si>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</si>
  <si>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</si>
  <si>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</si>
  <si>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</si>
  <si>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</si>
  <si>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</si>
  <si>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</si>
  <si>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</si>
  <si>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</si>
  <si>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</si>
  <si>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</si>
  <si>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</si>
  <si>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</si>
  <si>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</si>
  <si>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</si>
  <si>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</si>
  <si>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</si>
  <si>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</si>
  <si>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</si>
  <si>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</si>
  <si>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</si>
  <si>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</si>
  <si>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</si>
  <si>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</si>
  <si>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</si>
  <si>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</si>
  <si>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</si>
  <si>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</si>
  <si>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</si>
  <si>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</si>
  <si>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</si>
  <si>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</si>
  <si>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</si>
  <si>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</si>
  <si>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</si>
  <si>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</si>
  <si>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</si>
  <si>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</si>
  <si>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</si>
  <si>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</si>
  <si>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t>Adult Education -&gt; Course Section
Career and Technical -&gt; Course
Career and Technical -&gt; Course Section
K12 -&gt; Course Section
K12 -&gt; K12 Course</t>
  </si>
  <si>
    <t>000596</t>
  </si>
  <si>
    <t>AdditionalCreditType</t>
  </si>
  <si>
    <t>Additional Targeted Support and Improvement Status</t>
  </si>
  <si>
    <t>The designation given to a school by the state for additional targeted support and improvement as part of its statewide system of annual meaningful differentiation.</t>
  </si>
  <si>
    <t>New</t>
  </si>
  <si>
    <t>001925</t>
  </si>
  <si>
    <t>AdditionalTargetedSupportAndImprovementStatus</t>
  </si>
  <si>
    <t>Address Apartment Room or Suite Number</t>
  </si>
  <si>
    <t>The apartment, room, or suite number of an address.</t>
  </si>
  <si>
    <t>Updated</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</si>
  <si>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</si>
  <si>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</si>
  <si>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</si>
  <si>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</si>
  <si>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</si>
  <si>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</si>
  <si>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</si>
  <si>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</si>
  <si>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</si>
  <si>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</si>
  <si>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</si>
  <si>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</si>
  <si>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</si>
  <si>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</si>
  <si>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</si>
  <si>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</si>
  <si>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</si>
  <si>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</si>
  <si>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Alphanumeric - 150 characters maximum</t>
  </si>
  <si>
    <t>000269</t>
  </si>
  <si>
    <t>AddressStreetNumberAndName</t>
  </si>
  <si>
    <t>Address Type for Learner or Family</t>
  </si>
  <si>
    <t>The type of address listed for a learner or a parent, guardian, family member or related person.</t>
  </si>
  <si>
    <t>000010</t>
  </si>
  <si>
    <t>AddressTypeForLearnerOrFamily</t>
  </si>
  <si>
    <t>Postsecondary Education -&gt; Complete College America
Postsecondary Education -&gt; IPEDS</t>
  </si>
  <si>
    <t>Address Type for Organization</t>
  </si>
  <si>
    <t>The type of address listed for an organization.</t>
  </si>
  <si>
    <t>001066</t>
  </si>
  <si>
    <t>AddressTypeForOrganization</t>
  </si>
  <si>
    <t>Address Type for Staff</t>
  </si>
  <si>
    <t>The address type for a staff member.</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</si>
  <si>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</si>
  <si>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</si>
  <si>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</si>
  <si>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</si>
  <si>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</si>
  <si>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</si>
  <si>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</si>
  <si>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</si>
  <si>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</si>
  <si>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</si>
  <si>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</si>
  <si>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</si>
  <si>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</si>
  <si>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</si>
  <si>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</si>
  <si>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</si>
  <si>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</si>
  <si>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</si>
  <si>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</si>
  <si>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</si>
  <si>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</si>
  <si>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</si>
  <si>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</si>
  <si>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</si>
  <si>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t>K12 -&gt; K12 School -&gt; Directory</t>
  </si>
  <si>
    <t>000012</t>
  </si>
  <si>
    <t>AdministrativeFundingControl</t>
  </si>
  <si>
    <t>Administrative Policy Type</t>
  </si>
  <si>
    <t>A type of administrative policy used by a program.</t>
  </si>
  <si>
    <t>More than one Administrative Policy Type may apply.</t>
  </si>
  <si>
    <t>000983</t>
  </si>
  <si>
    <t>AdministrativePolicyType</t>
  </si>
  <si>
    <t>Admission Consideration Level</t>
  </si>
  <si>
    <t>The level of consideration given a type of admission criteria used at an institution during the selection process.</t>
  </si>
  <si>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</si>
  <si>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</si>
  <si>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</si>
  <si>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</si>
  <si>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</si>
  <si>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</si>
  <si>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t>001580</t>
  </si>
  <si>
    <t>AdmissionConsiderationType</t>
  </si>
  <si>
    <t>Admitted Student</t>
  </si>
  <si>
    <t>Applicant who has been granted an official offer to enroll in a postsecondary institution. Admitted applicants should include wait-listed students who were subsequently offered admission.</t>
  </si>
  <si>
    <t>Postsecondary -&gt; PS Applicant</t>
  </si>
  <si>
    <t>000756</t>
  </si>
  <si>
    <t>AdmittedStudent</t>
  </si>
  <si>
    <t>Postsecondary Education -&gt; Common Data Set</t>
  </si>
  <si>
    <t>Adult Education Certification Type</t>
  </si>
  <si>
    <t>001085</t>
  </si>
  <si>
    <t>AdultEducationCertificationType</t>
  </si>
  <si>
    <t>Adult Education Instructional Program Type</t>
  </si>
  <si>
    <t>The type of instructional program in which an adult is enrolled.</t>
  </si>
  <si>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</si>
  <si>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</si>
  <si>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</si>
  <si>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</si>
  <si>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</si>
  <si>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</si>
  <si>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</si>
  <si>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</si>
  <si>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</si>
  <si>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</si>
  <si>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</si>
  <si>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</si>
  <si>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</si>
  <si>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</si>
  <si>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</si>
  <si>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</si>
  <si>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</si>
  <si>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</si>
  <si>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</si>
  <si>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</si>
  <si>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</si>
  <si>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</si>
  <si>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</si>
  <si>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</si>
  <si>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</si>
  <si>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</si>
  <si>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</si>
  <si>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t>Also see Adult Education Instructional Program Type</t>
  </si>
  <si>
    <t>000782</t>
  </si>
  <si>
    <t>AdultEducationSpecialProgramType</t>
  </si>
  <si>
    <t>Adult Education Staff Classification</t>
  </si>
  <si>
    <t>The titles of employment, official status, or rank of adult education staff.</t>
  </si>
  <si>
    <t>Adult Education -&gt; AE Staff -&gt; Employment</t>
  </si>
  <si>
    <t>000786</t>
  </si>
  <si>
    <t>AdultEducationStaffClassification</t>
  </si>
  <si>
    <t>Adult Education Staff Employment Status</t>
  </si>
  <si>
    <t>The condition under which a person has agreed to serve as an employee.</t>
  </si>
  <si>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</si>
  <si>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</si>
  <si>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</si>
  <si>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</si>
  <si>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</si>
  <si>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</si>
  <si>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</si>
  <si>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</si>
  <si>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</si>
  <si>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</si>
  <si>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</si>
  <si>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</si>
  <si>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</si>
  <si>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</si>
  <si>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</si>
  <si>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</si>
  <si>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</si>
  <si>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</si>
  <si>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</si>
  <si>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</si>
  <si>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</si>
  <si>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</si>
  <si>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</si>
  <si>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</si>
  <si>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</si>
  <si>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</si>
  <si>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</si>
  <si>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</si>
  <si>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</si>
  <si>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</si>
  <si>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</si>
  <si>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</si>
  <si>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</si>
  <si>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Alphanumeric</t>
  </si>
  <si>
    <t>001281</t>
  </si>
  <si>
    <t>AllergyReactionDescription</t>
  </si>
  <si>
    <t>Allergy Severity</t>
  </si>
  <si>
    <t>The level of severity of a person's reaction to an allergen.</t>
  </si>
  <si>
    <t>001282</t>
  </si>
  <si>
    <t>AllergySeverity</t>
  </si>
  <si>
    <t>Allergy Type</t>
  </si>
  <si>
    <t>Type of allergy condition attributed to a person as defined by the SNOWMED Clinical Terms(r) vocabulary.</t>
  </si>
  <si>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</si>
  <si>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</si>
  <si>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</si>
  <si>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</si>
  <si>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</si>
  <si>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</si>
  <si>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</si>
  <si>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</si>
  <si>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</si>
  <si>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</si>
  <si>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</si>
  <si>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</si>
  <si>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</si>
  <si>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</si>
  <si>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</si>
  <si>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</si>
  <si>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</si>
  <si>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</si>
  <si>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</si>
  <si>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</si>
  <si>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</si>
  <si>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</si>
  <si>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</si>
  <si>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</si>
  <si>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</si>
  <si>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</si>
  <si>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</si>
  <si>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</si>
  <si>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</si>
  <si>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</si>
  <si>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</si>
  <si>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</si>
  <si>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</si>
  <si>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</si>
  <si>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</si>
  <si>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</si>
  <si>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</si>
  <si>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</si>
  <si>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</si>
  <si>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</si>
  <si>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</si>
  <si>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</si>
  <si>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</si>
  <si>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</si>
  <si>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</si>
  <si>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</si>
  <si>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</si>
  <si>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</si>
  <si>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</si>
  <si>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</si>
  <si>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</si>
  <si>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</si>
  <si>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</si>
  <si>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</si>
  <si>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</si>
  <si>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</si>
  <si>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</si>
  <si>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</si>
  <si>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</si>
  <si>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</si>
  <si>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</si>
  <si>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</si>
  <si>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</si>
  <si>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</si>
  <si>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</si>
  <si>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</si>
  <si>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</si>
  <si>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</si>
  <si>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</si>
  <si>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</si>
  <si>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</si>
  <si>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</si>
  <si>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</si>
  <si>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</si>
  <si>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</si>
  <si>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</si>
  <si>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</si>
  <si>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</si>
  <si>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</si>
  <si>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</si>
  <si>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</si>
  <si>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</si>
  <si>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</si>
  <si>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</si>
  <si>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</si>
  <si>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</si>
  <si>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</si>
  <si>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</si>
  <si>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</si>
  <si>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</si>
  <si>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</si>
  <si>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</si>
  <si>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</si>
  <si>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</si>
  <si>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</si>
  <si>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</si>
  <si>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</si>
  <si>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</si>
  <si>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</si>
  <si>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</si>
  <si>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</si>
  <si>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</si>
  <si>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</si>
  <si>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</si>
  <si>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</si>
  <si>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</si>
  <si>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</si>
  <si>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</si>
  <si>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</si>
  <si>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</si>
  <si>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</si>
  <si>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</si>
  <si>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</si>
  <si>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</si>
  <si>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</si>
  <si>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</si>
  <si>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</si>
  <si>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</si>
  <si>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</si>
  <si>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</si>
  <si>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</si>
  <si>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</si>
  <si>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</si>
  <si>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</si>
  <si>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</si>
  <si>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</si>
  <si>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</si>
  <si>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</si>
  <si>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</si>
  <si>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</si>
  <si>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</si>
  <si>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</si>
  <si>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</si>
  <si>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</si>
  <si>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</si>
  <si>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</si>
  <si>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</si>
  <si>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</si>
  <si>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</si>
  <si>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</si>
  <si>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</si>
  <si>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</si>
  <si>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</si>
  <si>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</si>
  <si>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</si>
  <si>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</si>
  <si>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</si>
  <si>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</si>
  <si>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</si>
  <si>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</si>
  <si>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001196</t>
  </si>
  <si>
    <t>AssessmentAssetType</t>
  </si>
  <si>
    <t>Assessment Asset Version</t>
  </si>
  <si>
    <t>A version number or label defined by the publisher.</t>
  </si>
  <si>
    <t>001195</t>
  </si>
  <si>
    <t>AssessmentAssetVersion</t>
  </si>
  <si>
    <t>Assessment Content Standard Type</t>
  </si>
  <si>
    <t>An indication as to whether an assessment conforms to a standard.</t>
  </si>
  <si>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</si>
  <si>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</si>
  <si>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</si>
  <si>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</si>
  <si>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</si>
  <si>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</si>
  <si>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t>001000</t>
  </si>
  <si>
    <t>AssessmentEarlyLearningDevelopmentalDomain</t>
  </si>
  <si>
    <t>K-12 -&gt; EDFacts
School Readiness</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</si>
  <si>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</si>
  <si>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</si>
  <si>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</si>
  <si>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</si>
  <si>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</si>
  <si>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</si>
  <si>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</si>
  <si>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</si>
  <si>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</si>
  <si>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</si>
  <si>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</si>
  <si>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</si>
  <si>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</si>
  <si>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</si>
  <si>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</si>
  <si>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</si>
  <si>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</si>
  <si>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</si>
  <si>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</si>
  <si>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</si>
  <si>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</si>
  <si>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</si>
  <si>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</si>
  <si>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</si>
  <si>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</si>
  <si>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</si>
  <si>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</si>
  <si>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</si>
  <si>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</si>
  <si>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</si>
  <si>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</si>
  <si>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001535</t>
  </si>
  <si>
    <t>AssessmentFormGUID</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</si>
  <si>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</si>
  <si>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</si>
  <si>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</si>
  <si>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</si>
  <si>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</si>
  <si>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</si>
  <si>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</si>
  <si>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</si>
  <si>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</si>
  <si>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</si>
  <si>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</si>
  <si>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</si>
  <si>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</si>
  <si>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</si>
  <si>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</si>
  <si>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</si>
  <si>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</si>
  <si>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</si>
  <si>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</si>
  <si>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</si>
  <si>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</si>
  <si>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</si>
  <si>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</si>
  <si>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</si>
  <si>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</si>
  <si>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</si>
  <si>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</si>
  <si>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</si>
  <si>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</si>
  <si>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</si>
  <si>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</si>
  <si>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</si>
  <si>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</si>
  <si>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</si>
  <si>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</si>
  <si>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</si>
  <si>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</si>
  <si>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</si>
  <si>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</si>
  <si>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</si>
  <si>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</si>
  <si>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</si>
  <si>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</si>
  <si>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</si>
  <si>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</si>
  <si>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</si>
  <si>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</si>
  <si>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</si>
  <si>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</si>
  <si>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</si>
  <si>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</si>
  <si>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</si>
  <si>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</si>
  <si>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</si>
  <si>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</si>
  <si>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</si>
  <si>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</si>
  <si>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</si>
  <si>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</si>
  <si>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</si>
  <si>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</si>
  <si>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</si>
  <si>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</si>
  <si>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</si>
  <si>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</si>
  <si>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</si>
  <si>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</si>
  <si>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</si>
  <si>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</si>
  <si>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</si>
  <si>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</si>
  <si>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</si>
  <si>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</si>
  <si>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</si>
  <si>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</si>
  <si>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</si>
  <si>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</si>
  <si>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</si>
  <si>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</si>
  <si>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</si>
  <si>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</si>
  <si>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</si>
  <si>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t>Assessments -&gt; Assessment
Assessments -&gt; Assessment Administration
Assessments -&gt; Assessment Registration
Credentials -&gt; Credential Award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</si>
  <si>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</si>
  <si>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</si>
  <si>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</si>
  <si>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</si>
  <si>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Assessments -&gt; Assessment
Assessments -&gt; Assessment Administration
Credentials -&gt; Credential Award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</si>
  <si>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</si>
  <si>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</si>
  <si>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</si>
  <si>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</si>
  <si>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</si>
  <si>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</si>
  <si>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</si>
  <si>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</si>
  <si>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</si>
  <si>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</si>
  <si>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</si>
  <si>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</si>
  <si>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</si>
  <si>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</si>
  <si>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</si>
  <si>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</si>
  <si>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</si>
  <si>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</si>
  <si>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</si>
  <si>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</si>
  <si>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</si>
  <si>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</si>
  <si>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</si>
  <si>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001134</t>
  </si>
  <si>
    <t>AssessmentItemAPIPOutcomeDeclarationXML</t>
  </si>
  <si>
    <t>Assessment Item APIP Response Declaration XML</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</si>
  <si>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</si>
  <si>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</si>
  <si>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</si>
  <si>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</si>
  <si>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</si>
  <si>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</si>
  <si>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</si>
  <si>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</si>
  <si>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</si>
  <si>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</si>
  <si>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</si>
  <si>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</si>
  <si>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</si>
  <si>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</si>
  <si>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</si>
  <si>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</si>
  <si>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</si>
  <si>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</si>
  <si>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</si>
  <si>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</si>
  <si>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</si>
  <si>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</si>
  <si>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</si>
  <si>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</si>
  <si>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</si>
  <si>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</si>
  <si>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</si>
  <si>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</si>
  <si>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</si>
  <si>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</si>
  <si>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</si>
  <si>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</si>
  <si>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</si>
  <si>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</si>
  <si>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</si>
  <si>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</si>
  <si>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</si>
  <si>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</si>
  <si>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</si>
  <si>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</si>
  <si>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</si>
  <si>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</si>
  <si>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</si>
  <si>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</si>
  <si>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</si>
  <si>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</si>
  <si>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</si>
  <si>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</si>
  <si>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</si>
  <si>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</si>
  <si>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</si>
  <si>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</si>
  <si>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</si>
  <si>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</si>
  <si>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</si>
  <si>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</si>
  <si>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</si>
  <si>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</si>
  <si>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</si>
  <si>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</si>
  <si>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</si>
  <si>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</si>
  <si>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</si>
  <si>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</si>
  <si>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</si>
  <si>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</si>
  <si>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</si>
  <si>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</si>
  <si>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</si>
  <si>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</si>
  <si>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</si>
  <si>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</si>
  <si>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</si>
  <si>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</si>
  <si>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</si>
  <si>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</si>
  <si>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</si>
  <si>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</si>
  <si>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</si>
  <si>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</si>
  <si>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</si>
  <si>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</si>
  <si>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</si>
  <si>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</si>
  <si>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</si>
  <si>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</si>
  <si>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</si>
  <si>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</si>
  <si>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</si>
  <si>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</si>
  <si>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</si>
  <si>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</si>
  <si>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</si>
  <si>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</si>
  <si>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</si>
  <si>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</si>
  <si>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</si>
  <si>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</si>
  <si>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</si>
  <si>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</si>
  <si>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</si>
  <si>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</si>
  <si>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</si>
  <si>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</si>
  <si>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</si>
  <si>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</si>
  <si>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</si>
  <si>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</si>
  <si>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</si>
  <si>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</si>
  <si>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</si>
  <si>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</si>
  <si>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</si>
  <si>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</si>
  <si>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</si>
  <si>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</si>
  <si>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</si>
  <si>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</si>
  <si>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</si>
  <si>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</si>
  <si>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</si>
  <si>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</si>
  <si>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</si>
  <si>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</si>
  <si>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</si>
  <si>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</si>
  <si>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</si>
  <si>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</si>
  <si>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</si>
  <si>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</si>
  <si>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</si>
  <si>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</si>
  <si>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</si>
  <si>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</si>
  <si>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</si>
  <si>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</si>
  <si>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</si>
  <si>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</si>
  <si>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</si>
  <si>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</si>
  <si>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</si>
  <si>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</si>
  <si>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</si>
  <si>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</si>
  <si>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</si>
  <si>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</si>
  <si>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</si>
  <si>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</si>
  <si>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</si>
  <si>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</si>
  <si>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</si>
  <si>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</si>
  <si>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</si>
  <si>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</si>
  <si>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</si>
  <si>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</si>
  <si>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</si>
  <si>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</si>
  <si>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</si>
  <si>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</si>
  <si>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</si>
  <si>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</si>
  <si>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</si>
  <si>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</si>
  <si>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</si>
  <si>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</si>
  <si>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</si>
  <si>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</si>
  <si>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</si>
  <si>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</si>
  <si>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</si>
  <si>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</si>
  <si>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</si>
  <si>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</si>
  <si>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</si>
  <si>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</si>
  <si>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</si>
  <si>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</si>
  <si>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</si>
  <si>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</si>
  <si>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</si>
  <si>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</si>
  <si>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</si>
  <si>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</si>
  <si>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</si>
  <si>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</si>
  <si>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</si>
  <si>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</si>
  <si>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</si>
  <si>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</si>
  <si>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</si>
  <si>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</si>
  <si>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</si>
  <si>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</si>
  <si>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</si>
  <si>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</si>
  <si>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</si>
  <si>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</si>
  <si>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</si>
  <si>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</si>
  <si>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</si>
  <si>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</si>
  <si>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</si>
  <si>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000957</t>
  </si>
  <si>
    <t>AssessmentItemResponseFirstAttemptDuration</t>
  </si>
  <si>
    <t>Assessment Item Response Hint Count</t>
  </si>
  <si>
    <t>000955</t>
  </si>
  <si>
    <t>AssessmentItemResponseHintCount</t>
  </si>
  <si>
    <t>Assessment Item Response Hint Included Answer</t>
  </si>
  <si>
    <t>Indicates that one of the hints presented included the correct answer.</t>
  </si>
  <si>
    <t>000956</t>
  </si>
  <si>
    <t>AssessmentItemResponseHintIncludedAnswer</t>
  </si>
  <si>
    <t>Assessment Item Response Scaffolding Item Flag</t>
  </si>
  <si>
    <t>000954</t>
  </si>
  <si>
    <t>AssessmentItemResponseScaffoldingItemFlag</t>
  </si>
  <si>
    <t>Assessment Item Response Score Status</t>
  </si>
  <si>
    <t>The status of scoring a person's response to an assessment item.</t>
  </si>
  <si>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</si>
  <si>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</si>
  <si>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</si>
  <si>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</si>
  <si>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</si>
  <si>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</si>
  <si>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</si>
  <si>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</si>
  <si>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</si>
  <si>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</si>
  <si>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</si>
  <si>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</si>
  <si>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</si>
  <si>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</si>
  <si>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</si>
  <si>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</si>
  <si>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</si>
  <si>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</si>
  <si>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</si>
  <si>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</si>
  <si>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</si>
  <si>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t>000405</t>
  </si>
  <si>
    <t>AssessmentItemResponseStatus</t>
  </si>
  <si>
    <t>Assessment Item Response Theory DIF Value</t>
  </si>
  <si>
    <t>Assessments -&gt; Assessment Item -&gt; Assessment Item Response Theory</t>
  </si>
  <si>
    <t>001264</t>
  </si>
  <si>
    <t>AssessmentItemResponseTheoryDIFValue</t>
  </si>
  <si>
    <t>Assessment Item Response Theory Kappa Algorithm</t>
  </si>
  <si>
    <t>The algorithm used to derive the Assessment Item Kappa Value</t>
  </si>
  <si>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</si>
  <si>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</si>
  <si>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</si>
  <si>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</si>
  <si>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</si>
  <si>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</si>
  <si>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</si>
  <si>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</si>
  <si>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</si>
  <si>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</si>
  <si>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</si>
  <si>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</si>
  <si>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</si>
  <si>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</si>
  <si>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</si>
  <si>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</si>
  <si>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</si>
  <si>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</si>
  <si>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001255</t>
  </si>
  <si>
    <t>AssessmentItemResponseTheoryParameterD1</t>
  </si>
  <si>
    <t>Assessment Item Response Theory Parameter D2</t>
  </si>
  <si>
    <t>001256</t>
  </si>
  <si>
    <t>AssessmentItemResponseTheoryParameterD2</t>
  </si>
  <si>
    <t>Assessment Item Response Theory Parameter D3</t>
  </si>
  <si>
    <t>001257</t>
  </si>
  <si>
    <t>AssessmentItemResponseTheoryParameterD3</t>
  </si>
  <si>
    <t>Assessment Item Response Theory Parameter D4</t>
  </si>
  <si>
    <t>001258</t>
  </si>
  <si>
    <t>AssessmentItemResponseTheoryParameterD4</t>
  </si>
  <si>
    <t>Assessment Item Response Theory Parameter D5</t>
  </si>
  <si>
    <t>001259</t>
  </si>
  <si>
    <t>AssessmentItemResponseTheoryParameterD5</t>
  </si>
  <si>
    <t>Assessment Item Response Theory Parameter D6</t>
  </si>
  <si>
    <t>001260</t>
  </si>
  <si>
    <t>AssessmentItemResponseTheoryParameterD6</t>
  </si>
  <si>
    <t>Assessment Item Response Theory Parameter Difficulty Category</t>
  </si>
  <si>
    <t>A category for the difficulty of the item based on the Item Response Theory value.</t>
  </si>
  <si>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</si>
  <si>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</si>
  <si>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</si>
  <si>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</si>
  <si>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</si>
  <si>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</si>
  <si>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</si>
  <si>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</si>
  <si>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</si>
  <si>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</si>
  <si>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</si>
  <si>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</si>
  <si>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</si>
  <si>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</si>
  <si>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</si>
  <si>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</si>
  <si>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</si>
  <si>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</si>
  <si>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</si>
  <si>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001268</t>
  </si>
  <si>
    <t>AssessmentItemStimulus</t>
  </si>
  <si>
    <t>Assessment Item Text Complexity System</t>
  </si>
  <si>
    <t>The scaling system used to specify the text complexity of an assessment item.</t>
  </si>
  <si>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</si>
  <si>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</si>
  <si>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</si>
  <si>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</si>
  <si>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</si>
  <si>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</si>
  <si>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</si>
  <si>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</si>
  <si>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t>000390</t>
  </si>
  <si>
    <t>AssessmentItemType</t>
  </si>
  <si>
    <t>Assessment Language</t>
  </si>
  <si>
    <t>The language in which the assessment form is designed to be delivered.</t>
  </si>
  <si>
    <t>001089</t>
  </si>
  <si>
    <t>AssessmentLanguage</t>
  </si>
  <si>
    <t>Assessment Level for Which Designed</t>
  </si>
  <si>
    <t>The typical grade or combination of grade-levels, developmental levels, or age-levels for which an assessment is designed.</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</si>
  <si>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</si>
  <si>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</si>
  <si>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</si>
  <si>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</si>
  <si>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</si>
  <si>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</si>
  <si>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</si>
  <si>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</si>
  <si>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</si>
  <si>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</si>
  <si>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</si>
  <si>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</si>
  <si>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</si>
  <si>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</si>
  <si>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</si>
  <si>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</si>
  <si>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</si>
  <si>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</si>
  <si>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</si>
  <si>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</si>
  <si>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</si>
  <si>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</si>
  <si>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t>001032</t>
  </si>
  <si>
    <t>AssessmentNeedBrailleGradeType</t>
  </si>
  <si>
    <t>Assessment Need Braille Mark Type</t>
  </si>
  <si>
    <t>Defines as part of an Assessment Personal Needs Profile what textual properties to mark when using a Braille display.</t>
  </si>
  <si>
    <t>001035</t>
  </si>
  <si>
    <t>AssessmentNeedBrailleMarkType</t>
  </si>
  <si>
    <t>Assessment Need Braille Status Cell Type</t>
  </si>
  <si>
    <t>Defines as part of an Assessment Personal Needs Profile the preferred presence or location of a Braille display status cell.</t>
  </si>
  <si>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</si>
  <si>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</si>
  <si>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</si>
  <si>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</si>
  <si>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</si>
  <si>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</si>
  <si>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</si>
  <si>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</si>
  <si>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</si>
  <si>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</si>
  <si>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</si>
  <si>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</si>
  <si>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t>001024</t>
  </si>
  <si>
    <t>AssessmentNeedHazardType</t>
  </si>
  <si>
    <t>Assessment Need Increased Whitespacing Type</t>
  </si>
  <si>
    <t>Defines the user preferences for white spacing in lines, words and characters as part of an Assessment Personal Needs Profile.</t>
  </si>
  <si>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</si>
  <si>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</si>
  <si>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</si>
  <si>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</si>
  <si>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</si>
  <si>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</si>
  <si>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</si>
  <si>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</si>
  <si>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</si>
  <si>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</si>
  <si>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</si>
  <si>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</si>
  <si>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</si>
  <si>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</si>
  <si>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</si>
  <si>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</si>
  <si>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</si>
  <si>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</si>
  <si>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</si>
  <si>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</si>
  <si>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</si>
  <si>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</si>
  <si>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</si>
  <si>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</si>
  <si>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</si>
  <si>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</si>
  <si>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</si>
  <si>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</si>
  <si>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</si>
  <si>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</si>
  <si>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</si>
  <si>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</si>
  <si>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</si>
  <si>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</si>
  <si>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</si>
  <si>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</si>
  <si>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</si>
  <si>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</si>
  <si>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</si>
  <si>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</si>
  <si>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</si>
  <si>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</si>
  <si>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</si>
  <si>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</si>
  <si>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</si>
  <si>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</si>
  <si>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</si>
  <si>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</si>
  <si>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</si>
  <si>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</si>
  <si>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</si>
  <si>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</si>
  <si>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</si>
  <si>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</si>
  <si>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</si>
  <si>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</si>
  <si>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</si>
  <si>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</si>
  <si>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</si>
  <si>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</si>
  <si>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</si>
  <si>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</si>
  <si>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</si>
  <si>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</si>
  <si>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</si>
  <si>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</si>
  <si>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</si>
  <si>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</si>
  <si>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t>001042</t>
  </si>
  <si>
    <t>AssessmentNeedSpokenSourcePreferenceType</t>
  </si>
  <si>
    <t>Assessment Need Support Tool Type</t>
  </si>
  <si>
    <t>Defines as part of an Assessment Personal Needs Profile the electronic tool associated with a resource.</t>
  </si>
  <si>
    <t>001025</t>
  </si>
  <si>
    <t>AssessmentNeedSupportToolType</t>
  </si>
  <si>
    <t>Assessment Need Text Messaging String</t>
  </si>
  <si>
    <t>001047</t>
  </si>
  <si>
    <t>AssessmentNeedTextMessagingString</t>
  </si>
  <si>
    <t>Assessment Need Time Multiplier</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</si>
  <si>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</si>
  <si>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</si>
  <si>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</si>
  <si>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</si>
  <si>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</si>
  <si>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</si>
  <si>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</si>
  <si>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</si>
  <si>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</si>
  <si>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</si>
  <si>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t>001026</t>
  </si>
  <si>
    <t>AssessmentNeedUsageType</t>
  </si>
  <si>
    <t>Assessment Need User Spoken Preference Type</t>
  </si>
  <si>
    <t>Used as part of an Assessment Personal Needs Profile to define the type of material that should be rendered using the read aloud alternative content.</t>
  </si>
  <si>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</si>
  <si>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</si>
  <si>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</si>
  <si>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</si>
  <si>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</si>
  <si>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</si>
  <si>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</si>
  <si>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</si>
  <si>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</si>
  <si>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</si>
  <si>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</si>
  <si>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</si>
  <si>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</si>
  <si>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</si>
  <si>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</si>
  <si>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</si>
  <si>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</si>
  <si>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</si>
  <si>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</si>
  <si>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</si>
  <si>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</si>
  <si>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</si>
  <si>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</si>
  <si>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</si>
  <si>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</si>
  <si>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</si>
  <si>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</si>
  <si>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</si>
  <si>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</si>
  <si>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</si>
  <si>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t>Assessments -&gt; Assessment Participant Session
Assessments -&gt; Assessment Registration</t>
  </si>
  <si>
    <t>000386</t>
  </si>
  <si>
    <t>AssessmentParticipantSessionPlatformType</t>
  </si>
  <si>
    <t>Assessment Participant Session Platform User Agent</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</si>
  <si>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</si>
  <si>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</si>
  <si>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</si>
  <si>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</si>
  <si>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</si>
  <si>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</si>
  <si>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</si>
  <si>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</si>
  <si>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</si>
  <si>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</si>
  <si>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</si>
  <si>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</si>
  <si>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</si>
  <si>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</si>
  <si>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</si>
  <si>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</si>
  <si>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</si>
  <si>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</si>
  <si>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</si>
  <si>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</si>
  <si>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</si>
  <si>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</si>
  <si>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</si>
  <si>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</si>
  <si>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</si>
  <si>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</si>
  <si>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</si>
  <si>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</si>
  <si>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</si>
  <si>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</si>
  <si>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</si>
  <si>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</si>
  <si>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</si>
  <si>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</si>
  <si>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</si>
  <si>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</si>
  <si>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</si>
  <si>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</si>
  <si>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</si>
  <si>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</si>
  <si>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</si>
  <si>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</si>
  <si>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</si>
  <si>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</si>
  <si>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</si>
  <si>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</si>
  <si>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</si>
  <si>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</si>
  <si>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</si>
  <si>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</si>
  <si>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</si>
  <si>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</si>
  <si>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</si>
  <si>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</si>
  <si>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</si>
  <si>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</si>
  <si>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</si>
  <si>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</si>
  <si>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000889</t>
  </si>
  <si>
    <t>AssessmentRegistrationAssignorIdentifier</t>
  </si>
  <si>
    <t>Assessment Registration Completion Status</t>
  </si>
  <si>
    <t>The completion and scoring status for an instance of a person taking an assessment.</t>
  </si>
  <si>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</si>
  <si>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</si>
  <si>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</si>
  <si>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</si>
  <si>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</si>
  <si>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</si>
  <si>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</si>
  <si>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</si>
  <si>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</si>
  <si>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</si>
  <si>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</si>
  <si>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</si>
  <si>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</si>
  <si>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</si>
  <si>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</si>
  <si>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</si>
  <si>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t>001057</t>
  </si>
  <si>
    <t>AssessmentRegistrationGradeLevelToBeAssessed</t>
  </si>
  <si>
    <t>Assessment Registration Participation Indicator</t>
  </si>
  <si>
    <t>An indication of whether a student participated in an assessment.</t>
  </si>
  <si>
    <t>000025</t>
  </si>
  <si>
    <t>AssessmentRegistrationParticipationIndicator</t>
  </si>
  <si>
    <t>Assessment Registration Reason Not Completing</t>
  </si>
  <si>
    <t>The primary reason a participant did not complete an assessment.</t>
  </si>
  <si>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</si>
  <si>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</si>
  <si>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</si>
  <si>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</si>
  <si>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</si>
  <si>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</si>
  <si>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</si>
  <si>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</si>
  <si>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</si>
  <si>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001056</t>
  </si>
  <si>
    <t>AssessmentRegistrationScorePublishDate</t>
  </si>
  <si>
    <t>Assessment Registration Test Attempt Identifier</t>
  </si>
  <si>
    <t>A unique identifier for the test attempt assigned by the delivery system.</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</si>
  <si>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</si>
  <si>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</si>
  <si>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</si>
  <si>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</si>
  <si>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</si>
  <si>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</si>
  <si>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</si>
  <si>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</si>
  <si>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Assessments -&gt; Assessment Result</t>
  </si>
  <si>
    <t>001543</t>
  </si>
  <si>
    <t>AssessmentResultDataType</t>
  </si>
  <si>
    <t>Assessment Result Date Created</t>
  </si>
  <si>
    <t>The date on which the assessment result was generated.</t>
  </si>
  <si>
    <t>000971</t>
  </si>
  <si>
    <t>AssessmentResultDateCreated</t>
  </si>
  <si>
    <t>Assessment Result Date Updated</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</si>
  <si>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</si>
  <si>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</si>
  <si>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</si>
  <si>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</si>
  <si>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</si>
  <si>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</si>
  <si>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</si>
  <si>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</si>
  <si>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</si>
  <si>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</si>
  <si>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</si>
  <si>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</si>
  <si>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</si>
  <si>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</si>
  <si>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</si>
  <si>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</si>
  <si>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001219</t>
  </si>
  <si>
    <t>AssessmentResultDiagnosticStatement</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</si>
  <si>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</si>
  <si>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</si>
  <si>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</si>
  <si>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</si>
  <si>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</si>
  <si>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001007</t>
  </si>
  <si>
    <t>AssessmentResultPreliminaryIndicator</t>
  </si>
  <si>
    <t>Assessment Result Pretest Outcome</t>
  </si>
  <si>
    <t>The results of a pre-test in academic subjects.</t>
  </si>
  <si>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</si>
  <si>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</si>
  <si>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</si>
  <si>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</si>
  <si>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</si>
  <si>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</si>
  <si>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</si>
  <si>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</si>
  <si>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</si>
  <si>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</si>
  <si>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</si>
  <si>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</si>
  <si>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</si>
  <si>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</si>
  <si>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</si>
  <si>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</si>
  <si>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</si>
  <si>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</si>
  <si>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</si>
  <si>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</si>
  <si>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</si>
  <si>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</si>
  <si>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</si>
  <si>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</si>
  <si>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</si>
  <si>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</si>
  <si>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</si>
  <si>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</si>
  <si>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</si>
  <si>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</si>
  <si>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</si>
  <si>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</si>
  <si>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</si>
  <si>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</si>
  <si>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</si>
  <si>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</si>
  <si>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001022</t>
  </si>
  <si>
    <t>AssessmentSessionActualEndDateTime</t>
  </si>
  <si>
    <t>Assessment Session Actual Start Date Time</t>
  </si>
  <si>
    <t>Date and time the assessment actually began.</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</si>
  <si>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</si>
  <si>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</si>
  <si>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</si>
  <si>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</si>
  <si>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</si>
  <si>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</si>
  <si>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</si>
  <si>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</si>
  <si>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</si>
  <si>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</si>
  <si>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</si>
  <si>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</si>
  <si>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Alphanumeric - 45 characters maximum</t>
  </si>
  <si>
    <t>000597</t>
  </si>
  <si>
    <t>AssessmentSessionLocation</t>
  </si>
  <si>
    <t>Assessment Session Proctor Identifier</t>
  </si>
  <si>
    <t>The unique identifier of the person overseeing the assessment session in the setting.</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</si>
  <si>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</si>
  <si>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</si>
  <si>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</si>
  <si>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</si>
  <si>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</si>
  <si>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</si>
  <si>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</si>
  <si>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</si>
  <si>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</si>
  <si>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</si>
  <si>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</si>
  <si>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</si>
  <si>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</si>
  <si>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</si>
  <si>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</si>
  <si>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</si>
  <si>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</si>
  <si>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</si>
  <si>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</si>
  <si>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</si>
  <si>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</si>
  <si>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</si>
  <si>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</si>
  <si>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</si>
  <si>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t>001212</t>
  </si>
  <si>
    <t>AssessmentSessionStaffRoleType</t>
  </si>
  <si>
    <t>Assessment Session Type</t>
  </si>
  <si>
    <t>The type of session that is scheduled.</t>
  </si>
  <si>
    <t>001018</t>
  </si>
  <si>
    <t>AssessmentSessionType</t>
  </si>
  <si>
    <t>Assessment Shared with Parents</t>
  </si>
  <si>
    <t>An indication of whether assessment results are shared with parents.</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</si>
  <si>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</si>
  <si>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</si>
  <si>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</si>
  <si>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</si>
  <si>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</si>
  <si>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</si>
  <si>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</si>
  <si>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</si>
  <si>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</si>
  <si>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</si>
  <si>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</si>
  <si>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</si>
  <si>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</si>
  <si>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</si>
  <si>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</si>
  <si>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</si>
  <si>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</si>
  <si>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</si>
  <si>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</si>
  <si>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</si>
  <si>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</si>
  <si>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</si>
  <si>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</si>
  <si>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</si>
  <si>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</si>
  <si>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</si>
  <si>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</si>
  <si>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</si>
  <si>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</si>
  <si>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</si>
  <si>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</si>
  <si>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</si>
  <si>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</si>
  <si>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</si>
  <si>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</si>
  <si>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</si>
  <si>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</si>
  <si>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</si>
  <si>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</si>
  <si>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</si>
  <si>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</si>
  <si>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</si>
  <si>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</si>
  <si>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</si>
  <si>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</si>
  <si>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</si>
  <si>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</si>
  <si>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</si>
  <si>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</si>
  <si>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</si>
  <si>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</si>
  <si>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</si>
  <si>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</si>
  <si>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</si>
  <si>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</si>
  <si>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</si>
  <si>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</si>
  <si>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</si>
  <si>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</si>
  <si>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</si>
  <si>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t>000029</t>
  </si>
  <si>
    <t>AssessmentType</t>
  </si>
  <si>
    <t>000415</t>
  </si>
  <si>
    <t>Assignment End Date</t>
  </si>
  <si>
    <t>The last year, month and day on which the assignment is valid.</t>
  </si>
  <si>
    <t>000527</t>
  </si>
  <si>
    <t>AssignmentEndDate</t>
  </si>
  <si>
    <t>Assignment Start Date</t>
  </si>
  <si>
    <t>The year, month and day from which the assignment is valid.</t>
  </si>
  <si>
    <t>000526</t>
  </si>
  <si>
    <t>AssignmentStartDate</t>
  </si>
  <si>
    <t>Attendance Event Date</t>
  </si>
  <si>
    <t>The date on which an attendance event takes place.</t>
  </si>
  <si>
    <t>001649</t>
  </si>
  <si>
    <t>AttendanceEventDate</t>
  </si>
  <si>
    <t>Attendance Event Type</t>
  </si>
  <si>
    <t>The type of attendance event.</t>
  </si>
  <si>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</si>
  <si>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</si>
  <si>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</si>
  <si>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</si>
  <si>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</si>
  <si>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t>000076</t>
  </si>
  <si>
    <t>AttendanceStatus</t>
  </si>
  <si>
    <t>Authentication Identity Provider End Date</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</si>
  <si>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</si>
  <si>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</si>
  <si>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</si>
  <si>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</si>
  <si>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</si>
  <si>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</si>
  <si>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</si>
  <si>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</si>
  <si>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</si>
  <si>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</si>
  <si>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</si>
  <si>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</si>
  <si>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001171</t>
  </si>
  <si>
    <t>AuthenticationIdentityProviderStartDate</t>
  </si>
  <si>
    <t>Authentication Identity Provider URI</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</si>
  <si>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</si>
  <si>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</si>
  <si>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</si>
  <si>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</si>
  <si>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</si>
  <si>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</si>
  <si>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</si>
  <si>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</si>
  <si>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</si>
  <si>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</si>
  <si>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</si>
  <si>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</si>
  <si>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</si>
  <si>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</si>
  <si>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</si>
  <si>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</si>
  <si>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</si>
  <si>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</si>
  <si>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</si>
  <si>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</si>
  <si>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</si>
  <si>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</si>
  <si>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</si>
  <si>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</si>
  <si>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</si>
  <si>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</si>
  <si>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</si>
  <si>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</si>
  <si>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</si>
  <si>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</si>
  <si>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001177</t>
  </si>
  <si>
    <t>AuthorizationEndDate</t>
  </si>
  <si>
    <t>Authorization Start Date</t>
  </si>
  <si>
    <t>001176</t>
  </si>
  <si>
    <t>AuthorizationStartDate</t>
  </si>
  <si>
    <t>Authorizer Type</t>
  </si>
  <si>
    <t>Type of person who authorized the decision or document.</t>
  </si>
  <si>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</si>
  <si>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</si>
  <si>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</si>
  <si>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</si>
  <si>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</si>
  <si>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</si>
  <si>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</si>
  <si>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</si>
  <si>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</si>
  <si>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</si>
  <si>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</si>
  <si>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</si>
  <si>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</si>
  <si>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</si>
  <si>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Foster Care Status</t>
  </si>
  <si>
    <t>An indication of whether this child is awaiting foster care.</t>
  </si>
  <si>
    <t>001929</t>
  </si>
  <si>
    <t>AwaitingFosterCareStatus</t>
  </si>
  <si>
    <t>Awaiting Initial IDEA Evaluation Status</t>
  </si>
  <si>
    <t>000031</t>
  </si>
  <si>
    <t>AwaitingInitialIDEAEvaluationStatus</t>
  </si>
  <si>
    <t>Barrier to Educating Homeless</t>
  </si>
  <si>
    <t>Barriers to the enrollment and success of homeless children and youths.</t>
  </si>
  <si>
    <t>K12 -&gt; LEA -&gt; Program Specific Federal Reporting</t>
  </si>
  <si>
    <t>000449</t>
  </si>
  <si>
    <t>BarrierToEducatingHomeless</t>
  </si>
  <si>
    <t>Billable Basis Type</t>
  </si>
  <si>
    <t>The event/action that results in a billable action.</t>
  </si>
  <si>
    <t>Early Learning -&gt; Early Learning Program</t>
  </si>
  <si>
    <t>001582</t>
  </si>
  <si>
    <t>BillableBasisType</t>
  </si>
  <si>
    <t>Birthdate</t>
  </si>
  <si>
    <t>The year, month and day on which a person was born.</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</si>
  <si>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</si>
  <si>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</si>
  <si>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</si>
  <si>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</si>
  <si>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</si>
  <si>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</si>
  <si>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</si>
  <si>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</si>
  <si>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</si>
  <si>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</si>
  <si>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</si>
  <si>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</si>
  <si>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</si>
  <si>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</si>
  <si>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</si>
  <si>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</si>
  <si>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</si>
  <si>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</si>
  <si>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</si>
  <si>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</si>
  <si>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</si>
  <si>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</si>
  <si>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</si>
  <si>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</si>
  <si>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</si>
  <si>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</si>
  <si>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</si>
  <si>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</si>
  <si>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</si>
  <si>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</si>
  <si>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</si>
  <si>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</si>
  <si>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</si>
  <si>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</si>
  <si>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</si>
  <si>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</si>
  <si>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</si>
  <si>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</si>
  <si>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t>Facilities -&gt; Facility -&gt; Design</t>
  </si>
  <si>
    <t>001813</t>
  </si>
  <si>
    <t>BuildingAdministrativeSpaceType</t>
  </si>
  <si>
    <t>Building Air Distribution System Type</t>
  </si>
  <si>
    <t>The primary means by which air is circulated, freshened, and exhausted.</t>
  </si>
  <si>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</si>
  <si>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</si>
  <si>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</si>
  <si>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</si>
  <si>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</si>
  <si>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</si>
  <si>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</si>
  <si>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</si>
  <si>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</si>
  <si>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</si>
  <si>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</si>
  <si>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</si>
  <si>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</si>
  <si>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</si>
  <si>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</si>
  <si>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</si>
  <si>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</si>
  <si>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t>001814</t>
  </si>
  <si>
    <t>BuildingArtSpecialtySpaceType</t>
  </si>
  <si>
    <t>Building Assembly Space Type</t>
  </si>
  <si>
    <t>An area designed primarily for theater productions, assemblies, and other large gatherings.</t>
  </si>
  <si>
    <t>001836</t>
  </si>
  <si>
    <t>BuildingAssemblySpaceType</t>
  </si>
  <si>
    <t>Building Basic Classroom Design Type</t>
  </si>
  <si>
    <t>A classroom designed for instruction of a particular age group, but not a specific subject.</t>
  </si>
  <si>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</si>
  <si>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</si>
  <si>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</si>
  <si>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</si>
  <si>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</si>
  <si>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</si>
  <si>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</si>
  <si>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</si>
  <si>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t>001817</t>
  </si>
  <si>
    <t>BuildingCareer-TechnicalEducationSpaceType</t>
  </si>
  <si>
    <t>Building Charter School Realty Access Type</t>
  </si>
  <si>
    <t>The type of real estate vehicle through which a public charter school has access and control of its building space.</t>
  </si>
  <si>
    <t>Facilities -&gt; Facility -&gt; Management</t>
  </si>
  <si>
    <t>001865</t>
  </si>
  <si>
    <t>BuildingCharterSchoolRealtyAccessType</t>
  </si>
  <si>
    <t>Building Circulation Space Type</t>
  </si>
  <si>
    <t>A space designed to enable people to move within the building.</t>
  </si>
  <si>
    <t>001818</t>
  </si>
  <si>
    <t>BuildingCirculationSpaceType</t>
  </si>
  <si>
    <t>Building Cleaning Standard Type</t>
  </si>
  <si>
    <t>The standard for cleanliness, and benchmarks for how much space can be assigned to one properly supplied custodian to meet these standards.</t>
  </si>
  <si>
    <t>001866</t>
  </si>
  <si>
    <t>BuildingCleaningStandardType</t>
  </si>
  <si>
    <t>Building Communications Management Component System Type</t>
  </si>
  <si>
    <t>The type of system, interface, and management components for carrying voice, video, and data throughout a building.</t>
  </si>
  <si>
    <t>001791</t>
  </si>
  <si>
    <t>BuildingCommunicationsManagementComponentSystemType</t>
  </si>
  <si>
    <t>Building Community Use Space Type</t>
  </si>
  <si>
    <t>The space designed primarily for community or shared use.</t>
  </si>
  <si>
    <t>001855</t>
  </si>
  <si>
    <t>BuildingCommunityUseSpaceType</t>
  </si>
  <si>
    <t>Building Cooling Generation System Type</t>
  </si>
  <si>
    <t>The type of mechanical systems and building designs used for cooling.</t>
  </si>
  <si>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</si>
  <si>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</si>
  <si>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</si>
  <si>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</si>
  <si>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</si>
  <si>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</si>
  <si>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</si>
  <si>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</si>
  <si>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t>001816</t>
  </si>
  <si>
    <t>BuildingDesignType</t>
  </si>
  <si>
    <t>Building Electrical System Type</t>
  </si>
  <si>
    <t>The components and system required to distribute electricity throughout the building or site.</t>
  </si>
  <si>
    <t>001795</t>
  </si>
  <si>
    <t>BuildingElectricalSystemType</t>
  </si>
  <si>
    <t>Building Energy Conservation Measure Type</t>
  </si>
  <si>
    <t>The type of modification to, or replacement of, a piece of equipment or building shell/system that increases energy efficiency.</t>
  </si>
  <si>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</si>
  <si>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</si>
  <si>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</si>
  <si>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</si>
  <si>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</si>
  <si>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</si>
  <si>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</si>
  <si>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</si>
  <si>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t>001870</t>
  </si>
  <si>
    <t>BuildingEnergySourceType</t>
  </si>
  <si>
    <t>Building Environmental or Energy Performance Rating Category</t>
  </si>
  <si>
    <t>The primary groupings that rating organizations use to evaluate environmental sustainability and energy use.</t>
  </si>
  <si>
    <t>001819</t>
  </si>
  <si>
    <t>BuildingEnvironmentalOrEnergyPerformanceRatingCategory</t>
  </si>
  <si>
    <t>Building Fire Protection System Type</t>
  </si>
  <si>
    <t>The type of system that protects the facility against fire.</t>
  </si>
  <si>
    <t>001798</t>
  </si>
  <si>
    <t>BuildingFireProtectionSystemType</t>
  </si>
  <si>
    <t>Building Food Service Space Type</t>
  </si>
  <si>
    <t>The space located, designed, furnished and equipped to support meal programs.</t>
  </si>
  <si>
    <t>001821</t>
  </si>
  <si>
    <t>BuildingFoodServiceSpaceType</t>
  </si>
  <si>
    <t>Building Full Service Kitchen Type</t>
  </si>
  <si>
    <t>The type of kitchen housed in the facility as defined by whether it prepares food to be served onsite and/or at additional locations.</t>
  </si>
  <si>
    <t>001843</t>
  </si>
  <si>
    <t>BuildingFullServiceKitchenType</t>
  </si>
  <si>
    <t>Building Heating Generation System Type</t>
  </si>
  <si>
    <t>The method by which the heat is distributed and delivered throughout the room(s) or building.</t>
  </si>
  <si>
    <t>001799</t>
  </si>
  <si>
    <t>BuildingHeatingGenerationSystemType</t>
  </si>
  <si>
    <t>Building Historic Status</t>
  </si>
  <si>
    <t>An indication of whether or not a building is eligible to be or has been declared a landmark or historic building.</t>
  </si>
  <si>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</si>
  <si>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</si>
  <si>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</si>
  <si>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</si>
  <si>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</si>
  <si>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</si>
  <si>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</si>
  <si>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</si>
  <si>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</si>
  <si>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t>001800</t>
  </si>
  <si>
    <t>BuildingHVACSystemType</t>
  </si>
  <si>
    <t>Building Indoor Athletic or Physical Education Space Type</t>
  </si>
  <si>
    <t>The indoor space designed, located, furnished, and equipped for instruction and support of a physical education curriculum and athletic program.</t>
  </si>
  <si>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</si>
  <si>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</si>
  <si>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</si>
  <si>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</si>
  <si>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</si>
  <si>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</si>
  <si>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</si>
  <si>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</si>
  <si>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t>001851</t>
  </si>
  <si>
    <t>BuildingInstructionalSpaceFactorType</t>
  </si>
  <si>
    <t>Building Joint Use Rationale Type</t>
  </si>
  <si>
    <t>The reasons for permitting and participating in joint-use.</t>
  </si>
  <si>
    <t>001852</t>
  </si>
  <si>
    <t>BuildingJointUseRationaleType</t>
  </si>
  <si>
    <t>Building Joint Use Scheduling Type</t>
  </si>
  <si>
    <t>The type of designation of non school district users by the amount of time they have access to public school for joint use.</t>
  </si>
  <si>
    <t>001853</t>
  </si>
  <si>
    <t>BuildingJointUseSchedulingType</t>
  </si>
  <si>
    <t>Building Joint User Type</t>
  </si>
  <si>
    <t>The types of users sharing school district controlled, owned, or utilized facilities.</t>
  </si>
  <si>
    <t>001854</t>
  </si>
  <si>
    <t>BuildingJointUserType</t>
  </si>
  <si>
    <t>Building Library or Media Center Specialty Space Type</t>
  </si>
  <si>
    <t>The primary and auxiliary space designed to provide and support student and staff access to books, periodicals, software, videos, and the Internet.</t>
  </si>
  <si>
    <t>001823</t>
  </si>
  <si>
    <t>BuildingLibraryOrMediaCenterSpecialtySpaceType</t>
  </si>
  <si>
    <t>Building Mechanical Conveying System Type</t>
  </si>
  <si>
    <t>Mechanical means for moving people and equipment within buildings.</t>
  </si>
  <si>
    <t>001802</t>
  </si>
  <si>
    <t>BuildingMechanicalConveyingSystemType</t>
  </si>
  <si>
    <t>Building Mechanical System Type</t>
  </si>
  <si>
    <t>The major manufactured systems required to operate a building.</t>
  </si>
  <si>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</si>
  <si>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</si>
  <si>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</si>
  <si>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</si>
  <si>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</si>
  <si>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</si>
  <si>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</si>
  <si>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</si>
  <si>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</si>
  <si>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</si>
  <si>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</si>
  <si>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</si>
  <si>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</si>
  <si>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</si>
  <si>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</si>
  <si>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</si>
  <si>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</si>
  <si>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</si>
  <si>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</si>
  <si>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</si>
  <si>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t>001825</t>
  </si>
  <si>
    <t>BuildingOutdoorAthleticOrPhysicalEducationSpaceType</t>
  </si>
  <si>
    <t>Building Outdoor or Non-athletic Space Type</t>
  </si>
  <si>
    <t>The outdoor space located, designed, furnished, and equipped primarily for recreation, play and outdoor environmental education.</t>
  </si>
  <si>
    <t>001826</t>
  </si>
  <si>
    <t>BuildingOutdoorOrNon-athleticSpaceType</t>
  </si>
  <si>
    <t>Building Performing Arts Specialty Space Type</t>
  </si>
  <si>
    <t>The space designed, located, furnished, and equipped for instruction and support of music and drama curricula and productions.</t>
  </si>
  <si>
    <t>001827</t>
  </si>
  <si>
    <t>BuildingPerformingArtsSpecialtySpaceType</t>
  </si>
  <si>
    <t>Building Plumbing System Type</t>
  </si>
  <si>
    <t>The component of an on-site system for supplying, eliminating, and treating water.</t>
  </si>
  <si>
    <t>001803</t>
  </si>
  <si>
    <t>BuildingPlumbingSystemType</t>
  </si>
  <si>
    <t>Building Primary Use Type</t>
  </si>
  <si>
    <t>The primary use type of the building in which a school is located.</t>
  </si>
  <si>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</si>
  <si>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</si>
  <si>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</si>
  <si>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</si>
  <si>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</si>
  <si>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</si>
  <si>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</si>
  <si>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</si>
  <si>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t>001828</t>
  </si>
  <si>
    <t>BuildingSchoolDesignType</t>
  </si>
  <si>
    <t>Building Science Specialty Space Type</t>
  </si>
  <si>
    <t>The space designed, located, furnished, and equipped for instruction and experimentation in science.</t>
  </si>
  <si>
    <t>001829</t>
  </si>
  <si>
    <t>BuildingScienceSpecialtySpaceType</t>
  </si>
  <si>
    <t>Building Security System Type</t>
  </si>
  <si>
    <t>The type of system that protects the facility from intrusion.</t>
  </si>
  <si>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</si>
  <si>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</si>
  <si>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</si>
  <si>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</si>
  <si>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</si>
  <si>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</si>
  <si>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</si>
  <si>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</si>
  <si>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000602</t>
  </si>
  <si>
    <t>BuildingSiteNumber</t>
  </si>
  <si>
    <t>Building Site Use Restrictions Type</t>
  </si>
  <si>
    <t>A characterization of a site that would define restrictions or opportunities.</t>
  </si>
  <si>
    <t>001860</t>
  </si>
  <si>
    <t>BuildingSiteUseRestrictionsType</t>
  </si>
  <si>
    <t>Building Space Design Type</t>
  </si>
  <si>
    <t>The primary design or purpose of a space, as determined by its physical layout and built-in systems and equipment, regardless of its current use.</t>
  </si>
  <si>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</si>
  <si>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</si>
  <si>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</si>
  <si>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</si>
  <si>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</si>
  <si>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</si>
  <si>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</si>
  <si>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</si>
  <si>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</si>
  <si>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</si>
  <si>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</si>
  <si>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</si>
  <si>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t>001833</t>
  </si>
  <si>
    <t>BuildingStudentSupportSpaceType</t>
  </si>
  <si>
    <t>Building System Type</t>
  </si>
  <si>
    <t>The type of system that is installed in the building or site.</t>
  </si>
  <si>
    <t>001811</t>
  </si>
  <si>
    <t>BuildingSystemType</t>
  </si>
  <si>
    <t>Building Technology Wiring System Type</t>
  </si>
  <si>
    <t>The means through which voice, video, audio, and data information are conveyed.</t>
  </si>
  <si>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</si>
  <si>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</si>
  <si>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</si>
  <si>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</si>
  <si>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</si>
  <si>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</si>
  <si>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</si>
  <si>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</si>
  <si>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t>001206</t>
  </si>
  <si>
    <t>BuildingUseType</t>
  </si>
  <si>
    <t>Building Vertical Transportation System Type</t>
  </si>
  <si>
    <t>The type of system used to convey persons or freight between floors.</t>
  </si>
  <si>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</si>
  <si>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</si>
  <si>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</si>
  <si>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</si>
  <si>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</si>
  <si>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</si>
  <si>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</si>
  <si>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</si>
  <si>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</si>
  <si>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</si>
  <si>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</si>
  <si>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</si>
  <si>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</si>
  <si>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</si>
  <si>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</si>
  <si>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</si>
  <si>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</si>
  <si>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</si>
  <si>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</si>
  <si>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</si>
  <si>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</si>
  <si>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</si>
  <si>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</si>
  <si>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</si>
  <si>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</si>
  <si>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</si>
  <si>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</si>
  <si>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</si>
  <si>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</si>
  <si>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</si>
  <si>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t>000603</t>
  </si>
  <si>
    <t>CalendarEventType</t>
  </si>
  <si>
    <t>Campus Residency Type</t>
  </si>
  <si>
    <t>A person's residency arrangement as defined in the Free Application for Federal Student Aid (FAFSA).</t>
  </si>
  <si>
    <t>Postsecondary -&gt; PS Student -&gt; Demographic</t>
  </si>
  <si>
    <t>000035</t>
  </si>
  <si>
    <t>CampusResidencyType</t>
  </si>
  <si>
    <t>Campus Status</t>
  </si>
  <si>
    <t>The generalized use or control of a campus, independent of program type.</t>
  </si>
  <si>
    <t>001778</t>
  </si>
  <si>
    <t>CampusStatus</t>
  </si>
  <si>
    <t>The primary purpose for which a campus is designed and/or used.</t>
  </si>
  <si>
    <t>001897</t>
  </si>
  <si>
    <t>CampusType</t>
  </si>
  <si>
    <t>Cardiopulmonary Resuscitation Certification Expiration Date</t>
  </si>
  <si>
    <t>The date an individual's cardiopulmonary resuscitation (CPR) training certification expires.</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</si>
  <si>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</si>
  <si>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</si>
  <si>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</si>
  <si>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</si>
  <si>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</si>
  <si>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</si>
  <si>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</si>
  <si>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</si>
  <si>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</si>
  <si>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</si>
  <si>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</si>
  <si>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</si>
  <si>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</si>
  <si>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</si>
  <si>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</si>
  <si>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</si>
  <si>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</si>
  <si>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</si>
  <si>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</si>
  <si>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</si>
  <si>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</si>
  <si>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</si>
  <si>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</si>
  <si>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</si>
  <si>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</si>
  <si>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</si>
  <si>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</si>
  <si>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</si>
  <si>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</si>
  <si>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</si>
  <si>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</si>
  <si>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</si>
  <si>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</si>
  <si>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</si>
  <si>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</si>
  <si>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</si>
  <si>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</si>
  <si>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</si>
  <si>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</si>
  <si>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</si>
  <si>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</si>
  <si>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t>001288</t>
  </si>
  <si>
    <t>CareerCluster</t>
  </si>
  <si>
    <t>Career Education Plan Date</t>
  </si>
  <si>
    <t>The date on which an individual's professional development career plan was last updated.</t>
  </si>
  <si>
    <t>001289</t>
  </si>
  <si>
    <t>CareerEducationPlanDate</t>
  </si>
  <si>
    <t>Career Education Plan Type</t>
  </si>
  <si>
    <t>An indication of whether an individual completed an individualized guidance and counseling plan</t>
  </si>
  <si>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</si>
  <si>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</si>
  <si>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</si>
  <si>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</si>
  <si>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</si>
  <si>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</si>
  <si>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</si>
  <si>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</si>
  <si>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</si>
  <si>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</si>
  <si>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</si>
  <si>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</si>
  <si>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</si>
  <si>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</si>
  <si>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</si>
  <si>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</si>
  <si>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</si>
  <si>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t>000588</t>
  </si>
  <si>
    <t>CTE Nontraditional Gender Status</t>
  </si>
  <si>
    <t>CTENontraditionalGenderStatus</t>
  </si>
  <si>
    <t>Career-Technical-Adult Education Displaced Homemaker Indicator</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</si>
  <si>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</si>
  <si>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</si>
  <si>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</si>
  <si>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</si>
  <si>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</si>
  <si>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</si>
  <si>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t>Postsecondary -&gt; PS Institution -&gt; Directory</t>
  </si>
  <si>
    <t>000038</t>
  </si>
  <si>
    <t>CarnegieBasicClassification</t>
  </si>
  <si>
    <t>K-12 -&gt; High School Feedback Report
Postsecondary Education -&gt; Transition</t>
  </si>
  <si>
    <t>Charter School Approval Year</t>
  </si>
  <si>
    <t>The school year in which a charter school was initially approved.</t>
  </si>
  <si>
    <t>001293</t>
  </si>
  <si>
    <t>CharterSchoolApprovalYear</t>
  </si>
  <si>
    <t>Charter School Authorizer Type</t>
  </si>
  <si>
    <t>The type of agency that authorized the establishment or continuation of a charter school.</t>
  </si>
  <si>
    <t>K12 -&gt; K12 School -&gt; Directory -&gt; Charter School Authorizer</t>
  </si>
  <si>
    <t>001292</t>
  </si>
  <si>
    <t>CharterSchoolAuthorizerType</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</si>
  <si>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</si>
  <si>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</si>
  <si>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</si>
  <si>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</si>
  <si>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</si>
  <si>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</si>
  <si>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</si>
  <si>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</si>
  <si>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</si>
  <si>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</si>
  <si>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</si>
  <si>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</si>
  <si>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</si>
  <si>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</si>
  <si>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</si>
  <si>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</si>
  <si>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</si>
  <si>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</si>
  <si>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</si>
  <si>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</si>
  <si>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</si>
  <si>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</si>
  <si>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</si>
  <si>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</si>
  <si>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</si>
  <si>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</si>
  <si>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</si>
  <si>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</si>
  <si>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</si>
  <si>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t>000710</t>
  </si>
  <si>
    <t>CharterSchoolType</t>
  </si>
  <si>
    <t>Child Development Associate Type</t>
  </si>
  <si>
    <t>Type of Child Development Associate credential as defined by options.</t>
  </si>
  <si>
    <t>000806</t>
  </si>
  <si>
    <t>CDA Type</t>
  </si>
  <si>
    <t>ChildDevelopmentAssociateType</t>
  </si>
  <si>
    <t>Child Developmental Screening Status</t>
  </si>
  <si>
    <t>The result of a brief standardized screening tool aiding in the identification of children at risk of a developmental delay/disorder.</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</si>
  <si>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</si>
  <si>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</si>
  <si>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</si>
  <si>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</si>
  <si>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</si>
  <si>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</si>
  <si>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</si>
  <si>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</si>
  <si>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</si>
  <si>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</si>
  <si>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001080</t>
  </si>
  <si>
    <t>ChildIdentifier</t>
  </si>
  <si>
    <t>Child Outcomes Summary Progress A Indicator</t>
  </si>
  <si>
    <t>Indicates that the child demonstrates progress in positive social-emotional skills, including social relationships.</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</si>
  <si>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</si>
  <si>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</si>
  <si>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</si>
  <si>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</si>
  <si>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</si>
  <si>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</si>
  <si>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</si>
  <si>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</si>
  <si>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</si>
  <si>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</si>
  <si>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</si>
  <si>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</si>
  <si>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</si>
  <si>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</si>
  <si>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</si>
  <si>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</si>
  <si>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</si>
  <si>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</si>
  <si>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</si>
  <si>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</si>
  <si>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</si>
  <si>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</si>
  <si>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</si>
  <si>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</si>
  <si>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</si>
  <si>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</si>
  <si>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</si>
  <si>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</si>
  <si>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</si>
  <si>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K12 -&gt; K12 Student -&gt; Demographic</t>
  </si>
  <si>
    <t>000426</t>
  </si>
  <si>
    <t>CityOfBirth</t>
  </si>
  <si>
    <t>Class Beginning Time</t>
  </si>
  <si>
    <t>An indication of the time of day the class begins.</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</si>
  <si>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</si>
  <si>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</si>
  <si>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</si>
  <si>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</si>
  <si>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</si>
  <si>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</si>
  <si>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</si>
  <si>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</si>
  <si>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</si>
  <si>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</si>
  <si>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</si>
  <si>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</si>
  <si>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</si>
  <si>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</si>
  <si>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</si>
  <si>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</si>
  <si>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</si>
  <si>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</si>
  <si>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</si>
  <si>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</si>
  <si>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</si>
  <si>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</si>
  <si>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</si>
  <si>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</si>
  <si>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</si>
  <si>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</si>
  <si>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</si>
  <si>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</si>
  <si>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</si>
  <si>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</si>
  <si>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</si>
  <si>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</si>
  <si>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</si>
  <si>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</si>
  <si>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</si>
  <si>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</si>
  <si>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</si>
  <si>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</si>
  <si>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</si>
  <si>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</si>
  <si>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</si>
  <si>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</si>
  <si>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</si>
  <si>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</si>
  <si>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</si>
  <si>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</si>
  <si>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</si>
  <si>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</si>
  <si>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</si>
  <si>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</si>
  <si>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</si>
  <si>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</si>
  <si>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</si>
  <si>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t>Postsecondary -&gt; PS Student -&gt; Institution Enrollment</t>
  </si>
  <si>
    <t>000106</t>
  </si>
  <si>
    <t>CohortExclusion</t>
  </si>
  <si>
    <t>Cohort Graduation Year</t>
  </si>
  <si>
    <t>K12 -&gt; K12 Student -&gt; Enrollment
Postsecondary -&gt; PS Student -&gt; Demographic</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</si>
  <si>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</si>
  <si>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</si>
  <si>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</si>
  <si>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</si>
  <si>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</si>
  <si>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</si>
  <si>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</si>
  <si>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</si>
  <si>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</si>
  <si>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</si>
  <si>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</si>
  <si>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</si>
  <si>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</si>
  <si>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</si>
  <si>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</si>
  <si>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</si>
  <si>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</si>
  <si>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</si>
  <si>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</si>
  <si>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</si>
  <si>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</si>
  <si>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</si>
  <si>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</si>
  <si>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</si>
  <si>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</si>
  <si>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</si>
  <si>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</si>
  <si>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</si>
  <si>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</si>
  <si>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</si>
  <si>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</si>
  <si>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</si>
  <si>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</si>
  <si>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</si>
  <si>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</si>
  <si>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</si>
  <si>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</si>
  <si>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</si>
  <si>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</si>
  <si>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</si>
  <si>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</si>
  <si>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</si>
  <si>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</si>
  <si>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</si>
  <si>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</si>
  <si>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</si>
  <si>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t>000869</t>
  </si>
  <si>
    <t>Learning Standard Item Association Type</t>
  </si>
  <si>
    <t>CompetencyAssociationType</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</si>
  <si>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</si>
  <si>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</si>
  <si>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</si>
  <si>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</si>
  <si>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</si>
  <si>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</si>
  <si>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</si>
  <si>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</si>
  <si>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Classification of the Competency Definition using Bloom's Taxonomy Domains. </t>
  </si>
  <si>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</si>
  <si>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</si>
  <si>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</si>
  <si>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</si>
  <si>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</si>
  <si>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</si>
  <si>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</si>
  <si>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</si>
  <si>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</si>
  <si>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</si>
  <si>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</si>
  <si>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</si>
  <si>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</si>
  <si>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</si>
  <si>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</si>
  <si>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</si>
  <si>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</si>
  <si>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</si>
  <si>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</si>
  <si>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</si>
  <si>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</si>
  <si>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</si>
  <si>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</si>
  <si>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</si>
  <si>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</si>
  <si>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</si>
  <si>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</si>
  <si>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</si>
  <si>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</si>
  <si>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</si>
  <si>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</si>
  <si>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</si>
  <si>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</si>
  <si>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</si>
  <si>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</si>
  <si>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</si>
  <si>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</si>
  <si>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</si>
  <si>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</si>
  <si>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</si>
  <si>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</si>
  <si>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</si>
  <si>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</si>
  <si>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</si>
  <si>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</si>
  <si>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</si>
  <si>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</si>
  <si>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</si>
  <si>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</si>
  <si>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</si>
  <si>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</si>
  <si>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</si>
  <si>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</si>
  <si>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</si>
  <si>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t>001408</t>
  </si>
  <si>
    <t>Learning Standard Item Node Accessibility Profile, Competency Item Node Accessibility Profile</t>
  </si>
  <si>
    <t>CompetencyDefinitionNodeAccessibilityProfile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</si>
  <si>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</si>
  <si>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</si>
  <si>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</si>
  <si>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</si>
  <si>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</si>
  <si>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</si>
  <si>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</si>
  <si>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</si>
  <si>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</si>
  <si>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</si>
  <si>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</si>
  <si>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</si>
  <si>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</si>
  <si>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</si>
  <si>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</si>
  <si>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</si>
  <si>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</si>
  <si>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</si>
  <si>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</si>
  <si>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</si>
  <si>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</si>
  <si>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</si>
  <si>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</si>
  <si>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</si>
  <si>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</si>
  <si>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</si>
  <si>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</si>
  <si>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</si>
  <si>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</si>
  <si>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</si>
  <si>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</si>
  <si>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</si>
  <si>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Based on ASN's ListID. (add reference URL)</t>
  </si>
  <si>
    <t>001570</t>
  </si>
  <si>
    <t>Learning Standard Item Sequence, Competency Item Sequence</t>
  </si>
  <si>
    <t>CompetencyDefinitionSequence</t>
  </si>
  <si>
    <t>Competency Definition Short Name</t>
  </si>
  <si>
    <t>The short name or label for the competency definition or its node in a competency framework.</t>
  </si>
  <si>
    <t>001409</t>
  </si>
  <si>
    <t>Learning Standard Item Node Name, Competency Item Node Name</t>
  </si>
  <si>
    <t>CompetencyDefinitionShortName</t>
  </si>
  <si>
    <t>Competency Definition Statement</t>
  </si>
  <si>
    <t>The text of the statement. The textual content that either describes a specific competency or describes a less granular group of competencies within the taxonomy of the competency framework.</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</si>
  <si>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</si>
  <si>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</si>
  <si>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</si>
  <si>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</si>
  <si>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</si>
  <si>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</si>
  <si>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</si>
  <si>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</si>
  <si>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</si>
  <si>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</si>
  <si>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</si>
  <si>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</si>
  <si>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</si>
  <si>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</si>
  <si>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</si>
  <si>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</si>
  <si>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</si>
  <si>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</si>
  <si>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</si>
  <si>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</si>
  <si>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</si>
  <si>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</si>
  <si>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</si>
  <si>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</si>
  <si>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</si>
  <si>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</si>
  <si>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</si>
  <si>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</si>
  <si>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</si>
  <si>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</si>
  <si>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001757</t>
  </si>
  <si>
    <t>Competency Item Type URL</t>
  </si>
  <si>
    <t>CompetencyDefinitionTypeURL</t>
  </si>
  <si>
    <t>Competency Definition Typical Age Range Maximum</t>
  </si>
  <si>
    <t>The typical maximum age at which a person learns the defined competency.</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</si>
  <si>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</si>
  <si>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</si>
  <si>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</si>
  <si>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</si>
  <si>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</si>
  <si>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</si>
  <si>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</si>
  <si>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</si>
  <si>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</si>
  <si>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</si>
  <si>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</si>
  <si>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</si>
  <si>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</si>
  <si>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</si>
  <si>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</si>
  <si>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</si>
  <si>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</si>
  <si>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</si>
  <si>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</si>
  <si>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</si>
  <si>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</si>
  <si>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</si>
  <si>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</si>
  <si>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</si>
  <si>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</si>
  <si>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</si>
  <si>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</si>
  <si>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</si>
  <si>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</si>
  <si>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</si>
  <si>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</si>
  <si>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</si>
  <si>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</si>
  <si>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</si>
  <si>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</si>
  <si>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</si>
  <si>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</si>
  <si>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</si>
  <si>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</si>
  <si>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</si>
  <si>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</si>
  <si>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</si>
  <si>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</si>
  <si>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</si>
  <si>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</si>
  <si>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</si>
  <si>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</si>
  <si>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</si>
  <si>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</si>
  <si>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</si>
  <si>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</si>
  <si>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</si>
  <si>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</si>
  <si>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</si>
  <si>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</si>
  <si>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</si>
  <si>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</si>
  <si>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</si>
  <si>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</si>
  <si>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</si>
  <si>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</si>
  <si>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</si>
  <si>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</si>
  <si>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</si>
  <si>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</si>
  <si>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</si>
  <si>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</si>
  <si>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</si>
  <si>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</si>
  <si>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</si>
  <si>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</si>
  <si>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</si>
  <si>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</si>
  <si>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</si>
  <si>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</si>
  <si>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</si>
  <si>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</si>
  <si>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</si>
  <si>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</si>
  <si>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</si>
  <si>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</si>
  <si>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</si>
  <si>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</si>
  <si>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</si>
  <si>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</si>
  <si>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</si>
  <si>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</si>
  <si>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</si>
  <si>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</si>
  <si>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</si>
  <si>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</si>
  <si>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</si>
  <si>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</si>
  <si>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</si>
  <si>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</si>
  <si>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</si>
  <si>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</si>
  <si>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</si>
  <si>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</si>
  <si>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</si>
  <si>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</si>
  <si>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</si>
  <si>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</si>
  <si>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</si>
  <si>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</si>
  <si>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</si>
  <si>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</si>
  <si>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</si>
  <si>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</si>
  <si>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</si>
  <si>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</si>
  <si>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</si>
  <si>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</si>
  <si>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</si>
  <si>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</si>
  <si>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</si>
  <si>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</si>
  <si>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</si>
  <si>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</si>
  <si>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</si>
  <si>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</si>
  <si>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</si>
  <si>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</si>
  <si>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</si>
  <si>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</si>
  <si>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000878</t>
  </si>
  <si>
    <t>CompetencySetCompletionCriteriaThreshold</t>
  </si>
  <si>
    <t>Component or Fixture Check Date</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</si>
  <si>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</si>
  <si>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</si>
  <si>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</si>
  <si>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</si>
  <si>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</si>
  <si>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</si>
  <si>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</si>
  <si>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</si>
  <si>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</si>
  <si>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</si>
  <si>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</si>
  <si>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</si>
  <si>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</si>
  <si>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</si>
  <si>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</si>
  <si>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</si>
  <si>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</si>
  <si>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</si>
  <si>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</si>
  <si>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Comprehensive Support and Improvement Status</t>
  </si>
  <si>
    <t>The designation given to a school by the state for comprehensive support and improvement as part of its statewide system of annual meaningful differentiation.</t>
  </si>
  <si>
    <t>001923</t>
  </si>
  <si>
    <t>ComprehensiveSupportAndImprovementStatus</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</si>
  <si>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</si>
  <si>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</si>
  <si>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</si>
  <si>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</si>
  <si>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</si>
  <si>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</si>
  <si>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</si>
  <si>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</si>
  <si>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</si>
  <si>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</si>
  <si>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</si>
  <si>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</si>
  <si>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</si>
  <si>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</si>
  <si>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</si>
  <si>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</si>
  <si>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</si>
  <si>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t>K12 -&gt; K12 Student -&gt; Migrant</t>
  </si>
  <si>
    <t>000429</t>
  </si>
  <si>
    <t>ContinuationOfServicesReason</t>
  </si>
  <si>
    <t>Continuing License Date</t>
  </si>
  <si>
    <t>The year, month and day on which a program or center received its continuing license.</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</si>
  <si>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</si>
  <si>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</si>
  <si>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</si>
  <si>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</si>
  <si>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</si>
  <si>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</si>
  <si>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</si>
  <si>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</si>
  <si>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</si>
  <si>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</si>
  <si>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</si>
  <si>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t>Option set defined in IPEDS</t>
  </si>
  <si>
    <t>000737</t>
  </si>
  <si>
    <t>ContractType</t>
  </si>
  <si>
    <t>Control of Institution</t>
  </si>
  <si>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</si>
  <si>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</si>
  <si>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</si>
  <si>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</si>
  <si>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</si>
  <si>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</si>
  <si>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</si>
  <si>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</si>
  <si>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</si>
  <si>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</si>
  <si>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</si>
  <si>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</si>
  <si>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</si>
  <si>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</si>
  <si>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</si>
  <si>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</si>
  <si>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</si>
  <si>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</si>
  <si>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</si>
  <si>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</si>
  <si>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</si>
  <si>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</si>
  <si>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</si>
  <si>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</si>
  <si>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</si>
  <si>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</si>
  <si>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</si>
  <si>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</si>
  <si>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</si>
  <si>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</si>
  <si>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</si>
  <si>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</si>
  <si>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</si>
  <si>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</si>
  <si>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</si>
  <si>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</si>
  <si>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</si>
  <si>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https://www.census.gov/library/reference/code-lists/ansi.html#par_statelist.</t>
  </si>
  <si>
    <t>Integer - 5 digits with leading zeros</t>
  </si>
  <si>
    <t>001209</t>
  </si>
  <si>
    <t>CountyANSICode</t>
  </si>
  <si>
    <t>Course Academic Grade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</si>
  <si>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</si>
  <si>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</si>
  <si>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</si>
  <si>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</si>
  <si>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</si>
  <si>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</si>
  <si>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</si>
  <si>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</si>
  <si>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</si>
  <si>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</si>
  <si>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</si>
  <si>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</si>
  <si>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</si>
  <si>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</si>
  <si>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</si>
  <si>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</si>
  <si>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</si>
  <si>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</si>
  <si>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</si>
  <si>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</si>
  <si>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</si>
  <si>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</si>
  <si>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</si>
  <si>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</si>
  <si>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</si>
  <si>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</si>
  <si>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t>Adult Education -&gt; Course Section
Career and Technical -&gt; Course Section
K12 -&gt; Course Section
K12 -&gt; K12 Course</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</si>
  <si>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</si>
  <si>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</si>
  <si>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</si>
  <si>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</si>
  <si>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</si>
  <si>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</si>
  <si>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</si>
  <si>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</si>
  <si>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</si>
  <si>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</si>
  <si>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</si>
  <si>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</si>
  <si>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</si>
  <si>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</si>
  <si>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</si>
  <si>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</si>
  <si>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</si>
  <si>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t>001303</t>
  </si>
  <si>
    <t>CourseCreditBasisType</t>
  </si>
  <si>
    <t>Course Credit Level Type</t>
  </si>
  <si>
    <t>The level of credit associated with the credit hours earned for the course.</t>
  </si>
  <si>
    <t>001304</t>
  </si>
  <si>
    <t>CourseCreditLevelType</t>
  </si>
  <si>
    <t>Course Credit Units</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</si>
  <si>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</si>
  <si>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</si>
  <si>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</si>
  <si>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</si>
  <si>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</si>
  <si>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</si>
  <si>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</si>
  <si>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</si>
  <si>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</si>
  <si>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</si>
  <si>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</si>
  <si>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</si>
  <si>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</si>
  <si>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</si>
  <si>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</si>
  <si>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</si>
  <si>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</si>
  <si>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</si>
  <si>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</si>
  <si>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</si>
  <si>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</si>
  <si>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</si>
  <si>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</si>
  <si>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</si>
  <si>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</si>
  <si>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</si>
  <si>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</si>
  <si>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</si>
  <si>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</si>
  <si>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</si>
  <si>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</si>
  <si>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</si>
  <si>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</si>
  <si>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</si>
  <si>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</si>
  <si>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</si>
  <si>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</si>
  <si>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</si>
  <si>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</si>
  <si>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</si>
  <si>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</si>
  <si>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</si>
  <si>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</si>
  <si>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</si>
  <si>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</si>
  <si>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</si>
  <si>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</si>
  <si>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</si>
  <si>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</si>
  <si>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</si>
  <si>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t>001310</t>
  </si>
  <si>
    <t>CourseInstructionSiteType</t>
  </si>
  <si>
    <t>Course Interaction Mode</t>
  </si>
  <si>
    <t>The primary type of interaction, synchronous or asynchronous, defined for the course.</t>
  </si>
  <si>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</si>
  <si>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</si>
  <si>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</si>
  <si>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</si>
  <si>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</si>
  <si>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t>000061</t>
  </si>
  <si>
    <t>CourseLevelCharacteristic</t>
  </si>
  <si>
    <t>Course Level Type</t>
  </si>
  <si>
    <t>The level of work which is reflected in the credits associated with the academic course being described or the level of the typical individual taking the academic course.</t>
  </si>
  <si>
    <t>Adult Education -&gt; Course Section
Career and Technical -&gt; Course Section
K12 -&gt; Course Section
Postsecondary -&gt; Course Section</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</si>
  <si>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</si>
  <si>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</si>
  <si>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</si>
  <si>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</si>
  <si>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</si>
  <si>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</si>
  <si>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</si>
  <si>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Adult Education -&gt; AE Student -&gt; Course
Adult Education -&gt; Course Section
Career and Technical -&gt; Course Section
Postsecondary -&gt; Course Section</t>
  </si>
  <si>
    <t>001314</t>
  </si>
  <si>
    <t>CourseNumber</t>
  </si>
  <si>
    <t>Course Override School</t>
  </si>
  <si>
    <t>000063</t>
  </si>
  <si>
    <t>CourseOverrideSchool</t>
  </si>
  <si>
    <t>Course Quality Points Earned</t>
  </si>
  <si>
    <t>000064</t>
  </si>
  <si>
    <t>CourseQualityPointsEarned</t>
  </si>
  <si>
    <t>Course Repeat Code</t>
  </si>
  <si>
    <t>Indicates that an academic course has been repeated by a student and how that repeat is to be computed in the student's academic grade average.</t>
  </si>
  <si>
    <t>Adult Education -&gt; Course Section
Career and Technical -&gt; Course Section
K12 -&gt; K12 Student -&gt; Academic Record
Postsecondary -&gt; Course Section</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</si>
  <si>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</si>
  <si>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</si>
  <si>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</si>
  <si>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</si>
  <si>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</si>
  <si>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</si>
  <si>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</si>
  <si>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</si>
  <si>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</si>
  <si>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</si>
  <si>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</si>
  <si>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</si>
  <si>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</si>
  <si>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</si>
  <si>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</si>
  <si>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</si>
  <si>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</si>
  <si>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</si>
  <si>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</si>
  <si>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</si>
  <si>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</si>
  <si>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</si>
  <si>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</si>
  <si>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</si>
  <si>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</si>
  <si>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t>000976</t>
  </si>
  <si>
    <t>CourseSectionEnrollmentStatusType</t>
  </si>
  <si>
    <t>Course Section Entry Type</t>
  </si>
  <si>
    <t>The process by which a student enters a school (Course Section) during a given academic session.</t>
  </si>
  <si>
    <t>000650</t>
  </si>
  <si>
    <t>CourseSectionEntryType</t>
  </si>
  <si>
    <t>K-12 -&gt; Teacher-Student Data Link -&gt; Enrollment</t>
  </si>
  <si>
    <t>Course Section Exit Type</t>
  </si>
  <si>
    <t>The circumstances under which the student exited from membership in a course section.</t>
  </si>
  <si>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</si>
  <si>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</si>
  <si>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</si>
  <si>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</si>
  <si>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</si>
  <si>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</si>
  <si>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</si>
  <si>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</si>
  <si>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</si>
  <si>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</si>
  <si>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</si>
  <si>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</si>
  <si>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</si>
  <si>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</si>
  <si>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</si>
  <si>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</si>
  <si>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</si>
  <si>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</si>
  <si>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</si>
  <si>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</si>
  <si>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</si>
  <si>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</si>
  <si>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</si>
  <si>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</si>
  <si>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</si>
  <si>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</si>
  <si>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</si>
  <si>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</si>
  <si>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</si>
  <si>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</si>
  <si>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</si>
  <si>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</si>
  <si>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</si>
  <si>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</si>
  <si>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</si>
  <si>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</si>
  <si>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</si>
  <si>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</si>
  <si>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</si>
  <si>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</si>
  <si>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</si>
  <si>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</si>
  <si>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</si>
  <si>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</si>
  <si>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</si>
  <si>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</si>
  <si>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</si>
  <si>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</si>
  <si>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</si>
  <si>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</si>
  <si>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</si>
  <si>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</si>
  <si>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</si>
  <si>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</si>
  <si>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</si>
  <si>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</si>
  <si>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</si>
  <si>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</si>
  <si>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</si>
  <si>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</si>
  <si>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</si>
  <si>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</si>
  <si>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</si>
  <si>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</si>
  <si>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</si>
  <si>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</si>
  <si>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Alphanumeric - 128 characters maximum</t>
  </si>
  <si>
    <t>000898</t>
  </si>
  <si>
    <t>CredentialAwardIssuerName</t>
  </si>
  <si>
    <t>Credential Award Issuer Origin URL</t>
  </si>
  <si>
    <t>Used only if an award is issued electronically for the achievement.</t>
  </si>
  <si>
    <t>000900</t>
  </si>
  <si>
    <t>CredentialAwardIssuerOriginURL</t>
  </si>
  <si>
    <t>Credential Award Start Date</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</si>
  <si>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</si>
  <si>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</si>
  <si>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</si>
  <si>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</si>
  <si>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</si>
  <si>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</si>
  <si>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</si>
  <si>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</si>
  <si>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</si>
  <si>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</si>
  <si>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t>Credentials -&gt; Credential Definition Agent</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</si>
  <si>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</si>
  <si>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</si>
  <si>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</si>
  <si>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</si>
  <si>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t>
  </si>
  <si>
    <t>001736</t>
  </si>
  <si>
    <t>Credential Alternate Name</t>
  </si>
  <si>
    <t>CredentialDefinitionAlternateName</t>
  </si>
  <si>
    <t>Credential Definition Assessment Method Type</t>
  </si>
  <si>
    <t>The method used to conduct the assessment being referenced.</t>
  </si>
  <si>
    <t>001738</t>
  </si>
  <si>
    <t>Credential Assessment Method Type</t>
  </si>
  <si>
    <t>CredentialDefinitionAssessmentMethodType</t>
  </si>
  <si>
    <t>Credential Definition Category System</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</si>
  <si>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</si>
  <si>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</si>
  <si>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</si>
  <si>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</si>
  <si>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</si>
  <si>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000892</t>
  </si>
  <si>
    <t>Credential Category Type</t>
  </si>
  <si>
    <t>CredentialDefinitionCategoryType</t>
  </si>
  <si>
    <t>Credential Definition Criteria</t>
  </si>
  <si>
    <t>000896</t>
  </si>
  <si>
    <t>Credential Criteria</t>
  </si>
  <si>
    <t>CredentialDefinitionCriteria</t>
  </si>
  <si>
    <t>Credential Definition Criteria URL</t>
  </si>
  <si>
    <t>001153</t>
  </si>
  <si>
    <t>Credential Criteria URL</t>
  </si>
  <si>
    <t>CredentialDefinitionCriteriaURL</t>
  </si>
  <si>
    <t>Credential Definition Date Effective</t>
  </si>
  <si>
    <t>Effective date of the content of a credential definition.</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</si>
  <si>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</si>
  <si>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</si>
  <si>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</si>
  <si>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</si>
  <si>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</si>
  <si>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</si>
  <si>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</si>
  <si>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</si>
  <si>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</si>
  <si>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</si>
  <si>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</si>
  <si>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</si>
  <si>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</si>
  <si>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</si>
  <si>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Credentials -&gt; Credential Definition
Credentials -&gt; Credential Offered</t>
  </si>
  <si>
    <t>001658</t>
  </si>
  <si>
    <t>Credential Identifier</t>
  </si>
  <si>
    <t>CredentialDefinitionIdentifier</t>
  </si>
  <si>
    <t>Credential Definition Identifier System</t>
  </si>
  <si>
    <t>001739</t>
  </si>
  <si>
    <t>Credential Identifier System</t>
  </si>
  <si>
    <t>CredentialDefinitionIdentifierSystem</t>
  </si>
  <si>
    <t>Credential Definition Intended Purpose Type</t>
  </si>
  <si>
    <t>The intended type of application of the credential by the holder.</t>
  </si>
  <si>
    <t>001749</t>
  </si>
  <si>
    <t>Credential Intended Purpose Type</t>
  </si>
  <si>
    <t>CredentialDefinitionIntendedPurposeType</t>
  </si>
  <si>
    <t>Credential Definition Jurisdiction Region</t>
  </si>
  <si>
    <t>The geo-political region in which the credential is applicable.</t>
  </si>
  <si>
    <t>GeoJSON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</si>
  <si>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</si>
  <si>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</si>
  <si>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</si>
  <si>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</si>
  <si>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</si>
  <si>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</si>
  <si>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</si>
  <si>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</si>
  <si>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</si>
  <si>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</si>
  <si>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</si>
  <si>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</si>
  <si>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</si>
  <si>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</si>
  <si>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</si>
  <si>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</si>
  <si>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</si>
  <si>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</si>
  <si>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</si>
  <si>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</si>
  <si>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</si>
  <si>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</si>
  <si>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</si>
  <si>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</si>
  <si>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</si>
  <si>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</si>
  <si>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</si>
  <si>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</si>
  <si>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</si>
  <si>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</si>
  <si>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</si>
  <si>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</si>
  <si>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</si>
  <si>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</si>
  <si>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</si>
  <si>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</si>
  <si>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</si>
  <si>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t>001740</t>
  </si>
  <si>
    <t>Credential Status Type</t>
  </si>
  <si>
    <t>CredentialDefinitionStatusType</t>
  </si>
  <si>
    <t>Credential Definition Title</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</si>
  <si>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</si>
  <si>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</si>
  <si>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</si>
  <si>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</si>
  <si>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</si>
  <si>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</si>
  <si>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</si>
  <si>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</si>
  <si>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</si>
  <si>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</si>
  <si>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</si>
  <si>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</si>
  <si>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</si>
  <si>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</si>
  <si>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</si>
  <si>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</si>
  <si>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</si>
  <si>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</si>
  <si>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</si>
  <si>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</si>
  <si>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</si>
  <si>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</si>
  <si>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</si>
  <si>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</si>
  <si>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000069</t>
  </si>
  <si>
    <t>CredentialExpirationDate</t>
  </si>
  <si>
    <t>Credential Image URL</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</si>
  <si>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</si>
  <si>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</si>
  <si>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</si>
  <si>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</si>
  <si>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</si>
  <si>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</si>
  <si>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</si>
  <si>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</si>
  <si>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</si>
  <si>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001662</t>
  </si>
  <si>
    <t>CredentialIssuerRevocationListURL</t>
  </si>
  <si>
    <t>Credential Offered End Date</t>
  </si>
  <si>
    <t>The last date a credential was offered.</t>
  </si>
  <si>
    <t>Credentials -&gt; Credential Offered</t>
  </si>
  <si>
    <t>001912</t>
  </si>
  <si>
    <t>CredentialOfferedEndDate</t>
  </si>
  <si>
    <t>Credential Offered Start Date</t>
  </si>
  <si>
    <t>The first date a credential was offered.</t>
  </si>
  <si>
    <t>001911</t>
  </si>
  <si>
    <t>CredentialOfferedStartDate</t>
  </si>
  <si>
    <t>Credential or License Award Entity</t>
  </si>
  <si>
    <t>The name of the organization awarding the individual's credential or license.</t>
  </si>
  <si>
    <t>001587</t>
  </si>
  <si>
    <t>CredentialOrLicenseAwardEntity</t>
  </si>
  <si>
    <t>Credential Revoked Date</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</si>
  <si>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</si>
  <si>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</si>
  <si>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</si>
  <si>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</si>
  <si>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</si>
  <si>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</si>
  <si>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</si>
  <si>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</si>
  <si>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</si>
  <si>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</si>
  <si>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</si>
  <si>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</si>
  <si>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</si>
  <si>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t>000071</t>
  </si>
  <si>
    <t>CredentialType</t>
  </si>
  <si>
    <t>Credit Hours Applied Other Program</t>
  </si>
  <si>
    <t>Codes identifying the set of credit hours taken in other programs or degrees that were applied to the individual's degree.</t>
  </si>
  <si>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</si>
  <si>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</si>
  <si>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</si>
  <si>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</si>
  <si>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</si>
  <si>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t>Adult Education -&gt; Course Section -&gt; Course
Career and Technical -&gt; Course
Career and Technical -&gt; Course Section -&gt; Course
K12 -&gt; Course Section -&gt; Course
K12 -&gt; K12 Student -&gt; Academic Record</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</si>
  <si>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</si>
  <si>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</si>
  <si>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</si>
  <si>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</si>
  <si>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</si>
  <si>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000058</t>
  </si>
  <si>
    <t>CreditValue</t>
  </si>
  <si>
    <t>Credits Attempted Cumulative</t>
  </si>
  <si>
    <t>000073</t>
  </si>
  <si>
    <t>CreditsAttemptedCumulative</t>
  </si>
  <si>
    <t>Credits Earned Cumulative</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</si>
  <si>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</si>
  <si>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</si>
  <si>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</si>
  <si>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</si>
  <si>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</si>
  <si>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</si>
  <si>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</si>
  <si>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</si>
  <si>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</si>
  <si>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</si>
  <si>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</si>
  <si>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</si>
  <si>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</si>
  <si>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</si>
  <si>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</si>
  <si>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</si>
  <si>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</si>
  <si>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</si>
  <si>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</si>
  <si>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</si>
  <si>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</si>
  <si>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</si>
  <si>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</si>
  <si>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</si>
  <si>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</si>
  <si>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</si>
  <si>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</si>
  <si>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</si>
  <si>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</si>
  <si>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</si>
  <si>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</si>
  <si>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</si>
  <si>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</si>
  <si>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</si>
  <si>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</si>
  <si>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</si>
  <si>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</si>
  <si>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</si>
  <si>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</si>
  <si>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</si>
  <si>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t>001913</t>
  </si>
  <si>
    <t>ceterms:AudienceLevel</t>
  </si>
  <si>
    <t>CTDLAudienceLevelType</t>
  </si>
  <si>
    <t>CTDL Organization Type</t>
  </si>
  <si>
    <t>The type of credentialing organization or entity as defined by the Credential Transparency Description Language.</t>
  </si>
  <si>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</si>
  <si>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</si>
  <si>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</si>
  <si>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</si>
  <si>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</si>
  <si>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</si>
  <si>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t>000712</t>
  </si>
  <si>
    <t>CurriculumFrameworkType</t>
  </si>
  <si>
    <t>Custodial Parent or Guardian Indicator</t>
  </si>
  <si>
    <t>An indication that a person has legal custody of a child.</t>
  </si>
  <si>
    <t xml:space="preserve">Yes
No
Unknown
</t>
  </si>
  <si>
    <t>000329</t>
  </si>
  <si>
    <t>CustodialParentOrGuardianIndicator</t>
  </si>
  <si>
    <t>Date of Transition Plan</t>
  </si>
  <si>
    <t>The date transition steps and services were added to the individualized service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</si>
  <si>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</si>
  <si>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</si>
  <si>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</si>
  <si>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</si>
  <si>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</si>
  <si>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</si>
  <si>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</si>
  <si>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</si>
  <si>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</si>
  <si>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</si>
  <si>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</si>
  <si>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</si>
  <si>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</si>
  <si>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</si>
  <si>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</si>
  <si>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</si>
  <si>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</si>
  <si>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</si>
  <si>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</si>
  <si>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</si>
  <si>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</si>
  <si>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</si>
  <si>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</si>
  <si>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</si>
  <si>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</si>
  <si>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</si>
  <si>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</si>
  <si>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000077</t>
  </si>
  <si>
    <t>DegreeApplicability</t>
  </si>
  <si>
    <t>Degree or Certificate Conferring Date</t>
  </si>
  <si>
    <t>The year, month and day on which a person received a degree or certificate.</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</si>
  <si>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</si>
  <si>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</si>
  <si>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</si>
  <si>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</si>
  <si>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</si>
  <si>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</si>
  <si>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</si>
  <si>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</si>
  <si>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</si>
  <si>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</si>
  <si>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</si>
  <si>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</si>
  <si>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</si>
  <si>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</si>
  <si>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</si>
  <si>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</si>
  <si>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</si>
  <si>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</si>
  <si>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</si>
  <si>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</si>
  <si>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</si>
  <si>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</si>
  <si>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t>000336</t>
  </si>
  <si>
    <t>DentalInsuranceCoverageType</t>
  </si>
  <si>
    <t>Early Learning -&gt; Program Entry</t>
  </si>
  <si>
    <t>Dental Screening Date</t>
  </si>
  <si>
    <t>The year, month and day of a dental screening</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</si>
  <si>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</si>
  <si>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</si>
  <si>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</si>
  <si>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</si>
  <si>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t>000310</t>
  </si>
  <si>
    <t>DentalScreeningStatus</t>
  </si>
  <si>
    <t>Dependency Status</t>
  </si>
  <si>
    <t>A person's classification as dependent or independent with regards to eligibility for Title IV Federal Student aid.</t>
  </si>
  <si>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</si>
  <si>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</si>
  <si>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</si>
  <si>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</si>
  <si>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</si>
  <si>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</si>
  <si>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</si>
  <si>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</si>
  <si>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</si>
  <si>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</si>
  <si>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</si>
  <si>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</si>
  <si>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001588</t>
  </si>
  <si>
    <t>DevelopmentalEducationReferralStatus</t>
  </si>
  <si>
    <t>Postsecondary Education -&gt; Voluntary Framework of Accountability</t>
  </si>
  <si>
    <t>Developmental Education Type</t>
  </si>
  <si>
    <t>An indicator of the category of developmental education.</t>
  </si>
  <si>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</si>
  <si>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</si>
  <si>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</si>
  <si>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</si>
  <si>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</si>
  <si>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</si>
  <si>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</si>
  <si>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</si>
  <si>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</si>
  <si>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</si>
  <si>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</si>
  <si>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</si>
  <si>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</si>
  <si>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</si>
  <si>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</si>
  <si>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</si>
  <si>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</si>
  <si>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</si>
  <si>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</si>
  <si>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</si>
  <si>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</si>
  <si>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</si>
  <si>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</si>
  <si>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</si>
  <si>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</si>
  <si>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</si>
  <si>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</si>
  <si>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</si>
  <si>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</si>
  <si>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</si>
  <si>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t>001319</t>
  </si>
  <si>
    <t>Disability Condition Status Code</t>
  </si>
  <si>
    <t>DisabilityConditionStatusCode</t>
  </si>
  <si>
    <t>Disability Condition Type</t>
  </si>
  <si>
    <t>Codes identifying the set of disability conditions.</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</si>
  <si>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</si>
  <si>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</si>
  <si>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</si>
  <si>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</si>
  <si>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</si>
  <si>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t>001321</t>
  </si>
  <si>
    <t>DisabilityDeterminationSourceType</t>
  </si>
  <si>
    <t>Disability Status</t>
  </si>
  <si>
    <t>An indication of whether a person is classified as disabled under the American's with Disability Act (ADA).</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</si>
  <si>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</si>
  <si>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</si>
  <si>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</si>
  <si>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</si>
  <si>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</si>
  <si>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</si>
  <si>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</si>
  <si>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</si>
  <si>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</si>
  <si>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</si>
  <si>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</si>
  <si>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</si>
  <si>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</si>
  <si>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</si>
  <si>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</si>
  <si>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</si>
  <si>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</si>
  <si>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</si>
  <si>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t>000488</t>
  </si>
  <si>
    <t>DisciplinaryActionTaken</t>
  </si>
  <si>
    <t>Discipline Action Length Difference Reason</t>
  </si>
  <si>
    <t>The reason for the difference, if any, between the official and actual lengths of a student’s disciplinary assignment.</t>
  </si>
  <si>
    <t>000609</t>
  </si>
  <si>
    <t>DisciplineActionLengthDifferenceReason</t>
  </si>
  <si>
    <t>Discipline Method for Firearms Incidents</t>
  </si>
  <si>
    <t>The method used to discipline students who are not children with disabilities (IDEA) involved in firearms and other outcomes of firearms incidents.</t>
  </si>
  <si>
    <t>000555</t>
  </si>
  <si>
    <t>DisciplineMethodForFirearmsIncidents</t>
  </si>
  <si>
    <t>Discipline Method of Children with Disabilities</t>
  </si>
  <si>
    <t>The type of suspension or expulsion used for the discipline of children with disabilities.</t>
  </si>
  <si>
    <t>000538</t>
  </si>
  <si>
    <t>DisciplineMethodOfChildrenWithDisabilities</t>
  </si>
  <si>
    <t>Discipline Reason</t>
  </si>
  <si>
    <t>The reason why the student was disciplined.</t>
  </si>
  <si>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</si>
  <si>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</si>
  <si>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</si>
  <si>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</si>
  <si>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</si>
  <si>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</si>
  <si>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</si>
  <si>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</si>
  <si>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</si>
  <si>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</si>
  <si>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</si>
  <si>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</si>
  <si>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</si>
  <si>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</si>
  <si>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</si>
  <si>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</si>
  <si>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</si>
  <si>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</si>
  <si>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</si>
  <si>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</si>
  <si>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</si>
  <si>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</si>
  <si>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</si>
  <si>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 Not Publish Indicator</t>
  </si>
  <si>
    <t>An indication that the record should not be published.</t>
  </si>
  <si>
    <t>001928</t>
  </si>
  <si>
    <t>DoNotPublishIndicator</t>
  </si>
  <si>
    <t>Doctoral Candidacy Admit Indicator</t>
  </si>
  <si>
    <t>The individual's status in being admitted as a doctoral candidate.</t>
  </si>
  <si>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</si>
  <si>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</si>
  <si>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</si>
  <si>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</si>
  <si>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</si>
  <si>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</si>
  <si>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</si>
  <si>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</si>
  <si>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</si>
  <si>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</si>
  <si>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</si>
  <si>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</si>
  <si>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</si>
  <si>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</si>
  <si>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</si>
  <si>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</si>
  <si>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</si>
  <si>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</si>
  <si>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001641</t>
  </si>
  <si>
    <t>DQPCategoriesOfLearning</t>
  </si>
  <si>
    <t>Dual Credit Dual Enrollment Credits Awarded</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</si>
  <si>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</si>
  <si>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</si>
  <si>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</si>
  <si>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</si>
  <si>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</si>
  <si>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</si>
  <si>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</si>
  <si>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</si>
  <si>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</si>
  <si>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</si>
  <si>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</si>
  <si>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</si>
  <si>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t>000345</t>
  </si>
  <si>
    <t>EarlyChildhoodCredential</t>
  </si>
  <si>
    <t>Early Childhood Degree or Certificate Holder</t>
  </si>
  <si>
    <t>Staff has a degree in early childhood regardless of level.</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</si>
  <si>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</si>
  <si>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</si>
  <si>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</si>
  <si>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</si>
  <si>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001591</t>
  </si>
  <si>
    <t>EarlyChildhoodEducationAndAssistanceProgramEligibility</t>
  </si>
  <si>
    <t>Early Childhood Program Enrollment Type</t>
  </si>
  <si>
    <t>The system outlining activities and procedures based on a set of required services and standards in which the child is enrolled.</t>
  </si>
  <si>
    <t>000829</t>
  </si>
  <si>
    <t>EarlyChildhoodProgramEnrollmentType</t>
  </si>
  <si>
    <t>Early Childhood Services Offered</t>
  </si>
  <si>
    <t>A type of service offered by an organization that adapts the curriculum, materials, or instruction for students identified as needing additional resources.</t>
  </si>
  <si>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</si>
  <si>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</si>
  <si>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</si>
  <si>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</si>
  <si>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</si>
  <si>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</si>
  <si>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</si>
  <si>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000356</t>
  </si>
  <si>
    <t>EarlyChildhoodSetting</t>
  </si>
  <si>
    <t>Early Learning Application Identifier</t>
  </si>
  <si>
    <t>Identifier for the application for enrollment or direct services filled out on behalf of a child</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</si>
  <si>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</si>
  <si>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</si>
  <si>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</si>
  <si>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</si>
  <si>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</si>
  <si>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</si>
  <si>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</si>
  <si>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</si>
  <si>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</si>
  <si>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</si>
  <si>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</si>
  <si>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</si>
  <si>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</si>
  <si>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</si>
  <si>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</si>
  <si>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</si>
  <si>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</si>
  <si>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</si>
  <si>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</si>
  <si>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</si>
  <si>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t>000813</t>
  </si>
  <si>
    <t>EarlyLearningCoreKnowledgeArea</t>
  </si>
  <si>
    <t>Early Learning Education Staff Classification</t>
  </si>
  <si>
    <t>The title/role of employment, official status, or rank of education staff</t>
  </si>
  <si>
    <t>001602</t>
  </si>
  <si>
    <t>EarlyLearningEducationStaffClassification</t>
  </si>
  <si>
    <t>Early Learning Employment Separation Reason</t>
  </si>
  <si>
    <t>The primary reason for the termination of the employment relationship.</t>
  </si>
  <si>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</si>
  <si>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</si>
  <si>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</si>
  <si>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</si>
  <si>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</si>
  <si>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</si>
  <si>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</si>
  <si>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</si>
  <si>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</si>
  <si>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</si>
  <si>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</si>
  <si>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</si>
  <si>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</si>
  <si>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</si>
  <si>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</si>
  <si>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</si>
  <si>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</si>
  <si>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</si>
  <si>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</si>
  <si>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</si>
  <si>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</si>
  <si>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</si>
  <si>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</si>
  <si>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</si>
  <si>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</si>
  <si>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</si>
  <si>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</si>
  <si>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</si>
  <si>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</si>
  <si>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</si>
  <si>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</si>
  <si>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</si>
  <si>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t>000824</t>
  </si>
  <si>
    <t>EarlyLearningGroupSizeStandardsMet</t>
  </si>
  <si>
    <t>Early Learning Local Revenue Source</t>
  </si>
  <si>
    <t>Funds that originate at the local level, and not from the state or federal level, that contribute to EL program.</t>
  </si>
  <si>
    <t>001603</t>
  </si>
  <si>
    <t>EarlyLearningLocalRevenueSource</t>
  </si>
  <si>
    <t>Early Learning Oldest Age Authorized to Serve</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</si>
  <si>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</si>
  <si>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</si>
  <si>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</si>
  <si>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</si>
  <si>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</si>
  <si>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t>001335</t>
  </si>
  <si>
    <t>EarlyLearningOtherFederalFundingSources</t>
  </si>
  <si>
    <t>Early Learning Outcome Measurement Level</t>
  </si>
  <si>
    <t>Use for outcome measures in early learning.</t>
  </si>
  <si>
    <t>001336</t>
  </si>
  <si>
    <t>EarlyLearningOutcomeMeasurementLevel</t>
  </si>
  <si>
    <t>Early Learning Outcome Time Point</t>
  </si>
  <si>
    <t>The point in time for which the result is used for an outcome measure.</t>
  </si>
  <si>
    <t>001503</t>
  </si>
  <si>
    <t>EarlyLearningOutcomeTimePoint</t>
  </si>
  <si>
    <t>Early Learning Professional Development Topic Area</t>
  </si>
  <si>
    <t>The topical area of competence needed for Staff professional development.</t>
  </si>
  <si>
    <t>001337</t>
  </si>
  <si>
    <t>EarlyLearningProfessionalDevelopmentTopicArea</t>
  </si>
  <si>
    <t>Early Learning Program Annual Operating Weeks</t>
  </si>
  <si>
    <t>The number of operating weeks per year for an early learning program.</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</si>
  <si>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</si>
  <si>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</si>
  <si>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</si>
  <si>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</si>
  <si>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</si>
  <si>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000848</t>
  </si>
  <si>
    <t>EarlyLearningProgramDevelopmentalScreeningStatus</t>
  </si>
  <si>
    <t>Early Learning Program Eligibility Category</t>
  </si>
  <si>
    <t>Category under which the person is eligible for an early childhood program or service.</t>
  </si>
  <si>
    <t>000304</t>
  </si>
  <si>
    <t>EarlyLearningProgramEligibilityCategory</t>
  </si>
  <si>
    <t>Early Learning Program Eligibility Expiration Date</t>
  </si>
  <si>
    <t>001338</t>
  </si>
  <si>
    <t>EarlyLearningProgramEligibilityExpirationDate</t>
  </si>
  <si>
    <t>Early Learning Program Eligibility Status</t>
  </si>
  <si>
    <t>The status of eligibility for the child.</t>
  </si>
  <si>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</si>
  <si>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</si>
  <si>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</si>
  <si>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</si>
  <si>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</si>
  <si>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</si>
  <si>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</si>
  <si>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</si>
  <si>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</si>
  <si>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</si>
  <si>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</si>
  <si>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</si>
  <si>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</si>
  <si>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</si>
  <si>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</si>
  <si>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</si>
  <si>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</si>
  <si>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</si>
  <si>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</si>
  <si>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</si>
  <si>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</si>
  <si>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</si>
  <si>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</si>
  <si>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</si>
  <si>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t>001636</t>
  </si>
  <si>
    <t>EarlyLearningServiceProfessionalStaffClassification</t>
  </si>
  <si>
    <t>Early Learning Service Type</t>
  </si>
  <si>
    <t>A type of service provided to a child.</t>
  </si>
  <si>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</si>
  <si>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</si>
  <si>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</si>
  <si>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</si>
  <si>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</si>
  <si>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</si>
  <si>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</si>
  <si>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001605</t>
  </si>
  <si>
    <t>EarlyLearningStateRevenueSource</t>
  </si>
  <si>
    <t>Early Learning Trainer Core Knowledge Area</t>
  </si>
  <si>
    <t>A description of the core knowledge expertise of a trainer of a professional development experience.</t>
  </si>
  <si>
    <t>001606</t>
  </si>
  <si>
    <t>EarlyLearningTrainerCoreKnowledgeArea</t>
  </si>
  <si>
    <t>Early Learning Youngest Age Authorized to Serve</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</si>
  <si>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</si>
  <si>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</si>
  <si>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</si>
  <si>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</si>
  <si>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</si>
  <si>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</si>
  <si>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</si>
  <si>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</si>
  <si>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</si>
  <si>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t>000862</t>
  </si>
  <si>
    <t>ERS Rural-Urban Continuum Code</t>
  </si>
  <si>
    <t>ERSRuralUrbanContinuumCode</t>
  </si>
  <si>
    <t>Early Learning -&gt; Program Quality
Early Learning -&gt; Staff Quality</t>
  </si>
  <si>
    <t>Education Verification Method</t>
  </si>
  <si>
    <t>The method by which the formal education is verified.</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</si>
  <si>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</si>
  <si>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</si>
  <si>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</si>
  <si>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</si>
  <si>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</si>
  <si>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</si>
  <si>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</si>
  <si>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</si>
  <si>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Alphanumeric - between 7 and 128 characters</t>
  </si>
  <si>
    <t>000088</t>
  </si>
  <si>
    <t>Email Address</t>
  </si>
  <si>
    <t>ElectronicMailAddress</t>
  </si>
  <si>
    <t>Electronic Mail Address Type</t>
  </si>
  <si>
    <t>The type of electronic mail (e-mail) address listed for a person or organization.</t>
  </si>
  <si>
    <t>000089</t>
  </si>
  <si>
    <t>Email Address Type</t>
  </si>
  <si>
    <t>ElectronicMailAddressType</t>
  </si>
  <si>
    <t>Elementary-Middle Additional Indicator Status</t>
  </si>
  <si>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</si>
  <si>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</si>
  <si>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</si>
  <si>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</si>
  <si>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</si>
  <si>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</si>
  <si>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</si>
  <si>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</si>
  <si>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</si>
  <si>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</si>
  <si>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</si>
  <si>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</si>
  <si>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</si>
  <si>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</si>
  <si>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</si>
  <si>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</si>
  <si>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</si>
  <si>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</si>
  <si>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</si>
  <si>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</si>
  <si>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</si>
  <si>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</si>
  <si>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</si>
  <si>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</si>
  <si>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</si>
  <si>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</si>
  <si>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</si>
  <si>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</si>
  <si>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</si>
  <si>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</si>
  <si>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</si>
  <si>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</si>
  <si>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</si>
  <si>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</si>
  <si>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</si>
  <si>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</si>
  <si>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</si>
  <si>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</si>
  <si>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</si>
  <si>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</si>
  <si>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</si>
  <si>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</si>
  <si>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</si>
  <si>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</si>
  <si>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</si>
  <si>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</si>
  <si>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</si>
  <si>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</si>
  <si>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000795</t>
  </si>
  <si>
    <t>EmploymentEndDate</t>
  </si>
  <si>
    <t>Employment Location</t>
  </si>
  <si>
    <t>The state or other location in which an individual is found employed.</t>
  </si>
  <si>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</si>
  <si>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</si>
  <si>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</si>
  <si>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</si>
  <si>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</si>
  <si>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</si>
  <si>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</si>
  <si>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</si>
  <si>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</si>
  <si>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</si>
  <si>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</si>
  <si>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</si>
  <si>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</si>
  <si>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</si>
  <si>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</si>
  <si>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</si>
  <si>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</si>
  <si>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</si>
  <si>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</si>
  <si>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</si>
  <si>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</si>
  <si>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</si>
  <si>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</si>
  <si>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</si>
  <si>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000620</t>
  </si>
  <si>
    <t>EmploymentSeparationReason</t>
  </si>
  <si>
    <t>Employment Separation Type</t>
  </si>
  <si>
    <t>A designation of the type of separation occurring between a person and the organization.</t>
  </si>
  <si>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</si>
  <si>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</si>
  <si>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</si>
  <si>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</si>
  <si>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</si>
  <si>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</si>
  <si>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</si>
  <si>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</si>
  <si>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t>000347</t>
  </si>
  <si>
    <t>EmploymentStatus</t>
  </si>
  <si>
    <t>Employment Status While Enrolled</t>
  </si>
  <si>
    <t>An indication of the individual's employment status while enrolled.</t>
  </si>
  <si>
    <t>Postsecondary -&gt; PS Student -&gt; Employment</t>
  </si>
  <si>
    <t>001343</t>
  </si>
  <si>
    <t>EmploymentStatusWhileEnrolled</t>
  </si>
  <si>
    <t>End of Term Status</t>
  </si>
  <si>
    <t>The nature of the student's progress at the end of a given school term.</t>
  </si>
  <si>
    <t>000093</t>
  </si>
  <si>
    <t>EndOfTermStatus</t>
  </si>
  <si>
    <t>End Time</t>
  </si>
  <si>
    <t>The ending hour, minute and second.</t>
  </si>
  <si>
    <t>K12 -&gt; Calendar -&gt; Event
K12 -&gt; K12 Student -&gt; Attendance</t>
  </si>
  <si>
    <t>001920</t>
  </si>
  <si>
    <t>EndTime</t>
  </si>
  <si>
    <t>English Learner Status</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</si>
  <si>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</si>
  <si>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</si>
  <si>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EnglishLearnerStatus</t>
  </si>
  <si>
    <t>Enrollment Date</t>
  </si>
  <si>
    <t>The year, month and day on which a person is considered officially enrolled in the program.</t>
  </si>
  <si>
    <t>000324</t>
  </si>
  <si>
    <t>EnrollmentDate</t>
  </si>
  <si>
    <t>Enrollment Entry Date</t>
  </si>
  <si>
    <t>The month, day, and year on which a person enters and begins to receive instructional services in a school, institution, program, or class-section during a given session.</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</si>
  <si>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</si>
  <si>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</si>
  <si>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</si>
  <si>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</si>
  <si>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</si>
  <si>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</si>
  <si>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</si>
  <si>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</si>
  <si>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</si>
  <si>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</si>
  <si>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</si>
  <si>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</si>
  <si>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</si>
  <si>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</si>
  <si>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t>000094</t>
  </si>
  <si>
    <t>EnrollmentStatus</t>
  </si>
  <si>
    <t>Entry Date into Postsecondary</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</si>
  <si>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</si>
  <si>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</si>
  <si>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</si>
  <si>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</si>
  <si>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</si>
  <si>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t>Adult Education -&gt; AE Student -&gt; Program Participation
K12 -&gt; K12 Student -&gt; Enrollment</t>
  </si>
  <si>
    <t>000100</t>
  </si>
  <si>
    <t>EntryGradeLevel</t>
  </si>
  <si>
    <t>Entry Type</t>
  </si>
  <si>
    <t>The process by which a student enters a school during a given academic session.</t>
  </si>
  <si>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</si>
  <si>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</si>
  <si>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</si>
  <si>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</si>
  <si>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</si>
  <si>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</si>
  <si>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</si>
  <si>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</si>
  <si>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t>K12 -&gt; Course Section -&gt; Enrollment
K12 -&gt; K12 Student -&gt; Enrollment</t>
  </si>
  <si>
    <t>000108</t>
  </si>
  <si>
    <t>ExitOrWithdrawalStatus</t>
  </si>
  <si>
    <t>Exit or Withdrawal Type</t>
  </si>
  <si>
    <t>000110</t>
  </si>
  <si>
    <t>ExitOrWithdrawalType</t>
  </si>
  <si>
    <t>K-12 -&gt; EDFacts
K-12 -&gt; LEA-to-LEA Student Record Exchange
K-12 -&gt; LEA-to-SEA Student Record Exchange</t>
  </si>
  <si>
    <t>Exit Reason</t>
  </si>
  <si>
    <t>The documented or assumed reason a student is no longer being served by a special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</si>
  <si>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</si>
  <si>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</si>
  <si>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</si>
  <si>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</si>
  <si>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</si>
  <si>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</si>
  <si>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</si>
  <si>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</si>
  <si>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t>001871</t>
  </si>
  <si>
    <t>FacilitiesManagementEmergencyType</t>
  </si>
  <si>
    <t>Facilities Mandate Authority Type</t>
  </si>
  <si>
    <t>The authority that mandates through law, regulation, or standard that pertains to a specific mandate.</t>
  </si>
  <si>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</si>
  <si>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</si>
  <si>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</si>
  <si>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</si>
  <si>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</si>
  <si>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</si>
  <si>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</si>
  <si>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</si>
  <si>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</si>
  <si>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</si>
  <si>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</si>
  <si>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</si>
  <si>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</si>
  <si>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</si>
  <si>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</si>
  <si>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</si>
  <si>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</si>
  <si>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</si>
  <si>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</si>
  <si>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</si>
  <si>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</si>
  <si>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</si>
  <si>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</si>
  <si>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</si>
  <si>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</si>
  <si>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</si>
  <si>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</si>
  <si>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</si>
  <si>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</si>
  <si>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</si>
  <si>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</si>
  <si>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</si>
  <si>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</si>
  <si>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</si>
  <si>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</si>
  <si>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</si>
  <si>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</si>
  <si>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</si>
  <si>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</si>
  <si>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</si>
  <si>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</si>
  <si>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t>001770</t>
  </si>
  <si>
    <t>FacilityBuildingPermanency</t>
  </si>
  <si>
    <t>Facility Capital Program Management Type</t>
  </si>
  <si>
    <t>The type of management organization for planning, design, and construction of major capital projects.</t>
  </si>
  <si>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</si>
  <si>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</si>
  <si>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</si>
  <si>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</si>
  <si>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</si>
  <si>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</si>
  <si>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</si>
  <si>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</si>
  <si>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</si>
  <si>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</si>
  <si>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</si>
  <si>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</si>
  <si>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</si>
  <si>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</si>
  <si>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</si>
  <si>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</si>
  <si>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</si>
  <si>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</si>
  <si>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</si>
  <si>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</si>
  <si>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</si>
  <si>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</si>
  <si>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</si>
  <si>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</si>
  <si>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</si>
  <si>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</si>
  <si>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</si>
  <si>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</si>
  <si>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</si>
  <si>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</si>
  <si>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</si>
  <si>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</si>
  <si>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</si>
  <si>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</si>
  <si>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</si>
  <si>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</si>
  <si>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</si>
  <si>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t>001781</t>
  </si>
  <si>
    <t>FacilityConstructionDateType</t>
  </si>
  <si>
    <t>Facility Construction Material Type</t>
  </si>
  <si>
    <t>The primary material used for the construction of a building.</t>
  </si>
  <si>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</si>
  <si>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</si>
  <si>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</si>
  <si>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</si>
  <si>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</si>
  <si>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</si>
  <si>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</si>
  <si>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</si>
  <si>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</si>
  <si>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</si>
  <si>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</si>
  <si>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</si>
  <si>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</si>
  <si>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</si>
  <si>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</si>
  <si>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</si>
  <si>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</si>
  <si>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</si>
  <si>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</si>
  <si>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</si>
  <si>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t>001797</t>
  </si>
  <si>
    <t>FacilityFederalMandateInterestType</t>
  </si>
  <si>
    <t>Facility Financing Fee Type</t>
  </si>
  <si>
    <t>The type of fee that one must pay when getting a mortgage.</t>
  </si>
  <si>
    <t>Facilities -&gt; Facility -&gt; Budget and Finance</t>
  </si>
  <si>
    <t>001886</t>
  </si>
  <si>
    <t>FacilityFinancingFeeType</t>
  </si>
  <si>
    <t>Facility Furnishings Type</t>
  </si>
  <si>
    <t>Moveable assets that are provided so the building or interior assets can be utilized by occupants for their intended purposes.</t>
  </si>
  <si>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</si>
  <si>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</si>
  <si>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</si>
  <si>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</si>
  <si>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</si>
  <si>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</si>
  <si>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</si>
  <si>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</si>
  <si>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</si>
  <si>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</si>
  <si>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</si>
  <si>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</si>
  <si>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</si>
  <si>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</si>
  <si>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</si>
  <si>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</si>
  <si>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</si>
  <si>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</si>
  <si>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</si>
  <si>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</si>
  <si>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</si>
  <si>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</si>
  <si>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</si>
  <si>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</si>
  <si>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</si>
  <si>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</si>
  <si>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</si>
  <si>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</si>
  <si>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</si>
  <si>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</si>
  <si>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</si>
  <si>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</si>
  <si>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t>001889</t>
  </si>
  <si>
    <t>FacilityLeaseType</t>
  </si>
  <si>
    <t>Facility Licensing Status</t>
  </si>
  <si>
    <t>The status of the facility license.</t>
  </si>
  <si>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</si>
  <si>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</si>
  <si>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</si>
  <si>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</si>
  <si>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</si>
  <si>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</si>
  <si>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</si>
  <si>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</si>
  <si>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</si>
  <si>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</si>
  <si>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</si>
  <si>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</si>
  <si>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</si>
  <si>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</si>
  <si>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</si>
  <si>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</si>
  <si>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t>001891</t>
  </si>
  <si>
    <t>FacilityMortgageInterestType</t>
  </si>
  <si>
    <t>Facility Mortgage Type</t>
  </si>
  <si>
    <t>The status of a mortgage as it relates to priority of payment.</t>
  </si>
  <si>
    <t>001892</t>
  </si>
  <si>
    <t>FacilityMortgageType</t>
  </si>
  <si>
    <t>Facility Naturally Occurring Hazard Type</t>
  </si>
  <si>
    <t>Type of natural hazard that can affect the health, safety and operation of school facilities and their occupants.</t>
  </si>
  <si>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</si>
  <si>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</si>
  <si>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</si>
  <si>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</si>
  <si>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</si>
  <si>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</si>
  <si>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</si>
  <si>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</si>
  <si>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</si>
  <si>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</si>
  <si>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</si>
  <si>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</si>
  <si>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</si>
  <si>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</si>
  <si>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</si>
  <si>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</si>
  <si>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</si>
  <si>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</si>
  <si>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</si>
  <si>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</si>
  <si>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</si>
  <si>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</si>
  <si>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</si>
  <si>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</si>
  <si>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</si>
  <si>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</si>
  <si>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</si>
  <si>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</si>
  <si>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</si>
  <si>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</si>
  <si>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</si>
  <si>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</si>
  <si>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</si>
  <si>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t>001787</t>
  </si>
  <si>
    <t>FacilitySiteImprovementLocationType</t>
  </si>
  <si>
    <t>Facility Site Outdoor Area Type</t>
  </si>
  <si>
    <t>The designated constructed outdoor area on a public school site.</t>
  </si>
  <si>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</si>
  <si>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</si>
  <si>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</si>
  <si>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</si>
  <si>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</si>
  <si>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</si>
  <si>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</si>
  <si>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</si>
  <si>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t>001208</t>
  </si>
  <si>
    <t>FacilitySpaceUseType</t>
  </si>
  <si>
    <t>Facility Standard Type</t>
  </si>
  <si>
    <t>An indication of the district or state requirements or guidelines for the design and construction of school facilities.</t>
  </si>
  <si>
    <t>001884</t>
  </si>
  <si>
    <t>FacilityStandardType</t>
  </si>
  <si>
    <t>Facility State or Local Mandate Interest Type</t>
  </si>
  <si>
    <t>The area of interest controlled by a law, rule, regulation, or standard of state and local governments that pertains to public school facilities.</t>
  </si>
  <si>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</si>
  <si>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</si>
  <si>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</si>
  <si>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</si>
  <si>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</si>
  <si>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</si>
  <si>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</si>
  <si>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</si>
  <si>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</si>
  <si>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</si>
  <si>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</si>
  <si>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</si>
  <si>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</si>
  <si>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</si>
  <si>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</si>
  <si>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</si>
  <si>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t>001878</t>
  </si>
  <si>
    <t>FacilityUtilityProviderType</t>
  </si>
  <si>
    <t>Facility Utility Type</t>
  </si>
  <si>
    <t>The type of utility used in the operation of a facility.</t>
  </si>
  <si>
    <t>001879</t>
  </si>
  <si>
    <t>FacilityUtilityType</t>
  </si>
  <si>
    <t>Faculty and Administration Performance Level</t>
  </si>
  <si>
    <t>The levels used in district evaluation systems for assigning teacher or principal performance ratings.</t>
  </si>
  <si>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</si>
  <si>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</si>
  <si>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</si>
  <si>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</si>
  <si>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</si>
  <si>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</si>
  <si>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</si>
  <si>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</si>
  <si>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</si>
  <si>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</si>
  <si>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</si>
  <si>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</si>
  <si>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</si>
  <si>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</si>
  <si>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</si>
  <si>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</si>
  <si>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</si>
  <si>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</si>
  <si>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Family Income is calculated based on the method specified by “Income Calculation Method.”</t>
  </si>
  <si>
    <t>000332</t>
  </si>
  <si>
    <t>FamilyIncome</t>
  </si>
  <si>
    <t>Federal Program Code</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</si>
  <si>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</si>
  <si>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</si>
  <si>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</si>
  <si>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</si>
  <si>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</si>
  <si>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</si>
  <si>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</si>
  <si>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</si>
  <si>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</si>
  <si>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</si>
  <si>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t>000548</t>
  </si>
  <si>
    <t>FederalProgramsFundingAllocationType</t>
  </si>
  <si>
    <t>Federal School Code</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</si>
  <si>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</si>
  <si>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</si>
  <si>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</si>
  <si>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</si>
  <si>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</si>
  <si>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</si>
  <si>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t>001345</t>
  </si>
  <si>
    <t>FinancialAccountCategory</t>
  </si>
  <si>
    <t>Financial Account Description</t>
  </si>
  <si>
    <t>001346</t>
  </si>
  <si>
    <t>FinancialAccountDescription</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</si>
  <si>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</si>
  <si>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K12 -&gt; K12 School -&gt; Finance
K12 -&gt; LEA -&gt; Finance
K12 -&gt; Program -&gt; Finance
K12 -&gt; SEA -&gt; Finance</t>
  </si>
  <si>
    <t>001353</t>
  </si>
  <si>
    <t>A fund is a separate fiscal and accounting entity with a self-balancing set of accounts recording cash and other financial resources, together with all related liabilities and residual equities or balances or changes therein.</t>
  </si>
  <si>
    <t>001347</t>
  </si>
  <si>
    <t>001349</t>
  </si>
  <si>
    <t>001468</t>
  </si>
  <si>
    <t>Financial Account Name</t>
  </si>
  <si>
    <t>001348</t>
  </si>
  <si>
    <t>FinancialAccountName</t>
  </si>
  <si>
    <t>Financial Account Number</t>
  </si>
  <si>
    <t>001554</t>
  </si>
  <si>
    <t>FinancialAccountNumber</t>
  </si>
  <si>
    <t>Financial Account Program Name</t>
  </si>
  <si>
    <t>001645</t>
  </si>
  <si>
    <t>FinancialAccountProgramName</t>
  </si>
  <si>
    <t>Financial Account Program Number</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</si>
  <si>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</si>
  <si>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</si>
  <si>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</si>
  <si>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</si>
  <si>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</si>
  <si>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</si>
  <si>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</si>
  <si>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</si>
  <si>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</si>
  <si>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</si>
  <si>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</si>
  <si>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</si>
  <si>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</si>
  <si>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</si>
  <si>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</si>
  <si>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</si>
  <si>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</si>
  <si>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</si>
  <si>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</si>
  <si>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</si>
  <si>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</si>
  <si>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</si>
  <si>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</si>
  <si>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</si>
  <si>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</si>
  <si>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Postsecondary -&gt; PS Student -&gt; Financial Aid</t>
  </si>
  <si>
    <t>000763</t>
  </si>
  <si>
    <t>FinancialAidApplicant</t>
  </si>
  <si>
    <t>Financial Aid Application Type</t>
  </si>
  <si>
    <t>The type of financial application completed by an individual.</t>
  </si>
  <si>
    <t>001223</t>
  </si>
  <si>
    <t>FinancialAidApplicationType</t>
  </si>
  <si>
    <t>Financial Aid Award Amount</t>
  </si>
  <si>
    <t>The amount of financial aid awarded to a person for the term/year.</t>
  </si>
  <si>
    <t>000112</t>
  </si>
  <si>
    <t>FinancialAidAwardAmount</t>
  </si>
  <si>
    <t>Postsecondary Education -&gt; Common Data Set
Postsecondary Education -&gt; Complete College America
Postsecondary Education -&gt; IPEDS</t>
  </si>
  <si>
    <t>Financial Aid Award Status</t>
  </si>
  <si>
    <t>An indication of whether the financial aid type being reported is aid that has been awarded, accepted or dispersed.</t>
  </si>
  <si>
    <t>000363</t>
  </si>
  <si>
    <t>FinancialAidAwardStatus</t>
  </si>
  <si>
    <t>Financial Aid Award Type</t>
  </si>
  <si>
    <t>The classification of financial aid awarded to a person for the academic term/year.</t>
  </si>
  <si>
    <t>000113</t>
  </si>
  <si>
    <t>FinancialAidAwardType</t>
  </si>
  <si>
    <t>Financial Aid Income Level</t>
  </si>
  <si>
    <t>001352</t>
  </si>
  <si>
    <t>FinancialAidIncomeLevel</t>
  </si>
  <si>
    <t>Financial Aid Veteran’s Benefit Status</t>
  </si>
  <si>
    <t>An indication of whether a person is receiving Veteran's benefits.</t>
  </si>
  <si>
    <t>001609</t>
  </si>
  <si>
    <t>FinancialAidVeteransBenefitStatus</t>
  </si>
  <si>
    <t>Financial Aid Veteran’s Benefit Type</t>
  </si>
  <si>
    <t>The type of Veteran's benefits a person is receiving.</t>
  </si>
  <si>
    <t>001610</t>
  </si>
  <si>
    <t>FinancialAidVeteransBenefitType</t>
  </si>
  <si>
    <t>Financial Aid Year Designator</t>
  </si>
  <si>
    <t>001611</t>
  </si>
  <si>
    <t>FinancialAidYearDesignator</t>
  </si>
  <si>
    <t>001354</t>
  </si>
  <si>
    <t>This classification permits expenditures to be segregated by instructional level.</t>
  </si>
  <si>
    <t>001555</t>
  </si>
  <si>
    <t>001355</t>
  </si>
  <si>
    <t>001556</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</si>
  <si>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</si>
  <si>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</si>
  <si>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</si>
  <si>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</si>
  <si>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</si>
  <si>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</si>
  <si>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</si>
  <si>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t>Element should be used in combination with Financial Need.</t>
  </si>
  <si>
    <t>001224</t>
  </si>
  <si>
    <t>FinancialNeedDeterminationMethodology</t>
  </si>
  <si>
    <t>Firearm Type</t>
  </si>
  <si>
    <t>The type of firearm.</t>
  </si>
  <si>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</si>
  <si>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</si>
  <si>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</si>
  <si>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</si>
  <si>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</si>
  <si>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</si>
  <si>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</si>
  <si>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</si>
  <si>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</si>
  <si>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</si>
  <si>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</si>
  <si>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</si>
  <si>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</si>
  <si>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</si>
  <si>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</si>
  <si>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</si>
  <si>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</si>
  <si>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</si>
  <si>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</si>
  <si>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</si>
  <si>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</si>
  <si>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</si>
  <si>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</si>
  <si>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</si>
  <si>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</si>
  <si>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</si>
  <si>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</si>
  <si>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</si>
  <si>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</si>
  <si>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</si>
  <si>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</si>
  <si>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</si>
  <si>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</si>
  <si>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</si>
  <si>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</si>
  <si>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</si>
  <si>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</si>
  <si>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</si>
  <si>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</si>
  <si>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</si>
  <si>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</si>
  <si>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</si>
  <si>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</si>
  <si>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</si>
  <si>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</si>
  <si>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</si>
  <si>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</si>
  <si>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</si>
  <si>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001356</t>
  </si>
  <si>
    <t>FrequencyOfService</t>
  </si>
  <si>
    <t>Frequency Unit</t>
  </si>
  <si>
    <t>The unit of time by which a cycle is defined.</t>
  </si>
  <si>
    <t>001713</t>
  </si>
  <si>
    <t>FrequencyUnit</t>
  </si>
  <si>
    <t>Full Time Equivalency</t>
  </si>
  <si>
    <t>The time a person is enrolled, employed, involved, or participates in the organization, divided by the time the organization defines as full-time for that role.</t>
  </si>
  <si>
    <t>Numeric - up to 2 decimal places</t>
  </si>
  <si>
    <t>001921</t>
  </si>
  <si>
    <t>FullTimeEquivalency</t>
  </si>
  <si>
    <t>Full Year Expulsion</t>
  </si>
  <si>
    <t>An expulsion with or without services for a period of one full year (i.e., 365 days).</t>
  </si>
  <si>
    <t>000513</t>
  </si>
  <si>
    <t>FullYearExpulsion</t>
  </si>
  <si>
    <t>Full-Time Employee Benefits</t>
  </si>
  <si>
    <t>The benefits offered by a program/facility/employer for full-time staff.</t>
  </si>
  <si>
    <t>000866</t>
  </si>
  <si>
    <t>FullTimeEmployeeBenefits</t>
  </si>
  <si>
    <t>Full-time Status</t>
  </si>
  <si>
    <t>An indication of whether an individual is employed for a standard number of hours (as determined by civil or organizational policies) in a week, month, or other period of time.</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</si>
  <si>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</si>
  <si>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</si>
  <si>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</si>
  <si>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</si>
  <si>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</si>
  <si>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</si>
  <si>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</si>
  <si>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</si>
  <si>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</si>
  <si>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</si>
  <si>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</si>
  <si>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</si>
  <si>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</si>
  <si>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</si>
  <si>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</si>
  <si>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</si>
  <si>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</si>
  <si>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Gifted and Talented Indicator</t>
  </si>
  <si>
    <t>An indication that the student is participating in and served by a Gifted/Talented program.</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</si>
  <si>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</si>
  <si>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</si>
  <si>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</si>
  <si>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</si>
  <si>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</si>
  <si>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</si>
  <si>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</si>
  <si>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</si>
  <si>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</si>
  <si>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</si>
  <si>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</si>
  <si>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</si>
  <si>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</si>
  <si>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</si>
  <si>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</si>
  <si>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</si>
  <si>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</si>
  <si>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</si>
  <si>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</si>
  <si>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</si>
  <si>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</si>
  <si>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</si>
  <si>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</si>
  <si>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</si>
  <si>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</si>
  <si>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</si>
  <si>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</si>
  <si>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</si>
  <si>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</si>
  <si>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</si>
  <si>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</si>
  <si>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</si>
  <si>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</si>
  <si>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</si>
  <si>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</si>
  <si>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</si>
  <si>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</si>
  <si>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</si>
  <si>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</si>
  <si>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</si>
  <si>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</si>
  <si>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</si>
  <si>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</si>
  <si>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</si>
  <si>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</si>
  <si>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</si>
  <si>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</si>
  <si>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</si>
  <si>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</si>
  <si>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</si>
  <si>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</si>
  <si>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</si>
  <si>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</si>
  <si>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</si>
  <si>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</si>
  <si>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</si>
  <si>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</si>
  <si>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</si>
  <si>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</si>
  <si>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</si>
  <si>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</si>
  <si>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</si>
  <si>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</si>
  <si>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</si>
  <si>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</si>
  <si>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t>001079</t>
  </si>
  <si>
    <t>GoalsForAttendingAdultEducation</t>
  </si>
  <si>
    <t>Grade Level When Assessed</t>
  </si>
  <si>
    <t>The grade or developmental level of a student when assessed.</t>
  </si>
  <si>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</si>
  <si>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</si>
  <si>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</si>
  <si>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</si>
  <si>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</si>
  <si>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</si>
  <si>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</si>
  <si>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</si>
  <si>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Levels Approved</t>
  </si>
  <si>
    <t>The specific grade or combination of grades approved by an organization to be offered by an education institution.</t>
  </si>
  <si>
    <t>001926</t>
  </si>
  <si>
    <t>GradeLevelsApproved</t>
  </si>
  <si>
    <t>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</si>
  <si>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</si>
  <si>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</si>
  <si>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</si>
  <si>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</si>
  <si>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</si>
  <si>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</si>
  <si>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</si>
  <si>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</si>
  <si>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</si>
  <si>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</si>
  <si>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</si>
  <si>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</si>
  <si>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</si>
  <si>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</si>
  <si>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</si>
  <si>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</si>
  <si>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</si>
  <si>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</si>
  <si>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</si>
  <si>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</si>
  <si>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</si>
  <si>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</si>
  <si>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Grade Point Average is weighted or unweighted.</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</si>
  <si>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</si>
  <si>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</si>
  <si>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</si>
  <si>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</si>
  <si>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</si>
  <si>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</si>
  <si>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</si>
  <si>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</si>
  <si>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</si>
  <si>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</si>
  <si>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</si>
  <si>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</si>
  <si>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</si>
  <si>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</si>
  <si>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</si>
  <si>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</si>
  <si>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000131</t>
  </si>
  <si>
    <t>GradesOffered</t>
  </si>
  <si>
    <t>Graduate Assistant IPEDS Occupation Category</t>
  </si>
  <si>
    <t>The Integrated Postsecondary Education Data System (IPEDS) occupational categories used to report graduate assistants.</t>
  </si>
  <si>
    <t>000743</t>
  </si>
  <si>
    <t>GraduateAssistantIPEDSOccupationCategory</t>
  </si>
  <si>
    <t>Graduate Assistant Status</t>
  </si>
  <si>
    <t>000742</t>
  </si>
  <si>
    <t>GraduateAssistantStatus</t>
  </si>
  <si>
    <t>Graduate or Doctoral Exam Results Status</t>
  </si>
  <si>
    <t>The individual's status in completing exams required for graduate or doctoral degree programs.</t>
  </si>
  <si>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</si>
  <si>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</si>
  <si>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</si>
  <si>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</si>
  <si>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</si>
  <si>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</si>
  <si>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</si>
  <si>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</si>
  <si>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</si>
  <si>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</si>
  <si>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</si>
  <si>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</si>
  <si>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</si>
  <si>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</si>
  <si>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</si>
  <si>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</si>
  <si>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</si>
  <si>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</si>
  <si>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</si>
  <si>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</si>
  <si>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</si>
  <si>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</si>
  <si>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</si>
  <si>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</si>
  <si>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</si>
  <si>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</si>
  <si>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</si>
  <si>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</si>
  <si>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</si>
  <si>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</si>
  <si>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</si>
  <si>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</si>
  <si>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</si>
  <si>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001359</t>
  </si>
  <si>
    <t>HealthScreeningFollowUpRecommendation</t>
  </si>
  <si>
    <t>Hearing Screening Date</t>
  </si>
  <si>
    <t>The year, month and day of a hearing screening.</t>
  </si>
  <si>
    <t>000705</t>
  </si>
  <si>
    <t>HearingScreeningDate</t>
  </si>
  <si>
    <t>Hearing Screening Status</t>
  </si>
  <si>
    <t>Status of an examination used to measure a person's ability to perceive sounds.</t>
  </si>
  <si>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</si>
  <si>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</si>
  <si>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</si>
  <si>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</si>
  <si>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</si>
  <si>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</si>
  <si>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</si>
  <si>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</si>
  <si>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</si>
  <si>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</si>
  <si>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</si>
  <si>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</si>
  <si>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</si>
  <si>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</si>
  <si>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</si>
  <si>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</si>
  <si>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</si>
  <si>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</si>
  <si>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</si>
  <si>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</si>
  <si>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</si>
  <si>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t>000140</t>
  </si>
  <si>
    <t>HighSchoolGraduationRateIndicatorStatus</t>
  </si>
  <si>
    <t>High School Percentile</t>
  </si>
  <si>
    <t>The High School Rank divided by the Size of High School Graduating Class expressed as a percentage.</t>
  </si>
  <si>
    <t>000759</t>
  </si>
  <si>
    <t>HighSchoolPercentile</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</si>
  <si>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</si>
  <si>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</si>
  <si>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</si>
  <si>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</si>
  <si>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</si>
  <si>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</si>
  <si>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</si>
  <si>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</si>
  <si>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t>000818</t>
  </si>
  <si>
    <t>HigherEducationInstitutionAccredidationStatus</t>
  </si>
  <si>
    <t>Highest Level of Education Completed</t>
  </si>
  <si>
    <t>The extent of formal instruction a person has received (e.g., the highest grade in school completed or its equivalent or the highest degree received).</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</si>
  <si>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</si>
  <si>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</si>
  <si>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</si>
  <si>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</si>
  <si>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</si>
  <si>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</si>
  <si>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</si>
  <si>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</si>
  <si>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</si>
  <si>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</si>
  <si>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</si>
  <si>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</si>
  <si>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</si>
  <si>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</si>
  <si>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</si>
  <si>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</si>
  <si>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</si>
  <si>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</si>
  <si>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person at the time the person was identified as homeless.</t>
  </si>
  <si>
    <t>000146</t>
  </si>
  <si>
    <t>HomelessPrimaryNighttimeResidence</t>
  </si>
  <si>
    <t>Homeless Serviced Indicator</t>
  </si>
  <si>
    <t>000147</t>
  </si>
  <si>
    <t>HomelessServicedIndicator</t>
  </si>
  <si>
    <t>Homeless Unaccompanied Youth Status</t>
  </si>
  <si>
    <t>An indication that homeless youths were unaccompanied by parents or legal guardians.</t>
  </si>
  <si>
    <t>K12 -&gt; K12 Student -&gt; Homeless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</si>
  <si>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</si>
  <si>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</si>
  <si>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</si>
  <si>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</si>
  <si>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</si>
  <si>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</si>
  <si>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</si>
  <si>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</si>
  <si>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</si>
  <si>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</si>
  <si>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</si>
  <si>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</si>
  <si>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</si>
  <si>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</si>
  <si>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</si>
  <si>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</si>
  <si>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</si>
  <si>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</si>
  <si>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</si>
  <si>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</si>
  <si>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</si>
  <si>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</si>
  <si>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</si>
  <si>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</si>
  <si>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</si>
  <si>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</si>
  <si>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</si>
  <si>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</si>
  <si>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</si>
  <si>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</si>
  <si>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</si>
  <si>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t>000556</t>
  </si>
  <si>
    <t>IDEADisciplineMethodForFirearmsIncidents</t>
  </si>
  <si>
    <t>IDEA Educational Environment for Early Childhood</t>
  </si>
  <si>
    <t>The program in which children ages 3 through 5 attend and in which these children receive special education and related services.</t>
  </si>
  <si>
    <t>000559</t>
  </si>
  <si>
    <t>IDEAEducationalEnvironmentForEarlyChildhood</t>
  </si>
  <si>
    <t>IDEA Educational Environment for School Age</t>
  </si>
  <si>
    <t>The setting in which children ages 6 through 21, receive special education and related services.</t>
  </si>
  <si>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</si>
  <si>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</si>
  <si>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</si>
  <si>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</si>
  <si>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</si>
  <si>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t>001729</t>
  </si>
  <si>
    <t>IDEAEligibilityEvaluationCategory</t>
  </si>
  <si>
    <t>IDEA IEP Status</t>
  </si>
  <si>
    <t>The status of an individualized services plan for a specified reporting period or on a specified date.</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</si>
  <si>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</si>
  <si>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</si>
  <si>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</si>
  <si>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</si>
  <si>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</si>
  <si>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</si>
  <si>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</si>
  <si>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</si>
  <si>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</si>
  <si>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t>000541</t>
  </si>
  <si>
    <t>IDEAInterimRemoval</t>
  </si>
  <si>
    <t>IDEA Interim Removal Reason</t>
  </si>
  <si>
    <t>The reasons why children with disabilities were unilaterally removed from their current educational placement to an interim alternative educational setting.</t>
  </si>
  <si>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</si>
  <si>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</si>
  <si>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</si>
  <si>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</si>
  <si>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</si>
  <si>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</si>
  <si>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</si>
  <si>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</si>
  <si>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</si>
  <si>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</si>
  <si>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</si>
  <si>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</si>
  <si>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</si>
  <si>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</si>
  <si>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</si>
  <si>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</si>
  <si>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</si>
  <si>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</si>
  <si>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</si>
  <si>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</si>
  <si>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</si>
  <si>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</si>
  <si>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</si>
  <si>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</si>
  <si>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</si>
  <si>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</si>
  <si>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</si>
  <si>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</si>
  <si>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</si>
  <si>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</si>
  <si>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</si>
  <si>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</si>
  <si>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</si>
  <si>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</si>
  <si>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</si>
  <si>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</si>
  <si>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</si>
  <si>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</si>
  <si>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</si>
  <si>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</si>
  <si>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</si>
  <si>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</si>
  <si>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</si>
  <si>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</si>
  <si>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</si>
  <si>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</si>
  <si>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</si>
  <si>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</si>
  <si>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</si>
  <si>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</si>
  <si>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t>001728</t>
  </si>
  <si>
    <t>IEPEligibilityEvaluationType</t>
  </si>
  <si>
    <t>IEP Goal Type</t>
  </si>
  <si>
    <t>Legal category for an IEP annual goal or short-term objectives.</t>
  </si>
  <si>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</si>
  <si>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</si>
  <si>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</si>
  <si>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</si>
  <si>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</si>
  <si>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</si>
  <si>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</si>
  <si>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</si>
  <si>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</si>
  <si>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</si>
  <si>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</si>
  <si>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</si>
  <si>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</si>
  <si>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</si>
  <si>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</si>
  <si>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</si>
  <si>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</si>
  <si>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</si>
  <si>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</si>
  <si>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</si>
  <si>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</si>
  <si>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</si>
  <si>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</si>
  <si>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</si>
  <si>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</si>
  <si>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</si>
  <si>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</si>
  <si>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</si>
  <si>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</si>
  <si>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</si>
  <si>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</si>
  <si>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</si>
  <si>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</si>
  <si>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</si>
  <si>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</si>
  <si>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</si>
  <si>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</si>
  <si>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</si>
  <si>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</si>
  <si>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</si>
  <si>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</si>
  <si>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</si>
  <si>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</si>
  <si>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</si>
  <si>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</si>
  <si>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</si>
  <si>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</si>
  <si>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</si>
  <si>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</si>
  <si>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</si>
  <si>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</si>
  <si>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001248</t>
  </si>
  <si>
    <t>ImmunizationType</t>
  </si>
  <si>
    <t>Incident Behavior</t>
  </si>
  <si>
    <t>Categories of behavior coded for use in describing an incident.</t>
  </si>
  <si>
    <t>000509</t>
  </si>
  <si>
    <t>IncidentBehavior</t>
  </si>
  <si>
    <t>Incident Cost</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</si>
  <si>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</si>
  <si>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</si>
  <si>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</si>
  <si>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</si>
  <si>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</si>
  <si>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</si>
  <si>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</si>
  <si>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</si>
  <si>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</si>
  <si>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</si>
  <si>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</si>
  <si>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</si>
  <si>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</si>
  <si>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</si>
  <si>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</si>
  <si>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</si>
  <si>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t>Incident Injury Type can be linked to any person involved in the incident.</t>
  </si>
  <si>
    <t>000510</t>
  </si>
  <si>
    <t>IncidentInjuryType</t>
  </si>
  <si>
    <t>Incident Location</t>
  </si>
  <si>
    <t>Identifies where the incident occurred and whether or not it occurred on campus.</t>
  </si>
  <si>
    <t>000617</t>
  </si>
  <si>
    <t>IncidentLocation</t>
  </si>
  <si>
    <t>Incident Multiple Offense Type</t>
  </si>
  <si>
    <t>An indication of whether the offense was primary or secondary in nature when a single incident included more than one type of offense.</t>
  </si>
  <si>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</si>
  <si>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</si>
  <si>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</si>
  <si>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</si>
  <si>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</si>
  <si>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</si>
  <si>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</si>
  <si>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</si>
  <si>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</si>
  <si>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</si>
  <si>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</si>
  <si>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</si>
  <si>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t>001372</t>
  </si>
  <si>
    <t>IncidentPerpetratorType</t>
  </si>
  <si>
    <t>Incident Person Role Type</t>
  </si>
  <si>
    <t>The role or type of participation of a person in a discipline incident.</t>
  </si>
  <si>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</si>
  <si>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</si>
  <si>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</si>
  <si>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</si>
  <si>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</si>
  <si>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</si>
  <si>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</si>
  <si>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</si>
  <si>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</si>
  <si>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</si>
  <si>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</si>
  <si>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</si>
  <si>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</si>
  <si>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</si>
  <si>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</si>
  <si>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</si>
  <si>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</si>
  <si>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</si>
  <si>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</si>
  <si>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</si>
  <si>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</si>
  <si>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</si>
  <si>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</si>
  <si>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</si>
  <si>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</si>
  <si>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</si>
  <si>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</si>
  <si>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</si>
  <si>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</si>
  <si>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</si>
  <si>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</si>
  <si>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</si>
  <si>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</si>
  <si>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</si>
  <si>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</si>
  <si>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</si>
  <si>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</si>
  <si>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</si>
  <si>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</si>
  <si>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</si>
  <si>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</si>
  <si>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</si>
  <si>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</si>
  <si>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</si>
  <si>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</si>
  <si>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001612</t>
  </si>
  <si>
    <t>IncludedInCountedFamilySize</t>
  </si>
  <si>
    <t>Inclusive Setting Indicator</t>
  </si>
  <si>
    <t>Indicates that services are provided to the child in a place where children of all abilities learn together.</t>
  </si>
  <si>
    <t>001634</t>
  </si>
  <si>
    <t>InclusiveSettingIndicator</t>
  </si>
  <si>
    <t>Income Calculation Method</t>
  </si>
  <si>
    <t>The calculation method used by a program to determine total family income.</t>
  </si>
  <si>
    <t>000334</t>
  </si>
  <si>
    <t>IncomeCalculationMethod</t>
  </si>
  <si>
    <t>Increased Learning Time Type</t>
  </si>
  <si>
    <t>The types of increased learning time provided.</t>
  </si>
  <si>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</si>
  <si>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</si>
  <si>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</si>
  <si>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</si>
  <si>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</si>
  <si>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</si>
  <si>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</si>
  <si>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</si>
  <si>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</si>
  <si>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</si>
  <si>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</si>
  <si>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</si>
  <si>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</si>
  <si>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</si>
  <si>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</si>
  <si>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</si>
  <si>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</si>
  <si>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</si>
  <si>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001232</t>
  </si>
  <si>
    <t>IndividualizedProgramDate</t>
  </si>
  <si>
    <t>Individualized Program Inclusion Minutes Per Week</t>
  </si>
  <si>
    <t>The number of minutes per week that a student with disabilities is served in a special education setting separate from his or her non-disabled peers.</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</si>
  <si>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</si>
  <si>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</si>
  <si>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</si>
  <si>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</si>
  <si>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</si>
  <si>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</si>
  <si>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</si>
  <si>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</si>
  <si>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</si>
  <si>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</si>
  <si>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</si>
  <si>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</si>
  <si>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</si>
  <si>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</si>
  <si>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</si>
  <si>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</si>
  <si>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</si>
  <si>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</si>
  <si>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</si>
  <si>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</si>
  <si>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</si>
  <si>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</si>
  <si>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</si>
  <si>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</si>
  <si>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</si>
  <si>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</si>
  <si>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</si>
  <si>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</si>
  <si>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</si>
  <si>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</si>
  <si>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</si>
  <si>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</si>
  <si>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</si>
  <si>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</si>
  <si>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</si>
  <si>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</si>
  <si>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</si>
  <si>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</si>
  <si>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</si>
  <si>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</si>
  <si>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</si>
  <si>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</si>
  <si>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</si>
  <si>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</si>
  <si>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</si>
  <si>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</si>
  <si>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</si>
  <si>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</si>
  <si>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</si>
  <si>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</si>
  <si>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</si>
  <si>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</si>
  <si>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</si>
  <si>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</si>
  <si>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</si>
  <si>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</si>
  <si>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</si>
  <si>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</si>
  <si>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</si>
  <si>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</si>
  <si>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</si>
  <si>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</si>
  <si>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</si>
  <si>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</si>
  <si>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</si>
  <si>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</si>
  <si>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</si>
  <si>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</si>
  <si>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</si>
  <si>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</si>
  <si>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</si>
  <si>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</si>
  <si>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</si>
  <si>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</si>
  <si>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</si>
  <si>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</si>
  <si>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</si>
  <si>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</si>
  <si>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</si>
  <si>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</si>
  <si>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</si>
  <si>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</si>
  <si>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</si>
  <si>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</si>
  <si>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</si>
  <si>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</si>
  <si>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</si>
  <si>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</si>
  <si>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t>001235</t>
  </si>
  <si>
    <t>IndividualizedProgramTransitionPlanType</t>
  </si>
  <si>
    <t>Individualized Program Type</t>
  </si>
  <si>
    <t>A designation of the type of program developed for a student.</t>
  </si>
  <si>
    <t>000320</t>
  </si>
  <si>
    <t>IndividualizedProgramType</t>
  </si>
  <si>
    <t>Initial Enrollment Term</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</si>
  <si>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</si>
  <si>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</si>
  <si>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</si>
  <si>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</si>
  <si>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</si>
  <si>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</si>
  <si>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</si>
  <si>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</si>
  <si>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</si>
  <si>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</si>
  <si>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</si>
  <si>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</si>
  <si>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</si>
  <si>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</si>
  <si>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</si>
  <si>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</si>
  <si>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</si>
  <si>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</si>
  <si>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</si>
  <si>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</si>
  <si>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</si>
  <si>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</si>
  <si>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</si>
  <si>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</si>
  <si>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</si>
  <si>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</si>
  <si>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</si>
  <si>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</si>
  <si>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</si>
  <si>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</si>
  <si>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</si>
  <si>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</si>
  <si>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</si>
  <si>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</si>
  <si>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</si>
  <si>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</si>
  <si>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</si>
  <si>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</si>
  <si>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</si>
  <si>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</si>
  <si>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</si>
  <si>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</si>
  <si>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</si>
  <si>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</si>
  <si>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</si>
  <si>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</si>
  <si>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</si>
  <si>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</si>
  <si>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</si>
  <si>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</si>
  <si>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</si>
  <si>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</si>
  <si>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</si>
  <si>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</si>
  <si>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</si>
  <si>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</si>
  <si>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</si>
  <si>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</si>
  <si>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</si>
  <si>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</si>
  <si>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</si>
  <si>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</si>
  <si>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</si>
  <si>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</si>
  <si>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</si>
  <si>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</si>
  <si>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</si>
  <si>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</si>
  <si>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</si>
  <si>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</si>
  <si>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</si>
  <si>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</si>
  <si>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t>000739</t>
  </si>
  <si>
    <t>InstructionalStaffFacultyTenureStatus</t>
  </si>
  <si>
    <t>Instructional Staff Status</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</si>
  <si>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</si>
  <si>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</si>
  <si>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</si>
  <si>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</si>
  <si>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</si>
  <si>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</si>
  <si>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</si>
  <si>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</si>
  <si>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</si>
  <si>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</si>
  <si>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</si>
  <si>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</si>
  <si>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</si>
  <si>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</si>
  <si>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</si>
  <si>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</si>
  <si>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</si>
  <si>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</si>
  <si>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</si>
  <si>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</si>
  <si>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t>000587</t>
  </si>
  <si>
    <t>InternetAccess</t>
  </si>
  <si>
    <t>Interscholastic Sport Participants - Female Only</t>
  </si>
  <si>
    <t>000658</t>
  </si>
  <si>
    <t>InterscholasticSportParticipantsFemaleOnly</t>
  </si>
  <si>
    <t>Interscholastic Sport Participants - Male Only</t>
  </si>
  <si>
    <t>000657</t>
  </si>
  <si>
    <t>InterscholasticSportParticipantsMaleOnly</t>
  </si>
  <si>
    <t>Interscholastic Sports - Female Only</t>
  </si>
  <si>
    <t>000654</t>
  </si>
  <si>
    <t>InterscholasticSportsFemaleOnly</t>
  </si>
  <si>
    <t>Interscholastic Sports - Male Only</t>
  </si>
  <si>
    <t>000653</t>
  </si>
  <si>
    <t>InterscholasticSportsMaleOnly</t>
  </si>
  <si>
    <t>Interscholastic Teams - Female Only</t>
  </si>
  <si>
    <t>000656</t>
  </si>
  <si>
    <t>InterscholasticTeamsFemaleOnly</t>
  </si>
  <si>
    <t>Interscholastic Teams - Male Only</t>
  </si>
  <si>
    <t>000655</t>
  </si>
  <si>
    <t>InterscholasticTeamsMaleOnly</t>
  </si>
  <si>
    <t>IPEDS Collection Year Designator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</si>
  <si>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</si>
  <si>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</si>
  <si>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</si>
  <si>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</si>
  <si>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</si>
  <si>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</si>
  <si>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</si>
  <si>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</si>
  <si>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</si>
  <si>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</si>
  <si>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</si>
  <si>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</si>
  <si>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</si>
  <si>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</si>
  <si>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</si>
  <si>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</si>
  <si>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</si>
  <si>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</si>
  <si>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</si>
  <si>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</si>
  <si>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</si>
  <si>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</si>
  <si>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</si>
  <si>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</si>
  <si>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</si>
  <si>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</si>
  <si>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</si>
  <si>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</si>
  <si>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</si>
  <si>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</si>
  <si>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</si>
  <si>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</si>
  <si>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</si>
  <si>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</si>
  <si>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</si>
  <si>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</si>
  <si>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</si>
  <si>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</si>
  <si>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</si>
  <si>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</si>
  <si>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</si>
  <si>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</si>
  <si>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t>001677</t>
  </si>
  <si>
    <t>IPEDSFinanceGASBScholarshipsandFellowshipsRevenueCategory</t>
  </si>
  <si>
    <t>IPEDS Finance Intercollegiate Athletics Expenses</t>
  </si>
  <si>
    <t>Identifies the functional expense category where the institution allocates its intercollegiate athletics expenses.</t>
  </si>
  <si>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</si>
  <si>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</si>
  <si>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</si>
  <si>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</si>
  <si>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t>(NACUBO FARM section 700)</t>
  </si>
  <si>
    <t>001676</t>
  </si>
  <si>
    <t>IPEDSFinanceNaturalExpenseCategory</t>
  </si>
  <si>
    <t>IPEDS Occupational Category</t>
  </si>
  <si>
    <t>The Integrated Postsecondary Education Data System (IPEDS) occupational categories used to report employees.</t>
  </si>
  <si>
    <t>IPEDS reporting categories beginning with the 2012 IPEDS survey year.</t>
  </si>
  <si>
    <t>000731</t>
  </si>
  <si>
    <t>IPEDSOccupationalCategory</t>
  </si>
  <si>
    <t>ISO 639-2 Language Code</t>
  </si>
  <si>
    <t>The code for the specific language or dialect that a person uses to communicate.</t>
  </si>
  <si>
    <t>000317</t>
  </si>
  <si>
    <t>ISO6392LanguageCode</t>
  </si>
  <si>
    <t>Early Learning -&gt; Program Compliance
Early Learning -&gt; Program Entry
Early Learning -&gt; Staff Quality
Early Learning -&gt; Workforce Development
K-12 -&gt; EDFacts</t>
  </si>
  <si>
    <t>ISO 639-3 Language Code</t>
  </si>
  <si>
    <t>001637</t>
  </si>
  <si>
    <t>ISO6393LanguageCode</t>
  </si>
  <si>
    <t>ISO 639-5 Language Family</t>
  </si>
  <si>
    <t>A code for a specific language family, which supplements the language groups and families in the ISO 639-2 Language Code.</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</si>
  <si>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</si>
  <si>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</si>
  <si>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</si>
  <si>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</si>
  <si>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</si>
  <si>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</si>
  <si>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</si>
  <si>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</si>
  <si>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</si>
  <si>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</si>
  <si>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</si>
  <si>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</si>
  <si>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</si>
  <si>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t>K12 -&gt; K12 Course</t>
  </si>
  <si>
    <t>001386</t>
  </si>
  <si>
    <t>K12EndOfCourseRequirement</t>
  </si>
  <si>
    <t>K12 Staff Classification</t>
  </si>
  <si>
    <t>The titles of employment, official status, or rank of education staff.</t>
  </si>
  <si>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</si>
  <si>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</si>
  <si>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</si>
  <si>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</si>
  <si>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</si>
  <si>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t>K12 -&gt; LEA -&gt; Programs and Services</t>
  </si>
  <si>
    <t>000491</t>
  </si>
  <si>
    <t>KindergartenDailyLength</t>
  </si>
  <si>
    <t>The type of Kindergarten program the student is enrolled in.</t>
  </si>
  <si>
    <t>000714</t>
  </si>
  <si>
    <t>KindergartenProgramParticipationType</t>
  </si>
  <si>
    <t>Language Translation Policy</t>
  </si>
  <si>
    <t>001226</t>
  </si>
  <si>
    <t>LanguageTranslationPolicy</t>
  </si>
  <si>
    <t>Language Type</t>
  </si>
  <si>
    <t>An indication of the function and context in which a person uses a language to communicate.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</si>
  <si>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</si>
  <si>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</si>
  <si>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</si>
  <si>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</si>
  <si>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</si>
  <si>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</si>
  <si>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</si>
  <si>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</si>
  <si>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</si>
  <si>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</si>
  <si>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</si>
  <si>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</si>
  <si>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</si>
  <si>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</si>
  <si>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</si>
  <si>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</si>
  <si>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</si>
  <si>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</si>
  <si>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</si>
  <si>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</si>
  <si>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</si>
  <si>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</si>
  <si>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</si>
  <si>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</si>
  <si>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</si>
  <si>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</si>
  <si>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</si>
  <si>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</si>
  <si>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</si>
  <si>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</si>
  <si>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</si>
  <si>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</si>
  <si>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</si>
  <si>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</si>
  <si>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</si>
  <si>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</si>
  <si>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</si>
  <si>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</si>
  <si>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</si>
  <si>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</si>
  <si>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</si>
  <si>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</si>
  <si>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</si>
  <si>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</si>
  <si>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</si>
  <si>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</si>
  <si>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</si>
  <si>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</si>
  <si>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</si>
  <si>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</si>
  <si>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</si>
  <si>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</si>
  <si>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</si>
  <si>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</si>
  <si>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</si>
  <si>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</si>
  <si>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</si>
  <si>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</si>
  <si>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</si>
  <si>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</si>
  <si>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</si>
  <si>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</si>
  <si>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</si>
  <si>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</si>
  <si>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</si>
  <si>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</si>
  <si>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</si>
  <si>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</si>
  <si>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</si>
  <si>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</si>
  <si>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</si>
  <si>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</si>
  <si>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</si>
  <si>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</si>
  <si>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</si>
  <si>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</si>
  <si>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</si>
  <si>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</si>
  <si>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</si>
  <si>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</si>
  <si>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</si>
  <si>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</si>
  <si>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</si>
  <si>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</si>
  <si>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</si>
  <si>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</si>
  <si>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</si>
  <si>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</si>
  <si>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</si>
  <si>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</si>
  <si>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</si>
  <si>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</si>
  <si>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</si>
  <si>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</si>
  <si>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</si>
  <si>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</si>
  <si>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</si>
  <si>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</si>
  <si>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</si>
  <si>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</si>
  <si>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</si>
  <si>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</si>
  <si>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</si>
  <si>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</si>
  <si>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</si>
  <si>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</si>
  <si>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</si>
  <si>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</si>
  <si>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</si>
  <si>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</si>
  <si>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</si>
  <si>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</si>
  <si>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</si>
  <si>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</si>
  <si>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</si>
  <si>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</si>
  <si>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</si>
  <si>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t>Learning Resources -&gt; Learning Resource</t>
  </si>
  <si>
    <t>001389</t>
  </si>
  <si>
    <t>LearningResourceAccessAPIType</t>
  </si>
  <si>
    <t>Learning Resource Access Hazard Type</t>
  </si>
  <si>
    <t>A characteristic of the described learning resource that is physiologically dangerous to some users.</t>
  </si>
  <si>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</si>
  <si>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</si>
  <si>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</si>
  <si>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</si>
  <si>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</si>
  <si>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</si>
  <si>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</si>
  <si>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</si>
  <si>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</si>
  <si>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</si>
  <si>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</si>
  <si>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</si>
  <si>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</si>
  <si>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</si>
  <si>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</si>
  <si>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</si>
  <si>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</si>
  <si>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</si>
  <si>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</si>
  <si>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</si>
  <si>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</si>
  <si>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</si>
  <si>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</si>
  <si>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</si>
  <si>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</si>
  <si>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</si>
  <si>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</si>
  <si>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</si>
  <si>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</si>
  <si>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</si>
  <si>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</si>
  <si>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</si>
  <si>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</si>
  <si>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</si>
  <si>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</si>
  <si>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</si>
  <si>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</si>
  <si>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</si>
  <si>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</si>
  <si>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</si>
  <si>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</si>
  <si>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</si>
  <si>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001394</t>
  </si>
  <si>
    <t>LearningResourceBookFormatType</t>
  </si>
  <si>
    <t>Learning Resource Competency Alignment Type</t>
  </si>
  <si>
    <t>The alignment relationship between the resource and a competency definition object.</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</si>
  <si>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</si>
  <si>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</si>
  <si>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</si>
  <si>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</si>
  <si>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</si>
  <si>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</si>
  <si>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</si>
  <si>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</si>
  <si>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</si>
  <si>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</si>
  <si>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</si>
  <si>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</si>
  <si>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</si>
  <si>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</si>
  <si>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</si>
  <si>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</si>
  <si>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</si>
  <si>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</si>
  <si>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</si>
  <si>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</si>
  <si>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</si>
  <si>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</si>
  <si>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</si>
  <si>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</si>
  <si>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</si>
  <si>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</si>
  <si>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</si>
  <si>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</si>
  <si>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</si>
  <si>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</si>
  <si>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</si>
  <si>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</si>
  <si>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</si>
  <si>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</si>
  <si>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</si>
  <si>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</si>
  <si>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</si>
  <si>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</si>
  <si>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</si>
  <si>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</si>
  <si>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</si>
  <si>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</si>
  <si>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</si>
  <si>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</si>
  <si>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</si>
  <si>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</si>
  <si>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</si>
  <si>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</si>
  <si>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</si>
  <si>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t>001002</t>
  </si>
  <si>
    <t>LearningResourceEducationalUse</t>
  </si>
  <si>
    <t>Learning Resource Intended End User Role</t>
  </si>
  <si>
    <t>The individual or group for which the resource was produced.</t>
  </si>
  <si>
    <t>000923</t>
  </si>
  <si>
    <t>LearningResourceIntendedEndUserRole</t>
  </si>
  <si>
    <t>Learning Resource Interaction Mode</t>
  </si>
  <si>
    <t>The primary type of interaction, synchronous or asynchronous, defined for the learning resource.</t>
  </si>
  <si>
    <t>001565</t>
  </si>
  <si>
    <t>LearningResourceInteractionMode</t>
  </si>
  <si>
    <t>Learning Resource Interactivity Type</t>
  </si>
  <si>
    <t>The predominate mode of learning supported by the learning resource. Acceptable values are active, expositive, or mixed.</t>
  </si>
  <si>
    <t>000927</t>
  </si>
  <si>
    <t>LearningResourceInteractivityType</t>
  </si>
  <si>
    <t>Learning Resource Language</t>
  </si>
  <si>
    <t>The primary language of the resource.</t>
  </si>
  <si>
    <t>000919</t>
  </si>
  <si>
    <t>LearningResourceLanguage</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</si>
  <si>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</si>
  <si>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</si>
  <si>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</si>
  <si>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</si>
  <si>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</si>
  <si>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</si>
  <si>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</si>
  <si>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</si>
  <si>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</si>
  <si>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</si>
  <si>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</si>
  <si>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</si>
  <si>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</si>
  <si>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</si>
  <si>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</si>
  <si>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</si>
  <si>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</si>
  <si>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</si>
  <si>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</si>
  <si>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</si>
  <si>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</si>
  <si>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</si>
  <si>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</si>
  <si>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</si>
  <si>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</si>
  <si>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</si>
  <si>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</si>
  <si>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</si>
  <si>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</si>
  <si>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</si>
  <si>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</si>
  <si>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</si>
  <si>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</si>
  <si>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</si>
  <si>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</si>
  <si>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</si>
  <si>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</si>
  <si>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</si>
  <si>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</si>
  <si>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</si>
  <si>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</si>
  <si>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000914</t>
  </si>
  <si>
    <t>LearningResourceSubjectCode</t>
  </si>
  <si>
    <t>Learning Resource Subject Code System</t>
  </si>
  <si>
    <t>The system that is used to identify the organization of subject matter and related learning experiences addressed by the learning resource.</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</si>
  <si>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</si>
  <si>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</si>
  <si>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</si>
  <si>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</si>
  <si>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</si>
  <si>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</si>
  <si>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</si>
  <si>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</si>
  <si>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</si>
  <si>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</si>
  <si>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</si>
  <si>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</si>
  <si>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</si>
  <si>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</si>
  <si>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</si>
  <si>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</si>
  <si>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</si>
  <si>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</si>
  <si>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</si>
  <si>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</si>
  <si>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</si>
  <si>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</si>
  <si>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</si>
  <si>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</si>
  <si>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</si>
  <si>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</si>
  <si>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</si>
  <si>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</si>
  <si>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</si>
  <si>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</si>
  <si>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</si>
  <si>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</si>
  <si>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</si>
  <si>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</si>
  <si>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</si>
  <si>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</si>
  <si>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</si>
  <si>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</si>
  <si>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</si>
  <si>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</si>
  <si>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</si>
  <si>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</si>
  <si>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</si>
  <si>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</si>
  <si>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</si>
  <si>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t>000624</t>
  </si>
  <si>
    <t>LeaveEventType</t>
  </si>
  <si>
    <t>Level of Institution</t>
  </si>
  <si>
    <t>A classification of whether a postsecondary institution's highest level of offering is a program of 4-years or higher (4 year), 2-but-less-than 4-years (2 year), or less than 2-years.</t>
  </si>
  <si>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</si>
  <si>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</si>
  <si>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</si>
  <si>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</si>
  <si>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</si>
  <si>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</si>
  <si>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</si>
  <si>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</si>
  <si>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</si>
  <si>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</si>
  <si>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</si>
  <si>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</si>
  <si>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</si>
  <si>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</si>
  <si>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</si>
  <si>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Limited English Proficiency - Postsecondary</t>
  </si>
  <si>
    <t>000179</t>
  </si>
  <si>
    <t>LEP - Postsecondary</t>
  </si>
  <si>
    <t>LEPPostsecondary</t>
  </si>
  <si>
    <t>Literacy Assessment Administered Type</t>
  </si>
  <si>
    <t>The type of literacy test administered.</t>
  </si>
  <si>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</si>
  <si>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</si>
  <si>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</si>
  <si>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</si>
  <si>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</si>
  <si>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</si>
  <si>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</si>
  <si>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</si>
  <si>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</si>
  <si>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</si>
  <si>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</si>
  <si>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</si>
  <si>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</si>
  <si>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</si>
  <si>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</si>
  <si>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</si>
  <si>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</si>
  <si>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</si>
  <si>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</si>
  <si>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</si>
  <si>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</si>
  <si>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</si>
  <si>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</si>
  <si>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</si>
  <si>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</si>
  <si>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</si>
  <si>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</si>
  <si>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</si>
  <si>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</si>
  <si>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</si>
  <si>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</si>
  <si>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</si>
  <si>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</si>
  <si>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t>000173</t>
  </si>
  <si>
    <t>LEA Improvement Status</t>
  </si>
  <si>
    <t>LEAImprovementStatus</t>
  </si>
  <si>
    <t>Local Education Agency Operational Status</t>
  </si>
  <si>
    <t>The classification of the operational condition of a local education agency (LEA) at the start of the school year.</t>
  </si>
  <si>
    <t>K12 -&gt; LEA -&gt; Directory</t>
  </si>
  <si>
    <t>000174</t>
  </si>
  <si>
    <t>LEA Operational Status</t>
  </si>
  <si>
    <t>LEAOperationalStatus</t>
  </si>
  <si>
    <t>Local Education Agency Supervisory Union Identification Number</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</si>
  <si>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</si>
  <si>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</si>
  <si>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</si>
  <si>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</si>
  <si>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</si>
  <si>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</si>
  <si>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</si>
  <si>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</si>
  <si>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</si>
  <si>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</si>
  <si>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000537</t>
  </si>
  <si>
    <t>LocalEducationAgencyType</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</si>
  <si>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</si>
  <si>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</si>
  <si>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</si>
  <si>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</si>
  <si>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</si>
  <si>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</si>
  <si>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</si>
  <si>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</si>
  <si>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</si>
  <si>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</si>
  <si>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</si>
  <si>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</si>
  <si>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</si>
  <si>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</si>
  <si>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</si>
  <si>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</si>
  <si>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</si>
  <si>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</si>
  <si>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t>001229</t>
  </si>
  <si>
    <t>MaternalGuardianEducation</t>
  </si>
  <si>
    <t>Medical Alert Indicator</t>
  </si>
  <si>
    <t>Alert indicator for a medical/health condition.</t>
  </si>
  <si>
    <t>000439</t>
  </si>
  <si>
    <t>MedicalAlertIndicator</t>
  </si>
  <si>
    <t>Medical School Staff Status</t>
  </si>
  <si>
    <t>000733</t>
  </si>
  <si>
    <t>MedicalSchoolStaffStatus</t>
  </si>
  <si>
    <t>Memorandum of Understanding End Date</t>
  </si>
  <si>
    <t>The date that a Memorandum of Understanding between the Early Learning Organization and the Service Partner is determined to expire.</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</si>
  <si>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</si>
  <si>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</si>
  <si>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</si>
  <si>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</si>
  <si>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</si>
  <si>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</si>
  <si>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</si>
  <si>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</si>
  <si>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</si>
  <si>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</si>
  <si>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</si>
  <si>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</si>
  <si>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</si>
  <si>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</si>
  <si>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</si>
  <si>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</si>
  <si>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</si>
  <si>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</si>
  <si>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</si>
  <si>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</si>
  <si>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</si>
  <si>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</si>
  <si>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</si>
  <si>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</si>
  <si>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</si>
  <si>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</si>
  <si>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</si>
  <si>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</si>
  <si>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</si>
  <si>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</si>
  <si>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</si>
  <si>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</si>
  <si>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</si>
  <si>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</si>
  <si>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</si>
  <si>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</si>
  <si>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</si>
  <si>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</si>
  <si>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</si>
  <si>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</si>
  <si>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</si>
  <si>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</si>
  <si>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</si>
  <si>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</si>
  <si>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</si>
  <si>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t>000440</t>
  </si>
  <si>
    <t>MEP Project Based</t>
  </si>
  <si>
    <t>MigrantEducationProgramProjectBased</t>
  </si>
  <si>
    <t>Migrant Education Program Project Type</t>
  </si>
  <si>
    <t>Type of project funded in whole or in part by MEP funds.</t>
  </si>
  <si>
    <t>000463</t>
  </si>
  <si>
    <t>MEP Project Type</t>
  </si>
  <si>
    <t>MigrantEducationProgramProjectType</t>
  </si>
  <si>
    <t>Migrant Education Program Services Type</t>
  </si>
  <si>
    <t>The type of services received by participating migrant students in the migrant education program (MEP).</t>
  </si>
  <si>
    <t>000186</t>
  </si>
  <si>
    <t>MEP Services Type</t>
  </si>
  <si>
    <t>MigrantEducationProgramServicesType</t>
  </si>
  <si>
    <t>Migrant Education Program Session Type</t>
  </si>
  <si>
    <t>The time of year that a Migrant Education Program operates.</t>
  </si>
  <si>
    <t>000187</t>
  </si>
  <si>
    <t>MEP Session Type</t>
  </si>
  <si>
    <t>MigrantEducationProgramSessionType</t>
  </si>
  <si>
    <t>Migrant Education Program Staff Category</t>
  </si>
  <si>
    <t>Titles of employment, official status, or rank of staff working in the Migrant Education Program (MEP).</t>
  </si>
  <si>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</si>
  <si>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</si>
  <si>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</si>
  <si>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</si>
  <si>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</si>
  <si>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</si>
  <si>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</si>
  <si>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</si>
  <si>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</si>
  <si>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</si>
  <si>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000189</t>
  </si>
  <si>
    <t>MigrantStatus</t>
  </si>
  <si>
    <t>Migrant Student Qualifying Arrival Date</t>
  </si>
  <si>
    <t>000432</t>
  </si>
  <si>
    <t>MigrantStudentQualifyingArrivalDate</t>
  </si>
  <si>
    <t>Military Active Student Indicator</t>
  </si>
  <si>
    <t>An indication that the student is currently serving on Active Duty, in the National Guard, or in the Reserve components of the United States military services</t>
  </si>
  <si>
    <t>Adult Education -&gt; AE Student -&gt; Demographic
Postsecondary -&gt; PS Student -&gt; Demographic
Workforce -&gt; Workforce Program Participant -&gt; Demographic</t>
  </si>
  <si>
    <t>001577</t>
  </si>
  <si>
    <t>MilitaryActiveStudentIndicator</t>
  </si>
  <si>
    <t>Military Branch</t>
  </si>
  <si>
    <t>001640</t>
  </si>
  <si>
    <t>MilitaryBranch</t>
  </si>
  <si>
    <t>Military Connected Student Indicator</t>
  </si>
  <si>
    <t>An indication that the student’s parent or guardian is on Active Duty, in the National Guard, or in the Reserve components of the United States military services</t>
  </si>
  <si>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</si>
  <si>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</si>
  <si>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</si>
  <si>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</si>
  <si>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001412</t>
  </si>
  <si>
    <t>MilitaryEnlistmentAfterExit</t>
  </si>
  <si>
    <t>Military Veteran Student Indicator</t>
  </si>
  <si>
    <t>An indication that the student is a veteran who served on Active Duty, in the National Guard, or in the Reserve components of the United States military services</t>
  </si>
  <si>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</si>
  <si>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</si>
  <si>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</si>
  <si>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</si>
  <si>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</si>
  <si>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</si>
  <si>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</si>
  <si>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</si>
  <si>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</si>
  <si>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</si>
  <si>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</si>
  <si>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</si>
  <si>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</si>
  <si>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</si>
  <si>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</si>
  <si>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</si>
  <si>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</si>
  <si>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</si>
  <si>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</si>
  <si>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</si>
  <si>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t>001122</t>
  </si>
  <si>
    <t>NAEPAspectsOfReading</t>
  </si>
  <si>
    <t>NAEP Mathematical Complexity Level</t>
  </si>
  <si>
    <t>Complexity levels defined by the National Assessment of Educational Progress (NAEP 2005a Framework).</t>
  </si>
  <si>
    <t>001088</t>
  </si>
  <si>
    <t>NAEPMathematicalComplexityLevel</t>
  </si>
  <si>
    <t>Name of Institution</t>
  </si>
  <si>
    <t>The full legally accepted name of the institution.</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</si>
  <si>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</si>
  <si>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</si>
  <si>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</si>
  <si>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</si>
  <si>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</si>
  <si>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</si>
  <si>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</si>
  <si>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</si>
  <si>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</si>
  <si>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</si>
  <si>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</si>
  <si>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</si>
  <si>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</si>
  <si>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</si>
  <si>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</si>
  <si>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</si>
  <si>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</si>
  <si>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</si>
  <si>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</si>
  <si>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</si>
  <si>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</si>
  <si>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</si>
  <si>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</si>
  <si>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</si>
  <si>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</si>
  <si>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</si>
  <si>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</si>
  <si>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</si>
  <si>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</si>
  <si>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</si>
  <si>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</si>
  <si>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</si>
  <si>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</si>
  <si>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</si>
  <si>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000635</t>
  </si>
  <si>
    <t>NeglectedOrDelinquentAcademicAchievementIndicator</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</si>
  <si>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</si>
  <si>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</si>
  <si>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</si>
  <si>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</si>
  <si>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</si>
  <si>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</si>
  <si>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</si>
  <si>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</si>
  <si>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</si>
  <si>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</si>
  <si>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</si>
  <si>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</si>
  <si>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</si>
  <si>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</si>
  <si>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</si>
  <si>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</si>
  <si>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</si>
  <si>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</si>
  <si>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</si>
  <si>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</si>
  <si>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</si>
  <si>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</si>
  <si>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</si>
  <si>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</si>
  <si>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</si>
  <si>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</si>
  <si>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</si>
  <si>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</si>
  <si>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</si>
  <si>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</si>
  <si>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</si>
  <si>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</si>
  <si>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</si>
  <si>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</si>
  <si>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000199</t>
  </si>
  <si>
    <t>NumberOfCreditsAttempted</t>
  </si>
  <si>
    <t>Number of Credits Earned</t>
  </si>
  <si>
    <t>The number of credits an individual earns by the successful completion of a course.</t>
  </si>
  <si>
    <t>000200</t>
  </si>
  <si>
    <t>NumberOfCreditsEarned</t>
  </si>
  <si>
    <t>Number of Days Absent</t>
  </si>
  <si>
    <t>The number of days a person is absent when school is in session during a given reporting period.</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</si>
  <si>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</si>
  <si>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</si>
  <si>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</si>
  <si>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</si>
  <si>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</si>
  <si>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</si>
  <si>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</si>
  <si>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</si>
  <si>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</si>
  <si>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</si>
  <si>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</si>
  <si>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</si>
  <si>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</si>
  <si>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</si>
  <si>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</si>
  <si>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</si>
  <si>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</si>
  <si>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</si>
  <si>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</si>
  <si>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</si>
  <si>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</si>
  <si>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</si>
  <si>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</si>
  <si>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Immigrant Program Subgrants</t>
  </si>
  <si>
    <t>The number of immigrant program [3114(d)(1)] subgrants.</t>
  </si>
  <si>
    <t>000470</t>
  </si>
  <si>
    <t>NumberOfImmigrantProgramSubgrants</t>
  </si>
  <si>
    <t>Number of People in Family</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</si>
  <si>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</si>
  <si>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</si>
  <si>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</si>
  <si>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</si>
  <si>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</si>
  <si>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</si>
  <si>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</si>
  <si>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</si>
  <si>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</si>
  <si>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</si>
  <si>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</si>
  <si>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</si>
  <si>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</si>
  <si>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</si>
  <si>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</si>
  <si>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</si>
  <si>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</si>
  <si>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</si>
  <si>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</si>
  <si>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</si>
  <si>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</si>
  <si>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</si>
  <si>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</si>
  <si>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</si>
  <si>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</si>
  <si>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</si>
  <si>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</si>
  <si>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</si>
  <si>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</si>
  <si>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</si>
  <si>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</si>
  <si>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</si>
  <si>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</si>
  <si>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</si>
  <si>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</si>
  <si>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</si>
  <si>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</si>
  <si>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</si>
  <si>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</si>
  <si>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</si>
  <si>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</si>
  <si>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</si>
  <si>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</si>
  <si>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</si>
  <si>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</si>
  <si>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</si>
  <si>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</si>
  <si>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</si>
  <si>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t>000827</t>
  </si>
  <si>
    <t>OrganizationIdentificationSystem</t>
  </si>
  <si>
    <t>Organization Identifier</t>
  </si>
  <si>
    <t>A unique number or alphanumeric code assigned to an organization by a school, school system, a state, or other agency or entity.</t>
  </si>
  <si>
    <t>000826</t>
  </si>
  <si>
    <t>OrganizationIdentifier</t>
  </si>
  <si>
    <t>Organization Image URL</t>
  </si>
  <si>
    <t>The Uniform Resource Locator (URL) for the unique address of an image representing the Organization.</t>
  </si>
  <si>
    <t>001663</t>
  </si>
  <si>
    <t>OrganizationImageURL</t>
  </si>
  <si>
    <t>Organization Monitoring Notifications</t>
  </si>
  <si>
    <t>Whether the organization received notification about monitoring</t>
  </si>
  <si>
    <t>001330</t>
  </si>
  <si>
    <t>OrganizationMonitoringNotifications</t>
  </si>
  <si>
    <t>Organization Name</t>
  </si>
  <si>
    <t>The name of a non-person entity such as an organization, institution, agency or business.</t>
  </si>
  <si>
    <t>000204</t>
  </si>
  <si>
    <t>OrganizationName</t>
  </si>
  <si>
    <t>Organization Operational Status</t>
  </si>
  <si>
    <t>The current status of the organization's operations, exclusive of scheduled breaks, holidays, or other temporary interruptions.</t>
  </si>
  <si>
    <t>001418</t>
  </si>
  <si>
    <t>OrganizationOperationalStatus</t>
  </si>
  <si>
    <t>Organization Region GeoJSON</t>
  </si>
  <si>
    <t>The geo-political area of the organization's facility, building, or site.</t>
  </si>
  <si>
    <t>001750</t>
  </si>
  <si>
    <t>OrganizationRegionGeoJSON</t>
  </si>
  <si>
    <t>Organization Relationship Type</t>
  </si>
  <si>
    <t>The nature of one organization’s relationship to another.</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</si>
  <si>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</si>
  <si>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</si>
  <si>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</si>
  <si>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</si>
  <si>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</si>
  <si>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</si>
  <si>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</si>
  <si>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</si>
  <si>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</si>
  <si>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</si>
  <si>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</si>
  <si>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</si>
  <si>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</si>
  <si>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</si>
  <si>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</si>
  <si>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</si>
  <si>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</si>
  <si>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</si>
  <si>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</si>
  <si>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</si>
  <si>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</si>
  <si>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</si>
  <si>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</si>
  <si>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</si>
  <si>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</si>
  <si>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</si>
  <si>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</si>
  <si>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</si>
  <si>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</si>
  <si>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</si>
  <si>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</si>
  <si>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</si>
  <si>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</si>
  <si>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</si>
  <si>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</si>
  <si>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</si>
  <si>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</si>
  <si>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</si>
  <si>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</si>
  <si>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</si>
  <si>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</si>
  <si>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</si>
  <si>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</si>
  <si>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</si>
  <si>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</si>
  <si>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</si>
  <si>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</si>
  <si>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</si>
  <si>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</si>
  <si>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</si>
  <si>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</si>
  <si>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</si>
  <si>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Out of Workforce Indicator</t>
  </si>
  <si>
    <t>An individual: (A) who is a displaced homemaker, as defined in section 3 of the Workforce Innovation and Opportunity Act (29 U.S.C. 3102); or (B) who (i)(I) has worked primarily without remuneration to care for a home and family, and for that reason has diminished marketable skills; or (II) is a parent whose youngest dependent child will become ineligible to receive assistance under part A of title IV of the Social Security Act (42 U.S.C. 601 et seq.) not later than 2 years after the date on which the parent applies for assistance under such title; and (ii) is unemployed or underemployed and is experiencing difficulty in obtaining or upgrading employment.</t>
  </si>
  <si>
    <t>001930</t>
  </si>
  <si>
    <t>OutOfWorkforceIndicator</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</si>
  <si>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</si>
  <si>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</si>
  <si>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</si>
  <si>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</si>
  <si>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</si>
  <si>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</si>
  <si>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t>000207</t>
  </si>
  <si>
    <t>ParaprofessionalQualificationStatus</t>
  </si>
  <si>
    <t>Parent Communication Method</t>
  </si>
  <si>
    <t>The types of communication methods with parents.</t>
  </si>
  <si>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</si>
  <si>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</si>
  <si>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</si>
  <si>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</si>
  <si>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</si>
  <si>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</si>
  <si>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</si>
  <si>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</si>
  <si>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</si>
  <si>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</si>
  <si>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</si>
  <si>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</si>
  <si>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</si>
  <si>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</si>
  <si>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</si>
  <si>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</si>
  <si>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</si>
  <si>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</si>
  <si>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</si>
  <si>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</si>
  <si>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</si>
  <si>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</si>
  <si>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</si>
  <si>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</si>
  <si>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</si>
  <si>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</si>
  <si>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</si>
  <si>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</si>
  <si>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</si>
  <si>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</si>
  <si>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</si>
  <si>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</si>
  <si>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</si>
  <si>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</si>
  <si>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</si>
  <si>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</si>
  <si>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</si>
  <si>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</si>
  <si>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</si>
  <si>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001151</t>
  </si>
  <si>
    <t>PeerRatingSystemOptimumValue</t>
  </si>
  <si>
    <t>K12 -&gt; K12 Student -&gt; English Learner</t>
  </si>
  <si>
    <t>000581</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</si>
  <si>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</si>
  <si>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</si>
  <si>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</si>
  <si>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</si>
  <si>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</si>
  <si>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</si>
  <si>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</si>
  <si>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</si>
  <si>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</si>
  <si>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</si>
  <si>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</si>
  <si>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</si>
  <si>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</si>
  <si>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</si>
  <si>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</si>
  <si>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</si>
  <si>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</si>
  <si>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</si>
  <si>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</si>
  <si>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</si>
  <si>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</si>
  <si>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</si>
  <si>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</si>
  <si>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</si>
  <si>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</si>
  <si>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</si>
  <si>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</si>
  <si>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</si>
  <si>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</si>
  <si>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</si>
  <si>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</si>
  <si>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</si>
  <si>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</si>
  <si>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Type</t>
  </si>
  <si>
    <t>The nature of a person's relationship to another person.</t>
  </si>
  <si>
    <t>For implementation in the CEDS Integrated Data Store (IDS), the "person" in the description would be the person referred to in the PersonId column in the IDS. The "related person" in the description would be the person referred to in the "RelatedPersonId" in the IDS. Example: Foster mother - The person (PersonId) is the related person's (RelatedPersonId) Foster mother.</t>
  </si>
  <si>
    <t>000425</t>
  </si>
  <si>
    <t>PersonRelationshipType</t>
  </si>
  <si>
    <t>Personal Information Verification</t>
  </si>
  <si>
    <t>The evidence by which a persons name, address, date of birth, etc. is confirmed.</t>
  </si>
  <si>
    <t>000618</t>
  </si>
  <si>
    <t>PersonalInformationVerification</t>
  </si>
  <si>
    <t>Personal Title or Prefix</t>
  </si>
  <si>
    <t>An appellation, if any, used to denote rank, placement, or status (e.g., Mr., Ms., Reverend, Sister, Dr., Colonel).</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</si>
  <si>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</si>
  <si>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</si>
  <si>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</si>
  <si>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</si>
  <si>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</si>
  <si>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</si>
  <si>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t>000842</t>
  </si>
  <si>
    <t>PersonnelPolicyType</t>
  </si>
  <si>
    <t>PESC Award Level Type</t>
  </si>
  <si>
    <t>001668</t>
  </si>
  <si>
    <t>PESCAwardLevelType</t>
  </si>
  <si>
    <t>Position Title</t>
  </si>
  <si>
    <t>The descriptive name of a person's position.</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</si>
  <si>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</si>
  <si>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</si>
  <si>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</si>
  <si>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</si>
  <si>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</si>
  <si>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</si>
  <si>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</si>
  <si>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</si>
  <si>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</si>
  <si>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</si>
  <si>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</si>
  <si>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</si>
  <si>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</si>
  <si>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</si>
  <si>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</si>
  <si>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</si>
  <si>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</si>
  <si>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</si>
  <si>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</si>
  <si>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</si>
  <si>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</si>
  <si>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</si>
  <si>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</si>
  <si>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</si>
  <si>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</si>
  <si>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</si>
  <si>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</si>
  <si>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</si>
  <si>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</si>
  <si>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</si>
  <si>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</si>
  <si>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</si>
  <si>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001617</t>
  </si>
  <si>
    <t>PostsecondaryExitOrWithdrawalType</t>
  </si>
  <si>
    <t>Postsecondary Program Level</t>
  </si>
  <si>
    <t>The level describing the concentration of study for a postsecondary program.</t>
  </si>
  <si>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</si>
  <si>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</si>
  <si>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</si>
  <si>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</si>
  <si>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</si>
  <si>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</si>
  <si>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</si>
  <si>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</si>
  <si>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</si>
  <si>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</si>
  <si>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</si>
  <si>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</si>
  <si>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</si>
  <si>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</si>
  <si>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t>000571</t>
  </si>
  <si>
    <t>PreAndPostTestIndicator</t>
  </si>
  <si>
    <t>Predominant Calendar System</t>
  </si>
  <si>
    <t>The method by which an institution structures most of its courses for the academic year.</t>
  </si>
  <si>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</si>
  <si>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</si>
  <si>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</si>
  <si>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</si>
  <si>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</si>
  <si>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</si>
  <si>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</si>
  <si>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</si>
  <si>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</si>
  <si>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</si>
  <si>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t>000216</t>
  </si>
  <si>
    <t>PrekindergartenEligibility</t>
  </si>
  <si>
    <t>Prekindergarten Eligible Ages for Non-IDEA Students</t>
  </si>
  <si>
    <t>000217</t>
  </si>
  <si>
    <t>PrekindergartenEligibleAgesForNonIDEAStudents</t>
  </si>
  <si>
    <t>Present Attendance Category</t>
  </si>
  <si>
    <t>The category that describes how the student spends his or her time when attending an instructional program approved by the state and/or school.</t>
  </si>
  <si>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</si>
  <si>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</si>
  <si>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</si>
  <si>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</si>
  <si>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</si>
  <si>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</si>
  <si>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</si>
  <si>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</si>
  <si>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</si>
  <si>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</si>
  <si>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</si>
  <si>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001428</t>
  </si>
  <si>
    <t>PrimaryContactIndicator</t>
  </si>
  <si>
    <t>Primary Disability Type</t>
  </si>
  <si>
    <t>The major or overriding disability condition that best describes a person's impairment.</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</si>
  <si>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</si>
  <si>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</si>
  <si>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</si>
  <si>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</si>
  <si>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</si>
  <si>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</si>
  <si>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</si>
  <si>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</si>
  <si>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</si>
  <si>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</si>
  <si>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</si>
  <si>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</si>
  <si>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</si>
  <si>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</si>
  <si>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</si>
  <si>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</si>
  <si>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</si>
  <si>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</si>
  <si>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</si>
  <si>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</si>
  <si>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</si>
  <si>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</si>
  <si>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001432</t>
  </si>
  <si>
    <t>ProfessionalDevelopmentActivityApprovalCode</t>
  </si>
  <si>
    <t>Professional Development Activity Approved Purpose</t>
  </si>
  <si>
    <t>The purposes for which an activity is approved.</t>
  </si>
  <si>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</si>
  <si>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</si>
  <si>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</si>
  <si>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</si>
  <si>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</si>
  <si>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</si>
  <si>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</si>
  <si>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</si>
  <si>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</si>
  <si>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</si>
  <si>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</si>
  <si>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</si>
  <si>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</si>
  <si>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</si>
  <si>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</si>
  <si>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</si>
  <si>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</si>
  <si>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</si>
  <si>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</si>
  <si>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</si>
  <si>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</si>
  <si>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</si>
  <si>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</si>
  <si>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</si>
  <si>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</si>
  <si>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</si>
  <si>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</si>
  <si>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</si>
  <si>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</si>
  <si>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</si>
  <si>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</si>
  <si>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</si>
  <si>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</si>
  <si>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</si>
  <si>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</si>
  <si>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</si>
  <si>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</si>
  <si>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</si>
  <si>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</si>
  <si>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</si>
  <si>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</si>
  <si>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</si>
  <si>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</si>
  <si>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</si>
  <si>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</si>
  <si>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001619</t>
  </si>
  <si>
    <t>ProfessionalDevelopmentActivityStateApprovedStatus</t>
  </si>
  <si>
    <t>Professional Development Activity Target Audience</t>
  </si>
  <si>
    <t>A categorization of the audience for which the professional development activity is intended.</t>
  </si>
  <si>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</si>
  <si>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</si>
  <si>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</si>
  <si>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</si>
  <si>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</si>
  <si>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</si>
  <si>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</si>
  <si>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</si>
  <si>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</si>
  <si>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</si>
  <si>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</si>
  <si>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</si>
  <si>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</si>
  <si>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</si>
  <si>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</si>
  <si>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</si>
  <si>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</si>
  <si>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t>001431</t>
  </si>
  <si>
    <t>ProfessionalDevelopmentDeliveryMethod</t>
  </si>
  <si>
    <t>Professional Development Financial Support Type</t>
  </si>
  <si>
    <t>The type of financial assistance received in support of non-credit professional development activities.</t>
  </si>
  <si>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</si>
  <si>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</si>
  <si>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</si>
  <si>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</si>
  <si>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</si>
  <si>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</si>
  <si>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</si>
  <si>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</si>
  <si>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</si>
  <si>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</si>
  <si>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</si>
  <si>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</si>
  <si>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</si>
  <si>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</si>
  <si>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</si>
  <si>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</si>
  <si>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</si>
  <si>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</si>
  <si>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</si>
  <si>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</si>
  <si>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</si>
  <si>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</si>
  <si>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</si>
  <si>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</si>
  <si>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</si>
  <si>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</si>
  <si>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</si>
  <si>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</si>
  <si>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</si>
  <si>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</si>
  <si>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</si>
  <si>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</si>
  <si>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</si>
  <si>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</si>
  <si>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</si>
  <si>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</si>
  <si>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</si>
  <si>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</si>
  <si>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</si>
  <si>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</si>
  <si>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</si>
  <si>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</si>
  <si>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</si>
  <si>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</si>
  <si>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</si>
  <si>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</si>
  <si>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</si>
  <si>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</si>
  <si>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</si>
  <si>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</si>
  <si>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</si>
  <si>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</si>
  <si>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</si>
  <si>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</si>
  <si>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</si>
  <si>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</si>
  <si>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</si>
  <si>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</si>
  <si>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</si>
  <si>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</si>
  <si>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</si>
  <si>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</si>
  <si>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</si>
  <si>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</si>
  <si>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</si>
  <si>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</si>
  <si>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</si>
  <si>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</si>
  <si>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</si>
  <si>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</si>
  <si>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</si>
  <si>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</si>
  <si>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</si>
  <si>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</si>
  <si>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</si>
  <si>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</si>
  <si>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</si>
  <si>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</si>
  <si>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</si>
  <si>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</si>
  <si>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</si>
  <si>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</si>
  <si>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</si>
  <si>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</si>
  <si>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</si>
  <si>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</si>
  <si>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</si>
  <si>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</si>
  <si>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</si>
  <si>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</si>
  <si>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</si>
  <si>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</si>
  <si>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</si>
  <si>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</si>
  <si>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</si>
  <si>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</si>
  <si>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</si>
  <si>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</si>
  <si>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</si>
  <si>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</si>
  <si>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Entry Reason</t>
  </si>
  <si>
    <t>The documented or assumed reason a person is being served by a program.</t>
  </si>
  <si>
    <t>001922</t>
  </si>
  <si>
    <t>ProgramEntryReason</t>
  </si>
  <si>
    <t>Program Follows Salary Scale</t>
  </si>
  <si>
    <t>An indication of whether a program has a salary scale that is followed for practitioners</t>
  </si>
  <si>
    <t>000863</t>
  </si>
  <si>
    <t>ProgramFollowsSalaryScale</t>
  </si>
  <si>
    <t>Program Gifted Eligibility Criteria</t>
  </si>
  <si>
    <t>State/local code used to determine a student's eligibility for Gifted/Talented program.</t>
  </si>
  <si>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</si>
  <si>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</si>
  <si>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</si>
  <si>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</si>
  <si>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</si>
  <si>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000851</t>
  </si>
  <si>
    <t>ProgramHeathSafetyChecklistUseStatus</t>
  </si>
  <si>
    <t>Program Identifier</t>
  </si>
  <si>
    <t>A unique number or alphanumeric code assigned to a program by a school, school system, a state, or other agency or entity.</t>
  </si>
  <si>
    <t>000625</t>
  </si>
  <si>
    <t>ProgramIdentifier</t>
  </si>
  <si>
    <t>Program in Multiple Purpose Facility</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</si>
  <si>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</si>
  <si>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</si>
  <si>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</si>
  <si>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</si>
  <si>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</si>
  <si>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</si>
  <si>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</si>
  <si>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</si>
  <si>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</si>
  <si>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</si>
  <si>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</si>
  <si>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</si>
  <si>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000626</t>
  </si>
  <si>
    <t>ProgramName</t>
  </si>
  <si>
    <t>Program Participation Exit Date</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</si>
  <si>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</si>
  <si>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</si>
  <si>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</si>
  <si>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</si>
  <si>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</si>
  <si>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</si>
  <si>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</si>
  <si>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</si>
  <si>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</si>
  <si>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</si>
  <si>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</si>
  <si>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</si>
  <si>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</si>
  <si>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</si>
  <si>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</si>
  <si>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</si>
  <si>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</si>
  <si>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</si>
  <si>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</si>
  <si>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</si>
  <si>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</si>
  <si>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</si>
  <si>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</si>
  <si>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</si>
  <si>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</si>
  <si>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</si>
  <si>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</si>
  <si>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</si>
  <si>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</si>
  <si>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</si>
  <si>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</si>
  <si>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</si>
  <si>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</si>
  <si>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</si>
  <si>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</si>
  <si>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</si>
  <si>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</si>
  <si>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</si>
  <si>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t>000225</t>
  </si>
  <si>
    <t>ProgramType</t>
  </si>
  <si>
    <t>Progress Achieving English Language Proficiency Indicator Type</t>
  </si>
  <si>
    <t>The category used to report the school's performance on the progress of achieving the English language proficiency indicator.</t>
  </si>
  <si>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</si>
  <si>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</si>
  <si>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</si>
  <si>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</si>
  <si>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</si>
  <si>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</si>
  <si>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</si>
  <si>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</si>
  <si>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</si>
  <si>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</si>
  <si>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</si>
  <si>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</si>
  <si>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</si>
  <si>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</si>
  <si>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</si>
  <si>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</si>
  <si>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t>000530</t>
  </si>
  <si>
    <t>PromotionReason</t>
  </si>
  <si>
    <t>Proof of Residency Type</t>
  </si>
  <si>
    <t>An accepted form of proof of residency in the district/county/other locality.</t>
  </si>
  <si>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</si>
  <si>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</si>
  <si>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</si>
  <si>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</si>
  <si>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</si>
  <si>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</si>
  <si>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</si>
  <si>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</si>
  <si>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</si>
  <si>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</si>
  <si>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</si>
  <si>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</si>
  <si>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</si>
  <si>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</si>
  <si>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</si>
  <si>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</si>
  <si>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</si>
  <si>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</si>
  <si>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</si>
  <si>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</si>
  <si>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</si>
  <si>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t>000227</t>
  </si>
  <si>
    <t>PublicSchoolChoiceImplementationStatus</t>
  </si>
  <si>
    <t>Public School Residence Status</t>
  </si>
  <si>
    <t>An indication of the location of a persons legal residence relative to (within or outside) the boundaries of the public school attended and its administrative unit.</t>
  </si>
  <si>
    <t>000532</t>
  </si>
  <si>
    <t>PublicSchoolResidenceStatus</t>
  </si>
  <si>
    <t>Purpose of Monitoring Visit</t>
  </si>
  <si>
    <t>The purpose for the monitoring visit.</t>
  </si>
  <si>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</si>
  <si>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</si>
  <si>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</si>
  <si>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</si>
  <si>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</si>
  <si>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</si>
  <si>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</si>
  <si>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</si>
  <si>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</si>
  <si>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</si>
  <si>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</si>
  <si>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</si>
  <si>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t>000435</t>
  </si>
  <si>
    <t>QualifyingMoveFromState</t>
  </si>
  <si>
    <t>Quality Initiative Maximum Score</t>
  </si>
  <si>
    <t>The maximum score option for the QRIS or other quality initiative.</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</si>
  <si>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</si>
  <si>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</si>
  <si>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</si>
  <si>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</si>
  <si>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</si>
  <si>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</si>
  <si>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</si>
  <si>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</si>
  <si>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</si>
  <si>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</si>
  <si>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</si>
  <si>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</si>
  <si>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</si>
  <si>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</si>
  <si>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</si>
  <si>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</si>
  <si>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</si>
  <si>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</si>
  <si>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</si>
  <si>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</si>
  <si>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</si>
  <si>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</si>
  <si>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</si>
  <si>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</si>
  <si>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</si>
  <si>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</si>
  <si>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</si>
  <si>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</si>
  <si>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</si>
  <si>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</si>
  <si>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</si>
  <si>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</si>
  <si>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</si>
  <si>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</si>
  <si>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</si>
  <si>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</si>
  <si>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</si>
  <si>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</si>
  <si>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</si>
  <si>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</si>
  <si>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</si>
  <si>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</si>
  <si>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</si>
  <si>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</si>
  <si>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</si>
  <si>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</si>
  <si>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</si>
  <si>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</si>
  <si>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</si>
  <si>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</si>
  <si>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001488</t>
  </si>
  <si>
    <t>ReasonForDeclinedServices</t>
  </si>
  <si>
    <t>Reason for Delay of Transition Conference</t>
  </si>
  <si>
    <t>The reasons for the delay of a transition conference.</t>
  </si>
  <si>
    <t>001521</t>
  </si>
  <si>
    <t>ReasonForDelayOfTransitionConference</t>
  </si>
  <si>
    <t>Reason Not Tested</t>
  </si>
  <si>
    <t>The primary reason a student is not tested.</t>
  </si>
  <si>
    <t>000228</t>
  </si>
  <si>
    <t>ReasonNotTested</t>
  </si>
  <si>
    <t>Receiving Location of Instruction</t>
  </si>
  <si>
    <t>The type of location at which instruction or service takes place.</t>
  </si>
  <si>
    <t>000524</t>
  </si>
  <si>
    <t>ReceivingLocationOfInstruction</t>
  </si>
  <si>
    <t>Recognition for Participation or Performance in an Activity</t>
  </si>
  <si>
    <t>The nature of recognition given to the student for accomplishments in a co-curricular, or extra-curricular activity.</t>
  </si>
  <si>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</si>
  <si>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</si>
  <si>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</si>
  <si>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</si>
  <si>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t>000230</t>
  </si>
  <si>
    <t>ReconstitutedStatus</t>
  </si>
  <si>
    <t>Record End Date Time</t>
  </si>
  <si>
    <t>The end date and, optionally, time that a record is active as used to support version control.</t>
  </si>
  <si>
    <t>See CEDS Integrated Data Store for use in version control. All CEDS Exit and End Dates represent the last day of the date range specified.</t>
  </si>
  <si>
    <t>001918</t>
  </si>
  <si>
    <t>RecordEndDateTime</t>
  </si>
  <si>
    <t>Record Start Date Time</t>
  </si>
  <si>
    <t>The start date and, optionally, time that a record is active as used to support version control.</t>
  </si>
  <si>
    <t>See CEDS Integrated Data Store for use in version control.</t>
  </si>
  <si>
    <t>001917</t>
  </si>
  <si>
    <t>RecordStartDateTime</t>
  </si>
  <si>
    <t>Referral Date</t>
  </si>
  <si>
    <t>The date of referral.</t>
  </si>
  <si>
    <t>001481</t>
  </si>
  <si>
    <t>ReferralDate</t>
  </si>
  <si>
    <t>Referral Outcome</t>
  </si>
  <si>
    <t>The outcome of the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</si>
  <si>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</si>
  <si>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</si>
  <si>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</si>
  <si>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</si>
  <si>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</si>
  <si>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</si>
  <si>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</si>
  <si>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</si>
  <si>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</si>
  <si>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</si>
  <si>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</si>
  <si>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</si>
  <si>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</si>
  <si>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</si>
  <si>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</si>
  <si>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</si>
  <si>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</si>
  <si>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</si>
  <si>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</si>
  <si>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</si>
  <si>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</si>
  <si>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</si>
  <si>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</si>
  <si>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</si>
  <si>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</si>
  <si>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</si>
  <si>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</si>
  <si>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</si>
  <si>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</si>
  <si>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</si>
  <si>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</si>
  <si>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</si>
  <si>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</si>
  <si>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</si>
  <si>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</si>
  <si>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</si>
  <si>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</si>
  <si>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</si>
  <si>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</si>
  <si>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</si>
  <si>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</si>
  <si>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</si>
  <si>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</si>
  <si>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</si>
  <si>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</si>
  <si>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</si>
  <si>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</si>
  <si>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</si>
  <si>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</si>
  <si>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</si>
  <si>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</si>
  <si>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</si>
  <si>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</si>
  <si>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</si>
  <si>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</si>
  <si>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</si>
  <si>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</si>
  <si>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</si>
  <si>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</si>
  <si>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</si>
  <si>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t>000594</t>
  </si>
  <si>
    <t>ResponsibleDistrictType</t>
  </si>
  <si>
    <t>Responsible Organization Identifier</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</si>
  <si>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</si>
  <si>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</si>
  <si>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</si>
  <si>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</si>
  <si>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</si>
  <si>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</si>
  <si>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</si>
  <si>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</si>
  <si>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</si>
  <si>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</si>
  <si>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</si>
  <si>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</si>
  <si>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</si>
  <si>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</si>
  <si>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</si>
  <si>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</si>
  <si>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</si>
  <si>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</si>
  <si>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</si>
  <si>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</si>
  <si>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</si>
  <si>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</si>
  <si>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</si>
  <si>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</si>
  <si>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</si>
  <si>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</si>
  <si>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</si>
  <si>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</si>
  <si>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</si>
  <si>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</si>
  <si>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</si>
  <si>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</si>
  <si>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</si>
  <si>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001471</t>
  </si>
  <si>
    <t>RubricCriterionLevelDescription</t>
  </si>
  <si>
    <t>Rubric Criterion Level Feedback</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</si>
  <si>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</si>
  <si>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</si>
  <si>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</si>
  <si>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</si>
  <si>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</si>
  <si>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</si>
  <si>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</si>
  <si>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</si>
  <si>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</si>
  <si>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</si>
  <si>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</si>
  <si>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</si>
  <si>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</si>
  <si>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</si>
  <si>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</si>
  <si>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</si>
  <si>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</si>
  <si>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</si>
  <si>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</si>
  <si>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</si>
  <si>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</si>
  <si>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</si>
  <si>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</si>
  <si>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</si>
  <si>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</si>
  <si>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</si>
  <si>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</si>
  <si>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</si>
  <si>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</si>
  <si>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</si>
  <si>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</si>
  <si>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</si>
  <si>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</si>
  <si>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</si>
  <si>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</si>
  <si>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</si>
  <si>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</si>
  <si>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</si>
  <si>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</si>
  <si>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</si>
  <si>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</si>
  <si>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</si>
  <si>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</si>
  <si>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</si>
  <si>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</si>
  <si>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</si>
  <si>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</si>
  <si>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</si>
  <si>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</si>
  <si>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</si>
  <si>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</si>
  <si>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</si>
  <si>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</si>
  <si>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</si>
  <si>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</si>
  <si>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</si>
  <si>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</si>
  <si>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</si>
  <si>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</si>
  <si>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</si>
  <si>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</si>
  <si>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</si>
  <si>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</si>
  <si>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</si>
  <si>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</si>
  <si>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</si>
  <si>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</si>
  <si>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</si>
  <si>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</si>
  <si>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</si>
  <si>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</si>
  <si>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</si>
  <si>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000476</t>
  </si>
  <si>
    <t>SafeAndDrugFreePerformance</t>
  </si>
  <si>
    <t>Safe and Drug Free Target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</si>
  <si>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</si>
  <si>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</si>
  <si>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</si>
  <si>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</si>
  <si>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</si>
  <si>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</si>
  <si>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</si>
  <si>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</si>
  <si>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</si>
  <si>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</si>
  <si>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</si>
  <si>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</si>
  <si>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</si>
  <si>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</si>
  <si>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</si>
  <si>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</si>
  <si>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</si>
  <si>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</si>
  <si>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</si>
  <si>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</si>
  <si>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</si>
  <si>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</si>
  <si>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</si>
  <si>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</si>
  <si>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</si>
  <si>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</si>
  <si>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</si>
  <si>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</si>
  <si>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</si>
  <si>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001517</t>
  </si>
  <si>
    <t>SCED Course Code</t>
  </si>
  <si>
    <t>SCEDCourseCode</t>
  </si>
  <si>
    <t>School Courses for the Exchange of Data Course Level</t>
  </si>
  <si>
    <t>001516</t>
  </si>
  <si>
    <t>SCED Course Level</t>
  </si>
  <si>
    <t>SCEDCourseLevel</t>
  </si>
  <si>
    <t>School Courses for the Exchange of Data Course Subject Area</t>
  </si>
  <si>
    <t>The intended major subject area of the education course.</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</si>
  <si>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</si>
  <si>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</si>
  <si>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</si>
  <si>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</si>
  <si>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</si>
  <si>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</si>
  <si>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</si>
  <si>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</si>
  <si>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</si>
  <si>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</si>
  <si>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</si>
  <si>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</si>
  <si>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</si>
  <si>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</si>
  <si>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</si>
  <si>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</si>
  <si>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</si>
  <si>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</si>
  <si>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</si>
  <si>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</si>
  <si>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</si>
  <si>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</si>
  <si>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</si>
  <si>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</si>
  <si>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</si>
  <si>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</si>
  <si>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</si>
  <si>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</si>
  <si>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</si>
  <si>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</si>
  <si>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</si>
  <si>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</si>
  <si>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</si>
  <si>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</si>
  <si>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</si>
  <si>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</si>
  <si>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</si>
  <si>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</si>
  <si>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</si>
  <si>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</si>
  <si>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</si>
  <si>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</si>
  <si>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</si>
  <si>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</si>
  <si>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</si>
  <si>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</si>
  <si>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</si>
  <si>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</si>
  <si>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</si>
  <si>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t>000240</t>
  </si>
  <si>
    <t>SchoolImprovementStatus</t>
  </si>
  <si>
    <t>School Level</t>
  </si>
  <si>
    <t>An indication of the level of the education institution.</t>
  </si>
  <si>
    <t>000241</t>
  </si>
  <si>
    <t>SchoolLevel</t>
  </si>
  <si>
    <t>School Operational Status</t>
  </si>
  <si>
    <t>The current status of the school operations, exclusive of scheduled breaks, holidays, or other temporary interruptions.</t>
  </si>
  <si>
    <t>000533</t>
  </si>
  <si>
    <t>SchoolOperationalStatus</t>
  </si>
  <si>
    <t>School Type</t>
  </si>
  <si>
    <t>000242</t>
  </si>
  <si>
    <t>SchoolType</t>
  </si>
  <si>
    <t>School Year</t>
  </si>
  <si>
    <t>The year for a reported school session.</t>
  </si>
  <si>
    <t>K12 -&gt; Calendar -&gt; Session
K12 -&gt; K12 School -&gt; Accountability
K12 -&gt; K12 School -&gt; Session
K12 -&gt; LEA -&gt; Accountability
K12 -&gt; SEA -&gt; Accountability</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</si>
  <si>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</si>
  <si>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</si>
  <si>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</si>
  <si>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</si>
  <si>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</si>
  <si>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</si>
  <si>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</si>
  <si>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</si>
  <si>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t>000627</t>
  </si>
  <si>
    <t>SecondaryIncidentBehavior</t>
  </si>
  <si>
    <t>Section 504 Status</t>
  </si>
  <si>
    <t>Individuals with disabilities who are being provided with related aids and services under Section 504 of the Rehabilitation Act of 1973, as amended.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</si>
  <si>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</si>
  <si>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</si>
  <si>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</si>
  <si>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</si>
  <si>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</si>
  <si>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</si>
  <si>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</si>
  <si>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</si>
  <si>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</si>
  <si>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</si>
  <si>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</si>
  <si>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</si>
  <si>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</si>
  <si>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</si>
  <si>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</si>
  <si>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</si>
  <si>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</si>
  <si>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</si>
  <si>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</si>
  <si>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</si>
  <si>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</si>
  <si>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</si>
  <si>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</si>
  <si>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</si>
  <si>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t>000353</t>
  </si>
  <si>
    <t>ServiceOptionVariation</t>
  </si>
  <si>
    <t>Service Partner Description</t>
  </si>
  <si>
    <t>A description of the type of services that the partner organization provides.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</si>
  <si>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</si>
  <si>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</si>
  <si>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</si>
  <si>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</si>
  <si>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</si>
  <si>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</si>
  <si>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</si>
  <si>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</si>
  <si>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</si>
  <si>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</si>
  <si>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</si>
  <si>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</si>
  <si>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</si>
  <si>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</si>
  <si>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</si>
  <si>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</si>
  <si>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</si>
  <si>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</si>
  <si>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</si>
  <si>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</si>
  <si>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</si>
  <si>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</si>
  <si>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</si>
  <si>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</si>
  <si>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</si>
  <si>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</si>
  <si>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</si>
  <si>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</si>
  <si>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</si>
  <si>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</si>
  <si>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</si>
  <si>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</si>
  <si>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</si>
  <si>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</si>
  <si>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</si>
  <si>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</si>
  <si>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</si>
  <si>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</si>
  <si>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</si>
  <si>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</si>
  <si>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</si>
  <si>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</si>
  <si>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</si>
  <si>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</si>
  <si>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</si>
  <si>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</si>
  <si>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</si>
  <si>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</si>
  <si>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</si>
  <si>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</si>
  <si>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</si>
  <si>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</si>
  <si>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</si>
  <si>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</si>
  <si>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</si>
  <si>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</si>
  <si>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</si>
  <si>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</si>
  <si>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</si>
  <si>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</si>
  <si>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</si>
  <si>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</si>
  <si>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</si>
  <si>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</si>
  <si>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</si>
  <si>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</si>
  <si>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An abbreviated name of an institution is commonly used, especially in reports and applications, e.g. a K12 school with the full legal name "Dr. Martin Luther King, Jr. Elementary School" may use "King Elementary".</t>
  </si>
  <si>
    <t>001487</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</si>
  <si>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</si>
  <si>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</si>
  <si>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</si>
  <si>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</si>
  <si>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</si>
  <si>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</si>
  <si>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</si>
  <si>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</si>
  <si>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</si>
  <si>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</si>
  <si>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</si>
  <si>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</si>
  <si>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</si>
  <si>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</si>
  <si>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</si>
  <si>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</si>
  <si>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</si>
  <si>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</si>
  <si>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</si>
  <si>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</si>
  <si>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</si>
  <si>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</si>
  <si>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</si>
  <si>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</si>
  <si>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</si>
  <si>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</si>
  <si>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</si>
  <si>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</si>
  <si>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</si>
  <si>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</si>
  <si>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t>000333</t>
  </si>
  <si>
    <t>SourceOfFamilyIncome</t>
  </si>
  <si>
    <t>Special Circumstances Population Served</t>
  </si>
  <si>
    <t>Program provides services to meet the needs of children in special circumstances.</t>
  </si>
  <si>
    <t>000852</t>
  </si>
  <si>
    <t>SpecialCircumstancesPopulationServed</t>
  </si>
  <si>
    <t>Special Education Age Group Taught</t>
  </si>
  <si>
    <t>The age range of special education students taught.</t>
  </si>
  <si>
    <t>000564</t>
  </si>
  <si>
    <t>SpecialEducationAgeGroupTaught</t>
  </si>
  <si>
    <t>Special Education Exit Reason</t>
  </si>
  <si>
    <t>The reason children who were in special education at the start of the reporting period were not in special education at the end of the reporting period.</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</si>
  <si>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</si>
  <si>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</si>
  <si>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</si>
  <si>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</si>
  <si>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</si>
  <si>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</si>
  <si>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</si>
  <si>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</si>
  <si>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</si>
  <si>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</si>
  <si>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</si>
  <si>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</si>
  <si>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</si>
  <si>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</si>
  <si>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</si>
  <si>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</si>
  <si>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</si>
  <si>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</si>
  <si>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</si>
  <si>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</si>
  <si>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</si>
  <si>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</si>
  <si>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</si>
  <si>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</si>
  <si>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</si>
  <si>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</si>
  <si>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</si>
  <si>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</si>
  <si>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</si>
  <si>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</si>
  <si>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</si>
  <si>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</si>
  <si>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</si>
  <si>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</si>
  <si>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</si>
  <si>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</si>
  <si>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</si>
  <si>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</si>
  <si>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</si>
  <si>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</si>
  <si>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</si>
  <si>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</si>
  <si>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</si>
  <si>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</si>
  <si>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</si>
  <si>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</si>
  <si>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</si>
  <si>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</si>
  <si>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</si>
  <si>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</si>
  <si>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</si>
  <si>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</si>
  <si>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</si>
  <si>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</si>
  <si>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</si>
  <si>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</si>
  <si>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</si>
  <si>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</si>
  <si>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</si>
  <si>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</si>
  <si>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</si>
  <si>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</si>
  <si>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</si>
  <si>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</si>
  <si>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</si>
  <si>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</si>
  <si>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</si>
  <si>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</si>
  <si>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</si>
  <si>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</si>
  <si>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</si>
  <si>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</si>
  <si>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</si>
  <si>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</si>
  <si>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</si>
  <si>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000103</t>
  </si>
  <si>
    <t>StaffEvaluationScale</t>
  </si>
  <si>
    <t>Staff Evaluation Score or Rating</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</si>
  <si>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</si>
  <si>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</si>
  <si>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</si>
  <si>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</si>
  <si>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</si>
  <si>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</si>
  <si>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</si>
  <si>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</si>
  <si>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</si>
  <si>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</si>
  <si>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</si>
  <si>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</si>
  <si>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</si>
  <si>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</si>
  <si>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</si>
  <si>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</si>
  <si>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</si>
  <si>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</si>
  <si>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</si>
  <si>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</si>
  <si>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</si>
  <si>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</si>
  <si>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</si>
  <si>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</si>
  <si>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</si>
  <si>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</si>
  <si>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</si>
  <si>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</si>
  <si>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</si>
  <si>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</si>
  <si>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</si>
  <si>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</si>
  <si>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</si>
  <si>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</si>
  <si>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</si>
  <si>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</si>
  <si>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</si>
  <si>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</si>
  <si>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</si>
  <si>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</si>
  <si>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</si>
  <si>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t>000266</t>
  </si>
  <si>
    <t>StandardizedAdmissionTestType</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</si>
  <si>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</si>
  <si>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</si>
  <si>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</si>
  <si>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</si>
  <si>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</si>
  <si>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</si>
  <si>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</si>
  <si>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</si>
  <si>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</si>
  <si>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</si>
  <si>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</si>
  <si>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</si>
  <si>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</si>
  <si>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</si>
  <si>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</si>
  <si>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</si>
  <si>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</si>
  <si>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</si>
  <si>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</si>
  <si>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</si>
  <si>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</si>
  <si>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</si>
  <si>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</si>
  <si>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</si>
  <si>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</si>
  <si>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</si>
  <si>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</si>
  <si>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</si>
  <si>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</si>
  <si>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</si>
  <si>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</si>
  <si>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</si>
  <si>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</si>
  <si>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</si>
  <si>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</si>
  <si>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</si>
  <si>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</si>
  <si>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</si>
  <si>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</si>
  <si>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</si>
  <si>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</si>
  <si>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</si>
  <si>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</si>
  <si>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</si>
  <si>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</si>
  <si>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</si>
  <si>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</si>
  <si>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</si>
  <si>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</si>
  <si>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</si>
  <si>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</si>
  <si>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</si>
  <si>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</si>
  <si>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</si>
  <si>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</si>
  <si>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</si>
  <si>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</si>
  <si>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</si>
  <si>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</si>
  <si>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</si>
  <si>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</si>
  <si>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</si>
  <si>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</si>
  <si>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</si>
  <si>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</si>
  <si>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</si>
  <si>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</si>
  <si>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</si>
  <si>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</si>
  <si>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</si>
  <si>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</si>
  <si>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</si>
  <si>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</si>
  <si>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</si>
  <si>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</si>
  <si>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</si>
  <si>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</si>
  <si>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</si>
  <si>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</si>
  <si>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</si>
  <si>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</si>
  <si>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</si>
  <si>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</si>
  <si>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</si>
  <si>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</si>
  <si>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</si>
  <si>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</si>
  <si>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</si>
  <si>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</si>
  <si>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</si>
  <si>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</si>
  <si>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</si>
  <si>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</si>
  <si>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</si>
  <si>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</si>
  <si>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</si>
  <si>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t>001862</t>
  </si>
  <si>
    <t>StudentEnrollmentAccessType</t>
  </si>
  <si>
    <t>Student Identification System</t>
  </si>
  <si>
    <t>A coding scheme that is used for identification and record-keeping purposes by schools, social services, or other agencies to refer to a student.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</si>
  <si>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</si>
  <si>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</si>
  <si>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</si>
  <si>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</si>
  <si>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</si>
  <si>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</si>
  <si>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</si>
  <si>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</si>
  <si>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</si>
  <si>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t>000272</t>
  </si>
  <si>
    <t>StudentLevel</t>
  </si>
  <si>
    <t>Student Support Service Type</t>
  </si>
  <si>
    <t>Type of related or ancillary services offered or provided to a person or a group of persons within the formal educational system or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</si>
  <si>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t>At the organization level, this element indicates the services offered to students. At the person level, this element indicates the services received by students.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</si>
  <si>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</si>
  <si>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</si>
  <si>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</si>
  <si>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</si>
  <si>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</si>
  <si>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</si>
  <si>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</si>
  <si>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</si>
  <si>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</si>
  <si>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</si>
  <si>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</si>
  <si>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</si>
  <si>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</si>
  <si>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</si>
  <si>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</si>
  <si>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</si>
  <si>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</si>
  <si>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</si>
  <si>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</si>
  <si>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</si>
  <si>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</si>
  <si>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</si>
  <si>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</si>
  <si>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</si>
  <si>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</si>
  <si>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</si>
  <si>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</si>
  <si>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</si>
  <si>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Targeted Support and Improvement Status</t>
  </si>
  <si>
    <t>The designation given to a school by the state for targeted support and improvement as part of its statewide system of annual meaningful differentiation.</t>
  </si>
  <si>
    <t>001924</t>
  </si>
  <si>
    <t>TargetedSupportAndImprovementStatus</t>
  </si>
  <si>
    <t>Teacher Education Credential Exam Score Type</t>
  </si>
  <si>
    <t>An indication of the type of credential exam associated with a given exam score.</t>
  </si>
  <si>
    <t>000774</t>
  </si>
  <si>
    <t>TeacherEducationCredentialExamScoreType</t>
  </si>
  <si>
    <t>Teacher Education Credential Exam Type</t>
  </si>
  <si>
    <t>The type of examination used to assess teacher candidate's knowledge and skills.</t>
  </si>
  <si>
    <t>000773</t>
  </si>
  <si>
    <t>TeacherEducationCredentialExamType</t>
  </si>
  <si>
    <t>Teacher Education Test Company</t>
  </si>
  <si>
    <t>The name of the company that provides the examination used in the teacher education program.</t>
  </si>
  <si>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</si>
  <si>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</si>
  <si>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</si>
  <si>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</si>
  <si>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</si>
  <si>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</si>
  <si>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</si>
  <si>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</si>
  <si>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</si>
  <si>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</si>
  <si>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000768</t>
  </si>
  <si>
    <t>TeacherPreparationProgramCompleterStatus</t>
  </si>
  <si>
    <t>Teacher Preparation Program Enrollment Status</t>
  </si>
  <si>
    <t>An indication of whether a person is pursuing certification as a teacher.</t>
  </si>
  <si>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</si>
  <si>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</si>
  <si>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</si>
  <si>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</si>
  <si>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</si>
  <si>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</si>
  <si>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</si>
  <si>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</si>
  <si>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</si>
  <si>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</si>
  <si>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</si>
  <si>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</si>
  <si>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</si>
  <si>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</si>
  <si>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</si>
  <si>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</si>
  <si>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</si>
  <si>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</si>
  <si>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</si>
  <si>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</si>
  <si>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</si>
  <si>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</si>
  <si>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</si>
  <si>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</si>
  <si>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</si>
  <si>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</si>
  <si>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</si>
  <si>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</si>
  <si>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</si>
  <si>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</si>
  <si>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t>000278</t>
  </si>
  <si>
    <t>TeachingCredentialType</t>
  </si>
  <si>
    <t>Technical Assistance Approved Indicator</t>
  </si>
  <si>
    <t>Indicates whether or not the technical assistance was approved.</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</si>
  <si>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</si>
  <si>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</si>
  <si>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</si>
  <si>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</si>
  <si>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</si>
  <si>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</si>
  <si>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</si>
  <si>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</si>
  <si>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t>001495</t>
  </si>
  <si>
    <t>TechnicalAssistanceType</t>
  </si>
  <si>
    <t>Technology Literacy Status in 8th Grade</t>
  </si>
  <si>
    <t>An indication of the technology literacy of 8th graders.</t>
  </si>
  <si>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</si>
  <si>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</si>
  <si>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</si>
  <si>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</si>
  <si>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</si>
  <si>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</si>
  <si>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</si>
  <si>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</si>
  <si>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Alphanumeric - 24 characters maximum</t>
  </si>
  <si>
    <t>000279</t>
  </si>
  <si>
    <t>TelephoneNumber</t>
  </si>
  <si>
    <t>Telephone Number Listed Status</t>
  </si>
  <si>
    <t>An indication of whether a telephone number is listed under a directory assistance service.</t>
  </si>
  <si>
    <t>001927</t>
  </si>
  <si>
    <t>TelephoneNumberListedStatus</t>
  </si>
  <si>
    <t>Telephone Number Type</t>
  </si>
  <si>
    <t>The type of communication number listed for a person.</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</si>
  <si>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</si>
  <si>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</si>
  <si>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</si>
  <si>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</si>
  <si>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</si>
  <si>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</si>
  <si>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</si>
  <si>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</si>
  <si>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</si>
  <si>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</si>
  <si>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</si>
  <si>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</si>
  <si>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</si>
  <si>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</si>
  <si>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</si>
  <si>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</si>
  <si>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</si>
  <si>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</si>
  <si>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</si>
  <si>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</si>
  <si>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t>000281</t>
  </si>
  <si>
    <t>TitleIIndicator</t>
  </si>
  <si>
    <t>Title I Instructional Services</t>
  </si>
  <si>
    <t>The type of instructional services provided to students in ESEA Title I programs.</t>
  </si>
  <si>
    <t>000282</t>
  </si>
  <si>
    <t>TitleIInstructionalServices</t>
  </si>
  <si>
    <t>Title I Program Staff Category</t>
  </si>
  <si>
    <t>Titles of employment, official status, or rank for staff working in a Title I program.</t>
  </si>
  <si>
    <t>000283</t>
  </si>
  <si>
    <t>TitleIProgramStaffCategory</t>
  </si>
  <si>
    <t>Title I Program Type</t>
  </si>
  <si>
    <t>The type of Title I program offered in the school or district.</t>
  </si>
  <si>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</si>
  <si>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</si>
  <si>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</si>
  <si>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</si>
  <si>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</si>
  <si>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</si>
  <si>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</si>
  <si>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</si>
  <si>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</si>
  <si>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</si>
  <si>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</si>
  <si>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</si>
  <si>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</si>
  <si>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</si>
  <si>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</si>
  <si>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</si>
  <si>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</si>
  <si>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</si>
  <si>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</si>
  <si>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</si>
  <si>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</si>
  <si>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</si>
  <si>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</si>
  <si>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</si>
  <si>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</si>
  <si>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</si>
  <si>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</si>
  <si>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</si>
  <si>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</si>
  <si>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</si>
  <si>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</si>
  <si>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</si>
  <si>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</si>
  <si>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</si>
  <si>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</si>
  <si>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</si>
  <si>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</si>
  <si>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</si>
  <si>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</si>
  <si>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</si>
  <si>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</si>
  <si>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</si>
  <si>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</si>
  <si>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</si>
  <si>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</si>
  <si>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</si>
  <si>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</si>
  <si>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</si>
  <si>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</si>
  <si>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</si>
  <si>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</si>
  <si>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</si>
  <si>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</si>
  <si>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t>000447</t>
  </si>
  <si>
    <t>TitleIIILanguageInstructionProgramType</t>
  </si>
  <si>
    <t>Title III Professional Development Type</t>
  </si>
  <si>
    <t>The type of Title III professional development utilized.</t>
  </si>
  <si>
    <t>000487</t>
  </si>
  <si>
    <t>TitleIIIProfessionalDevelopmentType</t>
  </si>
  <si>
    <t>Title IV Participant and Recipient</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</si>
  <si>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</si>
  <si>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</si>
  <si>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</si>
  <si>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</si>
  <si>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</si>
  <si>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</si>
  <si>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</si>
  <si>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</si>
  <si>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</si>
  <si>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</si>
  <si>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</si>
  <si>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</si>
  <si>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</si>
  <si>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</si>
  <si>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</si>
  <si>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</si>
  <si>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</si>
  <si>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</si>
  <si>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</si>
  <si>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</si>
  <si>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</si>
  <si>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</si>
  <si>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</si>
  <si>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</si>
  <si>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</si>
  <si>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</si>
  <si>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</si>
  <si>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</si>
  <si>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001657</t>
  </si>
  <si>
    <t>TribalAffiliation</t>
  </si>
  <si>
    <t>Trimester When Prenatal Care Began</t>
  </si>
  <si>
    <t>The trimester of pregnancy in which a child's mother began receiving prenatal health care.</t>
  </si>
  <si>
    <t>001630</t>
  </si>
  <si>
    <t>TrimesterWhenPrenatalCareBegan</t>
  </si>
  <si>
    <t>Truant Status</t>
  </si>
  <si>
    <t>An indication that a student is identified as a truant as defined by state rules.</t>
  </si>
  <si>
    <t>000569</t>
  </si>
  <si>
    <t>TruantStatus</t>
  </si>
  <si>
    <t>Tuition - Published</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</si>
  <si>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</si>
  <si>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</si>
  <si>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</si>
  <si>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</si>
  <si>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</si>
  <si>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The initial use case is for professional development courses/programs, but could apply to student programs/courses as well.</t>
  </si>
  <si>
    <t>001575</t>
  </si>
  <si>
    <t>TuitionFunded</t>
  </si>
  <si>
    <t>Tuition Residency Type</t>
  </si>
  <si>
    <t>A person's residency status for tuition purposes.</t>
  </si>
  <si>
    <t>000297</t>
  </si>
  <si>
    <t>TuitionResidencyType</t>
  </si>
  <si>
    <t>Tuition Unit</t>
  </si>
  <si>
    <t>000746</t>
  </si>
  <si>
    <t>TuitionUnit</t>
  </si>
  <si>
    <t>Type of Use of the Rural Low-Income Schools Program</t>
  </si>
  <si>
    <t>The type of use of the Rural Low-Income Schools Program (RLIS) (Title VI, Part B, Subpart 2) Grant Funds.</t>
  </si>
  <si>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</si>
  <si>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</si>
  <si>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</si>
  <si>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</si>
  <si>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</si>
  <si>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</si>
  <si>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</si>
  <si>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</si>
  <si>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</si>
  <si>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</si>
  <si>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</si>
  <si>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</si>
  <si>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</si>
  <si>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</si>
  <si>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t>000299</t>
  </si>
  <si>
    <t>UnitedStatesCitizenshipStatus</t>
  </si>
  <si>
    <t>Postsecondary Education -&gt; IPEDS
Postsecondary Education -&gt; IPEDS -&gt; HR</t>
  </si>
  <si>
    <t>Virtual Indicator</t>
  </si>
  <si>
    <t>001160</t>
  </si>
  <si>
    <t>VirtualIndicator</t>
  </si>
  <si>
    <t>Virtual School Status</t>
  </si>
  <si>
    <t>001766</t>
  </si>
  <si>
    <t>VirtualSchoolStatus</t>
  </si>
  <si>
    <t>Visa Type</t>
  </si>
  <si>
    <t>An indicator of a non-US citizen's Visa type.</t>
  </si>
  <si>
    <t>000196</t>
  </si>
  <si>
    <t>VisaType</t>
  </si>
  <si>
    <t>Vision Screening Date</t>
  </si>
  <si>
    <t>The year, month and day of a vision screening.</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</si>
  <si>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</si>
  <si>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</si>
  <si>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</si>
  <si>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</si>
  <si>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</si>
  <si>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</si>
  <si>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</si>
  <si>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</si>
  <si>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t>000798</t>
  </si>
  <si>
    <t>WageCollectionCode</t>
  </si>
  <si>
    <t>Wage Verification Code</t>
  </si>
  <si>
    <t>An indication of whether the wage information has been verified.</t>
  </si>
  <si>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</si>
  <si>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</si>
  <si>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</si>
  <si>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</si>
  <si>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</si>
  <si>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</si>
  <si>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</si>
  <si>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</si>
  <si>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t>See Forum Guide to Crime, Violence, and Discipline Incident Data http://nces.ed.gov/pubs2011/2011806.pdf Forum Guide.</t>
  </si>
  <si>
    <t>001211</t>
  </si>
  <si>
    <t>WeaponType</t>
  </si>
  <si>
    <t>Web Site Address</t>
  </si>
  <si>
    <t>The Uniform Resource Locator (URL) for the unique address of a Web page.</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</si>
  <si>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</si>
  <si>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</si>
  <si>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</si>
  <si>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</si>
  <si>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</si>
  <si>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</si>
  <si>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</si>
  <si>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</si>
  <si>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</si>
  <si>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</si>
  <si>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</si>
  <si>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</si>
  <si>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</si>
  <si>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</si>
  <si>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</si>
  <si>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</si>
  <si>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</si>
  <si>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</si>
  <si>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</si>
  <si>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</si>
  <si>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</si>
  <si>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</si>
  <si>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</si>
  <si>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</si>
  <si>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</si>
  <si>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</si>
  <si>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</si>
  <si>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</si>
  <si>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</si>
  <si>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</si>
  <si>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</si>
  <si>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</si>
  <si>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</si>
  <si>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</si>
  <si>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</si>
  <si>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</si>
  <si>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</si>
  <si>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</si>
  <si>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</si>
  <si>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t>000997</t>
  </si>
  <si>
    <t>WorkforceProgramType</t>
  </si>
  <si>
    <t>Years of Prior Adult Education Teaching Experience</t>
  </si>
  <si>
    <t>The total number of years that a person has previously held a teaching position in one or more adult education programs.</t>
  </si>
  <si>
    <t>000788</t>
  </si>
  <si>
    <t>YearsofPriorAETeachingExperience</t>
  </si>
  <si>
    <t>Years of Prior Teaching Experience</t>
  </si>
  <si>
    <t>The total number of years prior to this job that a person has previously held a teaching position in one or more education institutions.</t>
  </si>
  <si>
    <t>000302</t>
  </si>
  <si>
    <t>YearsOfPriorTeachingExperience</t>
  </si>
  <si>
    <t>An indication of whether the assignment is the staff member's primary assignment.</t>
  </si>
  <si>
    <t>CIP codes are available at: https://nces.ed.gov/ipeds/cipcode/browse.aspx?y=55.</t>
  </si>
  <si>
    <t>See URL column</t>
  </si>
  <si>
    <t>An indication of the category of the adult education certification a person holds.</t>
  </si>
  <si>
    <t>Adult Education Credential Attainment Employed Indicator</t>
  </si>
  <si>
    <t>An indication of whether the adult education participant received a secondary school diploma or its recognized equivalent while enrolled in the adult education program or within one year of exiting the adult education program and was employed within one year of exiting the adult education program.</t>
  </si>
  <si>
    <t>001955</t>
  </si>
  <si>
    <t>AdultEducationCredentialAttainmentEmployedIndicator</t>
  </si>
  <si>
    <t>Adult Education Credential Attainment Postsecondary Credential Indicator</t>
  </si>
  <si>
    <t>An indication of whether the adult education participant received a postsecondary credential while enrolled in the adult education program or within one year of exiting the adult education program.</t>
  </si>
  <si>
    <t>001956</t>
  </si>
  <si>
    <t>AdultEducationCredentialAttainmentPostsecondaryCredentialIndicator</t>
  </si>
  <si>
    <t>Adult Education Credential Attainment Postsecondary Enrollment Indicator</t>
  </si>
  <si>
    <t>An indication of whether the adult education participant received a secondary school diploma or its recognized equivalent while enrolled in the adult education program or within one year of exiting the adult education program and entered into postsecondary education within one year of exiting the adult education program.</t>
  </si>
  <si>
    <t>001954</t>
  </si>
  <si>
    <t>AdultEducationCredentialAttainmentPostsecondaryEnrollmentIndicator</t>
  </si>
  <si>
    <t>Adult Education Program Exit Reason</t>
  </si>
  <si>
    <t>The documented or assumed reason the person is no longer being served by the adult education program.</t>
  </si>
  <si>
    <t>001939</t>
  </si>
  <si>
    <t>AdultEducationProgramExitReason</t>
  </si>
  <si>
    <t>Barrier to Internet Access In Residence</t>
  </si>
  <si>
    <t>An indication of the barrier to having internet access in the student's primary place of residence.</t>
  </si>
  <si>
    <t>This element is used in combination with the element "Internet Access in Residence." When asking for this information on a parent or student survey, the question could be phrased like this: "If the student is unable to access the internet in their primary place of residence, why not?"</t>
  </si>
  <si>
    <t>001935</t>
  </si>
  <si>
    <t>BarrierToInternetAccessInResidence</t>
  </si>
  <si>
    <t>Campus Facility Type</t>
  </si>
  <si>
    <t>Children of Fallen Heroes Indicator</t>
  </si>
  <si>
    <t>Pell-eligible students whose parent or guardian was a member of the U.S. armed forces and died as a result of military service performed in Iraq or Afghanistan after the events of 9/11 or a public safety officer and died as a result of active service in the line of duty. At the time of the parent's or guardian's death, the student must be less than 24 years of age or enrolled in college or career school at least part-time.</t>
  </si>
  <si>
    <t>The Children of Fallen heroes Indicator should follow the current legislation definitions and be updated as definitions change</t>
  </si>
  <si>
    <t>001984</t>
  </si>
  <si>
    <t>ChildrenOfFallenHeroesIndicator</t>
  </si>
  <si>
    <t>The year the cohort is expected to graduate.</t>
  </si>
  <si>
    <t>Cohort Median Earnings</t>
  </si>
  <si>
    <t>The midpoint between the lowest and highest quarterly wage, in U.S. dollars, for the total number of persons included in the cohort for the period of time between the Employment Record Reference Period Start Date and Employment Record Reference Period End Date.</t>
  </si>
  <si>
    <t>001938</t>
  </si>
  <si>
    <t>CohortMedianEarnings</t>
  </si>
  <si>
    <t>The date, if any, on which the qualification, achievement, personal or organizational quality, or aspect of an identity expires or requires renewal.</t>
  </si>
  <si>
    <t>The name of the agent issuing the qualification, achievement, personal or organizational quality, or aspect of an identity.</t>
  </si>
  <si>
    <t>The Uniform Resource Locator (URL) from which the qualification, achievement, personal or organizational quality, or aspect of an identity was issued.</t>
  </si>
  <si>
    <t>The date on which the qualification, achievement, personal or organizational quality, or aspect of an identity was conferred.</t>
  </si>
  <si>
    <t>The system that defines the categories of the qualification, achievement, personal or organizational quality, or aspect of an identity used in Credential Category Type.</t>
  </si>
  <si>
    <t>A category for defining the qualification, achievement, personal or organizational quality, or aspect of an identity.</t>
  </si>
  <si>
    <t>The criteria for competency-based completion of the qualification, achievement, personal or organizational quality, or aspect of an identity.</t>
  </si>
  <si>
    <t>The Uniform Resource Locator (URL) for the unique address of a web page describing the competency-based completion criteria for the qualification, achievement, personal or organizational quality, or aspect of an identity.</t>
  </si>
  <si>
    <t>A description of the qualification, achievement, personal or organizational quality, or aspect of an identity.</t>
  </si>
  <si>
    <t>A globally unique identifier by which the creator/owner/provider of a credential recognizes the qualification, achievement, personal or organizational quality, or aspect of an identity in transactions with the external environment.</t>
  </si>
  <si>
    <t>A coding scheme that is used for identification and record-keeping purposes by a credentialing organization to refer to a qualification, achievement, personal or organizational quality, or aspect of an identity.</t>
  </si>
  <si>
    <t>Credential Definition Terminal Degree Indicator</t>
  </si>
  <si>
    <t>This degree is the highest degree that can be awarded in this classification of instructional programs field or program area.</t>
  </si>
  <si>
    <t>001953</t>
  </si>
  <si>
    <t>CredentialDefinitionTerminalDegreeIndicator</t>
  </si>
  <si>
    <t>The title assigned to a qualification, achievement, personal or organizational quality, or aspect of an identity.</t>
  </si>
  <si>
    <t>A statement or reference describing the evidence that the learner met the criteria for attainment of the qualification, achievement, personal or organizational quality, or aspect of an identity.</t>
  </si>
  <si>
    <t>The Uniform Resource Locator (URL) for the unique address of an image representing an award or badge associated with the qualification, achievement, personal or organizational quality, or aspect of an identity.</t>
  </si>
  <si>
    <t>The date on which the qualification, achievement, personal or organizational quality, or aspect of an identity was revoked.</t>
  </si>
  <si>
    <t>The cumulative number of credits a person attempts to earn by taking courses during their enrollment in their current education institution as well as those credits transferred from an education institution in which the person had been previously enrolled.</t>
  </si>
  <si>
    <t>The cumulative number of credits a person earns by completing courses or examinations during their enrollment in the current education institution as well as those credits transferred from an education institution in which the person had been previously enrolled.</t>
  </si>
  <si>
    <t>Early Learning -&gt; Parent/Guardian -&gt; Relationship
K12 -&gt; Parent/Guardian -&gt; Relationship
Postsecondary -&gt; Parent/Guardian -&gt; Relationship
Postsecondary -&gt; PS Student -&gt; Relationship</t>
  </si>
  <si>
    <t>Data Collection Academic School Year</t>
  </si>
  <si>
    <t>The year for a reported school session for which the data is applicable.</t>
  </si>
  <si>
    <t>001970</t>
  </si>
  <si>
    <t>DataCollectionAcademicSchoolYear</t>
  </si>
  <si>
    <t>Data Collection Close Date</t>
  </si>
  <si>
    <t>The date the data collection closes or ends.</t>
  </si>
  <si>
    <t>001969</t>
  </si>
  <si>
    <t>DataCollectionCloseDate</t>
  </si>
  <si>
    <t>Data Collection Description</t>
  </si>
  <si>
    <t>The description of what is included in the data within the context of the data collection based on the source system and collection period as defined by the Data Collection Open Date and Data Collection Close Date.</t>
  </si>
  <si>
    <t>001967</t>
  </si>
  <si>
    <t>DataCollectionDescription</t>
  </si>
  <si>
    <t>Data Collection Name</t>
  </si>
  <si>
    <t>A human readable name used to identify the data within the collection.</t>
  </si>
  <si>
    <t>001966</t>
  </si>
  <si>
    <t>DataCollectionName</t>
  </si>
  <si>
    <t>Data Collection Open Date</t>
  </si>
  <si>
    <t>The date the data collection opens or commences.</t>
  </si>
  <si>
    <t>001968</t>
  </si>
  <si>
    <t>DataCollectionOpenDate</t>
  </si>
  <si>
    <t>Data Collection School Year</t>
  </si>
  <si>
    <t>The year for a reported school session in which the data collection occurs.</t>
  </si>
  <si>
    <t>001971</t>
  </si>
  <si>
    <t>DataCollectionSchoolYear</t>
  </si>
  <si>
    <t>Data Collection Status</t>
  </si>
  <si>
    <t>A process indicator of the level of stability, quality, and/or preparedness of the collection of data.</t>
  </si>
  <si>
    <t>001990</t>
  </si>
  <si>
    <t>DataCollectionStatus</t>
  </si>
  <si>
    <t>EDFacts Academic or Career and Technical Outcome Exit Type</t>
  </si>
  <si>
    <t>The type of academic or career and technical outcome attained up to 90 days after exiting the facility or program.</t>
  </si>
  <si>
    <t>001979</t>
  </si>
  <si>
    <t>EdFactsAcademicOrCareerAndTechnicalOutcomeExitType</t>
  </si>
  <si>
    <t>EDFacts Academic or Career and Technical Outcome Type</t>
  </si>
  <si>
    <t>The type of academic or career and technical outcome attained while enrolled in the program.</t>
  </si>
  <si>
    <t>001978</t>
  </si>
  <si>
    <t>EdFactsAcademicOrCareerAndTechnicalOutcomeType</t>
  </si>
  <si>
    <t>EDFacts Teacher Inexperienced Status</t>
  </si>
  <si>
    <t>An indication of whether teachers have been identified as inexperienced as defined by the state.</t>
  </si>
  <si>
    <t>This element is used specifically for EDFacts reporting.</t>
  </si>
  <si>
    <t>001961</t>
  </si>
  <si>
    <t>EDFactsTeacherInexperiencedStatus</t>
  </si>
  <si>
    <t>EDFacts Teacher Out of Field Status</t>
  </si>
  <si>
    <t>An indication of whether teachers have been identified as teaching a subject or field for which they are not certified or licensed as defined by the state.</t>
  </si>
  <si>
    <t>001962</t>
  </si>
  <si>
    <t>EDFactsTeacherOutOfFieldStatus</t>
  </si>
  <si>
    <t>Emancipated Minor</t>
  </si>
  <si>
    <t>A minor student under the age of 18 who has been granted by legal action to have the power and capacity of an adult.</t>
  </si>
  <si>
    <t>001981</t>
  </si>
  <si>
    <t>EmancipatedMinor</t>
  </si>
  <si>
    <t>Federal Race and Ethnicity Declined</t>
  </si>
  <si>
    <t>A parent, guardian, or student declined to report sufficient information for identifying a student's federal race and/or ethnicity.</t>
  </si>
  <si>
    <t>001944</t>
  </si>
  <si>
    <t>FederalRaceAndEthnicityDeclined</t>
  </si>
  <si>
    <t>First Generation College Student</t>
  </si>
  <si>
    <t>The term First Generation College Student means an individual both of whose parents did not complete a baccalaureate degree or in the case of any individual who regularly resided with and received support from only one parent, an individual whose only such parent did not complete a baccalaureate degree.</t>
  </si>
  <si>
    <t>001947</t>
  </si>
  <si>
    <t>FirstGenerationCollegeStudent</t>
  </si>
  <si>
    <t>Alphanumeric - 75 characters maximum</t>
  </si>
  <si>
    <t>K12 -&gt; K12 Student -&gt; Academic Record
Postsecondary -&gt; PS Applicant
Postsecondary -&gt; PS Student -&gt; K12 Transcript</t>
  </si>
  <si>
    <t>Home Language Survey Administration Date</t>
  </si>
  <si>
    <t>The year, month, and day on which the Home Language Survey is known to have been administered to the parent or guardian of this student.</t>
  </si>
  <si>
    <t>The actual date of the administration is not what this element is capturing but rather when the result of the home language survey have been received by the school. The survey may have been completed in the school office upon registration of the student or could have been completed at home as part of a set of documents parents or guardians complete when enrolling students. When the completed home language survey has been provided to the school, the date received or the date the information is entered into a student information system as having been completed is sufficient to meet the intent of this element.</t>
  </si>
  <si>
    <t>001989</t>
  </si>
  <si>
    <t>HomeLanguageSurveyAdministrationDate</t>
  </si>
  <si>
    <t>Home Language Survey Administration Indicator</t>
  </si>
  <si>
    <t>An indication that the parent or guardian of this student was administered the Home Language Survey - a questionnaire given to parents or guardians that helps schools and local education agencies identify which students are potential English Learners and who will require assessment of their English language proficiency to determine whether they are eligible for language assistance services.</t>
  </si>
  <si>
    <t>The term "administration" would indicate that the results of the home language survey for this student have been provided to the school. The intent of this element is not to determine whether or not the school provided a home language survey to the parents/guardians of the student but instead to determine if the school received the results of that home language survey back from the parents/guardians of the student.</t>
  </si>
  <si>
    <t>001988</t>
  </si>
  <si>
    <t>HomeLanguageSurveyAdministrationIndicator</t>
  </si>
  <si>
    <t>If your data is granular enough to differentiate between Before School and After School, it is recommended those options be selected over using the combined Before or After School option.</t>
  </si>
  <si>
    <t>Internet Access In Residence</t>
  </si>
  <si>
    <t>An indication of whether the student is able to access the internet in their primary place of residence.</t>
  </si>
  <si>
    <t>When asking for this information on a parent or student survey, the question could be phrased like this: "Can the student access the internet in their primary place of residence?"</t>
  </si>
  <si>
    <t>001934</t>
  </si>
  <si>
    <t>InternetAccessInResidence</t>
  </si>
  <si>
    <t>Internet Access Type In Residence</t>
  </si>
  <si>
    <t>The primary type of internet service used in the student's primary place of residence.</t>
  </si>
  <si>
    <t>When asking for this information on a parent or student survey, the question could be phrased like this: "What is the primary type of internet service used in the student's primary place of residence?"</t>
  </si>
  <si>
    <t>001936</t>
  </si>
  <si>
    <t>InternetAccessTypeInResidence</t>
  </si>
  <si>
    <t>Internet Download Speed</t>
  </si>
  <si>
    <t>The speed that data or information can be downloaded from a server on the internet to one's device in megabits per second.</t>
  </si>
  <si>
    <t>This information is collected via an internet speed test. In 2021, the FCC minimum broadband threshold is 25 Mbps. Display Example: 25.0</t>
  </si>
  <si>
    <t>001976</t>
  </si>
  <si>
    <t>InternetDownloadSpeed</t>
  </si>
  <si>
    <t>Internet Performance In Residence</t>
  </si>
  <si>
    <t>An indication of whether the student can complete the full range of learning activities, including video streaming and assignment upload, without interruptions caused by poor internet performance in their primary place of residence.</t>
  </si>
  <si>
    <t>When asking for this information on a parent or student survey, the question could be phrased like this: "Can the student complete learning activities such as streaming a video and uploading assignments without interruptions caused by poor internet performance?"</t>
  </si>
  <si>
    <t>001937</t>
  </si>
  <si>
    <t>InternetPerformanceInResidence</t>
  </si>
  <si>
    <t>Internet Speed Test Date Time</t>
  </si>
  <si>
    <t>The date and, optionally, time that the information was gathered.</t>
  </si>
  <si>
    <t>This information is collected and stored as part of each speed test. Display Example: 2021-09-20T10:30:00</t>
  </si>
  <si>
    <t>001977</t>
  </si>
  <si>
    <t>InternetSpeedTestDateTime</t>
  </si>
  <si>
    <t>Internet Upload Speed</t>
  </si>
  <si>
    <t>The speed that data or information can be sent from one's device to another device or server on the internet in megabits per second.</t>
  </si>
  <si>
    <t>This information is collected via an internet speed test. In 2021, the FCC minimum broadband threshold is 3 Mbps. Display Example: 3.0</t>
  </si>
  <si>
    <t>001975</t>
  </si>
  <si>
    <t>InternetUploadSpeed</t>
  </si>
  <si>
    <t>Marital Status</t>
  </si>
  <si>
    <t>The marital status of the person as of today.</t>
  </si>
  <si>
    <t>This element supports FAFSA questions related to parent's marital status and student's marital status. The option set was developed using Census classifications.</t>
  </si>
  <si>
    <t>001980</t>
  </si>
  <si>
    <t>MaritalStatus</t>
  </si>
  <si>
    <t>NCES SIDE Date Processed</t>
  </si>
  <si>
    <t>The year, month, and day on which the National Center for Education Statistics (NCES) spatially interpolated demographic estimate (SIDE) was processed through the BlindSIDE resource.</t>
  </si>
  <si>
    <t>001950</t>
  </si>
  <si>
    <t>NCESSIDEDateProcessed</t>
  </si>
  <si>
    <t>NCES SIDE Estimate</t>
  </si>
  <si>
    <t>The National Center for Education Statistics (NCES) spatially interpolated demographic estimate (SIDE) based on the person's latitude and longitude location.</t>
  </si>
  <si>
    <t>001948</t>
  </si>
  <si>
    <t>NCESSIDEEstimate</t>
  </si>
  <si>
    <t>NCES SIDE Standard Error</t>
  </si>
  <si>
    <t>The standard error applied to the National Center for Education Statistics (NCES) spatially interpolated demographic estimate (SIDE).</t>
  </si>
  <si>
    <t>001949</t>
  </si>
  <si>
    <t>NCESSIDEStandard Error</t>
  </si>
  <si>
    <t>NCES SIDE Vintage Begin Year</t>
  </si>
  <si>
    <t>The begin year for the American Community Survey (ACS) period estimates used to construct the National Center for Education Statistics (NCES) spatially interpolated demographic estimate (SIDE).</t>
  </si>
  <si>
    <t>The NCES SIDE base is constructed from ACS five-year microdata. The NCES SIDE Vintage Begin Year indicates the first year of that five-year microdata base.</t>
  </si>
  <si>
    <t>001951</t>
  </si>
  <si>
    <t>NCESSIDEVintageBeginYear</t>
  </si>
  <si>
    <t>NCES SIDE Vintage End Year</t>
  </si>
  <si>
    <t>The end year for the American Community Survey (ACS) period estimates used to construct the National Center for Education Statistics (NCES) spatially interpolated demographic estimate (SIDE).</t>
  </si>
  <si>
    <t>The NCES SIDE base is constructed from ACS five-year microdata. The NCES SIDE Vintage End Year indicates the last year of that five-year microdata base.</t>
  </si>
  <si>
    <t>001952</t>
  </si>
  <si>
    <t>NCESSIDEVintageEndYear</t>
  </si>
  <si>
    <t>Number of Days Tardy</t>
  </si>
  <si>
    <t>The number of days a person is tardy when school is in session during a given reporting period.</t>
  </si>
  <si>
    <t>001957</t>
  </si>
  <si>
    <t>NumberofDaysTardy</t>
  </si>
  <si>
    <t>The number of dependents who live with the student and receive more than half their support from them.</t>
  </si>
  <si>
    <t>Number of Dependents Type</t>
  </si>
  <si>
    <t>The student's relationship to the dependents who live with the student or receive more than half of the student's support</t>
  </si>
  <si>
    <t>001983</t>
  </si>
  <si>
    <t>NumberOfDependentsType</t>
  </si>
  <si>
    <t>Number of Household College Students</t>
  </si>
  <si>
    <t>Number of people, including the student, who will attend at least half-time in the current academic year, a program that leads to a college degree or certificate</t>
  </si>
  <si>
    <t>This information is collected on the FAFSA</t>
  </si>
  <si>
    <t>001982</t>
  </si>
  <si>
    <t>NumberOfHouseholdCollegeStudents</t>
  </si>
  <si>
    <t>For FAFSA, this includes the number of family members that are in the household, including the student, their spouse, children, and any other persons living in the household to whom they will provide more than half of their support</t>
  </si>
  <si>
    <t>Personal Information Type</t>
  </si>
  <si>
    <t>The type of personal information verified through the Personal Information Verification evidence.</t>
  </si>
  <si>
    <t>001945</t>
  </si>
  <si>
    <t>PersonalInformationType</t>
  </si>
  <si>
    <t>Primary Learning Device Access</t>
  </si>
  <si>
    <t>An indication of whether the primary learning device is shared or not shared with another individual</t>
  </si>
  <si>
    <t>When asking for this information on a parent or student survey, the question could be phrased like this: "Is the student's primary learning device shared with anyone else?"</t>
  </si>
  <si>
    <t>001932</t>
  </si>
  <si>
    <t>PrimaryLearningDeviceAccess</t>
  </si>
  <si>
    <t>Primary Learning Device Away From School</t>
  </si>
  <si>
    <t>The type of device the student uses most often to complete learning activities away from school.</t>
  </si>
  <si>
    <t>When asking for this information on a parent or student survey, the question could be phrased like this: "What device does the student most often use to complete learning activities away from school?"</t>
  </si>
  <si>
    <t>001931</t>
  </si>
  <si>
    <t>PrimaryLearningDeviceAwayFromSchool</t>
  </si>
  <si>
    <t>Primary Learning Device Provider</t>
  </si>
  <si>
    <t>The provider of the primary learning device.</t>
  </si>
  <si>
    <t>When asking for this information on a parent or student survey, the question could be phrased like this: "Who provided the primary learning device to the student?"</t>
  </si>
  <si>
    <t>001933</t>
  </si>
  <si>
    <t>PrimaryLearningDeviceProvider</t>
  </si>
  <si>
    <t>Race</t>
  </si>
  <si>
    <t>The origins of a person.</t>
  </si>
  <si>
    <t>It is expected that a person may select more than one option with the exception of the options "Demographic Race Two or More Races" and "Race and Ethnicity Unknown."</t>
  </si>
  <si>
    <t>001943</t>
  </si>
  <si>
    <t>Record Status Creator Entity</t>
  </si>
  <si>
    <t>The type of entity that created or indicated the Record Status Type</t>
  </si>
  <si>
    <t>001974</t>
  </si>
  <si>
    <t>RecordStatusCreatorEntity</t>
  </si>
  <si>
    <t>Record Status Date</t>
  </si>
  <si>
    <t>The date the record was marked with the Record Status Type.</t>
  </si>
  <si>
    <t>001973</t>
  </si>
  <si>
    <t>RecordStatusDate</t>
  </si>
  <si>
    <t>Record Status Type</t>
  </si>
  <si>
    <t>A process indicator of the level of stability, quality, and/or preparedness of the record.</t>
  </si>
  <si>
    <t>001972</t>
  </si>
  <si>
    <t>RecordStatusType</t>
  </si>
  <si>
    <t>Role</t>
  </si>
  <si>
    <t>A description of the way in which a person relates to an organization.</t>
  </si>
  <si>
    <t>001946</t>
  </si>
  <si>
    <t>Source System Data Collection Identifier</t>
  </si>
  <si>
    <t>The identifier specified by the source system that uniquely identifies the data collection.</t>
  </si>
  <si>
    <t>001964</t>
  </si>
  <si>
    <t>SourceSystemDataCollectionIdentifier</t>
  </si>
  <si>
    <t>Source System Name</t>
  </si>
  <si>
    <t>The name of the source system that provided the data within the collection.</t>
  </si>
  <si>
    <t>001965</t>
  </si>
  <si>
    <t>SourceSystemName</t>
  </si>
  <si>
    <t>Staff Compensation Annual Supplement</t>
  </si>
  <si>
    <t>The annual sum of payments given to staff in addition to their regular wages.</t>
  </si>
  <si>
    <t>001959</t>
  </si>
  <si>
    <t>StaffCompensationAnnualSupplement</t>
  </si>
  <si>
    <t>Staff Compensation Longevity</t>
  </si>
  <si>
    <t>Compensation paid to a staff member based on their years of service.</t>
  </si>
  <si>
    <t>001960</t>
  </si>
  <si>
    <t>StaffCompensationLongevity</t>
  </si>
  <si>
    <t>Staff Compensation Source Type</t>
  </si>
  <si>
    <t>The source for the staff compensation a person receives.</t>
  </si>
  <si>
    <t>001958</t>
  </si>
  <si>
    <t>StaffCompensationSourceType</t>
  </si>
  <si>
    <t>Staff Evaluation Part Name</t>
  </si>
  <si>
    <t>The name of the component part that is being evaluated and scored.</t>
  </si>
  <si>
    <t>001985</t>
  </si>
  <si>
    <t>StaffEvaluationPartName</t>
  </si>
  <si>
    <t>Staff Evaluation Part Scale</t>
  </si>
  <si>
    <t>The quantitative or qualitative range of possible scores/rating for a person's performance on a component part (e.g., 0 - 10; Poor, Fair, Average, Good, Excellent).</t>
  </si>
  <si>
    <t>001987</t>
  </si>
  <si>
    <t>StaffEvaluationPartScale</t>
  </si>
  <si>
    <t>Staff Evaluation Part Score or Rating</t>
  </si>
  <si>
    <t>001986</t>
  </si>
  <si>
    <t>StaffEvaluationPartScoreOrRating</t>
  </si>
  <si>
    <t>The quantitative or qualitative range of possible scores/rating for a person's overall performance (e.g., 0 - 10; Poor, Fair, Average, Good, Excellent).</t>
  </si>
  <si>
    <t>The actual quantitative or qualitative assessment of a person's overall performance.</t>
  </si>
  <si>
    <t>Student School Affiliation State Defined Status</t>
  </si>
  <si>
    <t>An indication of the nature of a student's affiliation, as defined by the state, with a public school and used generally, but not exclusively, for the purpose of determining residency, funding, or accountability.</t>
  </si>
  <si>
    <t>This element should be used in conjunction with the Public School Residence Status and the Responsible School Type elements to create specificity about the role a school plays or should play in the education of the student.</t>
  </si>
  <si>
    <t>001963</t>
  </si>
  <si>
    <t>StudentSchoolAffiliationStateDefinedStatus</t>
  </si>
  <si>
    <t>WIOA Barriers to Employment</t>
  </si>
  <si>
    <t>A self-identified barrier as defined by the Workforce Innovation and Opportunity Act (WIOA) that is presumed to affect placement of a participant in unsubsidized employment.</t>
  </si>
  <si>
    <t>001940</t>
  </si>
  <si>
    <t>WIOABarrierstoEmployment</t>
  </si>
  <si>
    <t>WIOA Career Services</t>
  </si>
  <si>
    <t>An indication of whether or not the individual has received services as identified in sec. 134(c)(2) of the Workforce Innovation and Opportunity Act (WIOA) consisting of (a) basic career services, (b) individualized career services, or (c) follow-up services.</t>
  </si>
  <si>
    <t>001941</t>
  </si>
  <si>
    <t>WIOACareerServices</t>
  </si>
  <si>
    <t>WIOA Training Services</t>
  </si>
  <si>
    <t>An indication of whether or not the individual has received services as defined by the Workforce Innovation and Opportunity Act (WIOA), one or more courses or classes, or a structured regimen that provides the services in 20 CFR part 680.200 and leads to: (a) An industry-recognized certificate or certification, a certificate of completion of a registered apprenticeship, a license recognized by the State involved or the Federal Government, an associate or baccalaureate degree, or community college certificate of completion; (b) Consistent with § 680.350, a secondary school diploma or its equivalent; (c) Employment; or (d) Measurable skill gains toward a credential described in paragraph (a) or (b) of this section or employment.</t>
  </si>
  <si>
    <t>001942</t>
  </si>
  <si>
    <t>WIOATrainingServices</t>
  </si>
  <si>
    <t>Early Learning</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</si>
  <si>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</si>
  <si>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</si>
  <si>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</si>
  <si>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</si>
  <si>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</si>
  <si>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</si>
  <si>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</si>
  <si>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</si>
  <si>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</si>
  <si>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</si>
  <si>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</si>
  <si>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</si>
  <si>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</si>
  <si>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</si>
  <si>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</si>
  <si>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</si>
  <si>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</si>
  <si>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</si>
  <si>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</si>
  <si>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Policies</t>
  </si>
  <si>
    <t>Finance</t>
  </si>
  <si>
    <t>Compensation</t>
  </si>
  <si>
    <t>Professional Development</t>
  </si>
  <si>
    <t>Service Partners</t>
  </si>
  <si>
    <t>Cultural and Linguistic Diversity</t>
  </si>
  <si>
    <t>Health Promotion</t>
  </si>
  <si>
    <t>Inclusion</t>
  </si>
  <si>
    <t>Parental/Family Involvement</t>
  </si>
  <si>
    <t>Identity-&gt;Name</t>
  </si>
  <si>
    <t>Identity-&gt;Other Name</t>
  </si>
  <si>
    <t>Identity-&gt;Identification</t>
  </si>
  <si>
    <t>Yes</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</si>
  <si>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</si>
  <si>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</si>
  <si>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</si>
  <si>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</si>
  <si>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</si>
  <si>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</si>
  <si>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</si>
  <si>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</si>
  <si>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</si>
  <si>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</si>
  <si>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</si>
  <si>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</si>
  <si>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</si>
  <si>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</si>
  <si>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</si>
  <si>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</si>
  <si>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</si>
  <si>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</si>
  <si>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</si>
  <si>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</si>
  <si>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</si>
  <si>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</si>
  <si>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</si>
  <si>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Homeless</t>
  </si>
  <si>
    <t>Relationship</t>
  </si>
  <si>
    <t>Digital Access-&gt;Internet Speed Test</t>
  </si>
  <si>
    <t>Parent/Guardian</t>
  </si>
  <si>
    <t>Education</t>
  </si>
  <si>
    <t>Insurance</t>
  </si>
  <si>
    <t>Family/Household Information</t>
  </si>
  <si>
    <t>Employment</t>
  </si>
  <si>
    <t>Credential or License</t>
  </si>
  <si>
    <t>Professional Development-&gt;Instructor</t>
  </si>
  <si>
    <t>Professional Development Activity</t>
  </si>
  <si>
    <t>Professional Development Activity-&gt;Session</t>
  </si>
  <si>
    <t>Professional Development Activity-&gt;Session - Location</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</si>
  <si>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</si>
  <si>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</si>
  <si>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</si>
  <si>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</si>
  <si>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</si>
  <si>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</si>
  <si>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</si>
  <si>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</si>
  <si>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</si>
  <si>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</si>
  <si>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</si>
  <si>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</si>
  <si>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</si>
  <si>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</si>
  <si>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</si>
  <si>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</si>
  <si>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</si>
  <si>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</si>
  <si>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</si>
  <si>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</si>
  <si>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</si>
  <si>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</si>
  <si>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</si>
  <si>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</si>
  <si>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</si>
  <si>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</si>
  <si>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</si>
  <si>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</si>
  <si>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</si>
  <si>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</si>
  <si>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</si>
  <si>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</si>
  <si>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</si>
  <si>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</si>
  <si>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</si>
  <si>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</si>
  <si>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</si>
  <si>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</si>
  <si>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</si>
  <si>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</si>
  <si>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</si>
  <si>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</si>
  <si>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</si>
  <si>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Immigrant</t>
  </si>
  <si>
    <t>English Learner</t>
  </si>
  <si>
    <t>Migrant</t>
  </si>
  <si>
    <t>Neglected or Delinquent</t>
  </si>
  <si>
    <t>Learner Action</t>
  </si>
  <si>
    <t>Digital Access-&gt;Digital Access Survey</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</si>
  <si>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</si>
  <si>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</si>
  <si>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</si>
  <si>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</si>
  <si>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</si>
  <si>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</si>
  <si>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</si>
  <si>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</si>
  <si>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</si>
  <si>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</si>
  <si>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</si>
  <si>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</si>
  <si>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</si>
  <si>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Organization Accreditation</t>
  </si>
  <si>
    <t>PS Institution</t>
  </si>
  <si>
    <t>IPEDS Reporting</t>
  </si>
  <si>
    <t>Program-&gt;Parental/Family Involvement</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</si>
  <si>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</si>
  <si>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</si>
  <si>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</si>
  <si>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</si>
  <si>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</si>
  <si>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</si>
  <si>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</si>
  <si>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</si>
  <si>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</si>
  <si>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</si>
  <si>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</si>
  <si>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</si>
  <si>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</si>
  <si>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CTE</t>
  </si>
  <si>
    <t>Graduate Student</t>
  </si>
  <si>
    <t>Graduate Student-&gt;Thesis/Dissertation Advisor</t>
  </si>
  <si>
    <t>Teacher Education/Preparation</t>
  </si>
  <si>
    <t>Assessment</t>
  </si>
  <si>
    <t>Program Participation</t>
  </si>
  <si>
    <t>PS Staff</t>
  </si>
  <si>
    <t>Certification</t>
  </si>
  <si>
    <t>PS Program</t>
  </si>
  <si>
    <t>Career and Technical</t>
  </si>
  <si>
    <t>CTE Student</t>
  </si>
  <si>
    <t>Career Education Plan</t>
  </si>
  <si>
    <t>CTE Staff</t>
  </si>
  <si>
    <t>Adult Education</t>
  </si>
  <si>
    <t>AE Provider</t>
  </si>
  <si>
    <t>AE Student</t>
  </si>
  <si>
    <t>AE Staff</t>
  </si>
  <si>
    <t>Credential</t>
  </si>
  <si>
    <t>Experience</t>
  </si>
  <si>
    <t>Workforce Program Participant</t>
  </si>
  <si>
    <t>Training Record</t>
  </si>
  <si>
    <t>Quarterly Employment Record</t>
  </si>
  <si>
    <t>Workforce Program Participation</t>
  </si>
  <si>
    <t>Person Cohort-&gt;Cohort Median Earnings</t>
  </si>
  <si>
    <t>Assessments</t>
  </si>
  <si>
    <t>Goal</t>
  </si>
  <si>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</si>
  <si>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</si>
  <si>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</si>
  <si>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</si>
  <si>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</si>
  <si>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</si>
  <si>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</si>
  <si>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</si>
  <si>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</si>
  <si>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</si>
  <si>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</si>
  <si>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</si>
  <si>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</si>
  <si>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</si>
  <si>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</si>
  <si>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</si>
  <si>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</si>
  <si>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</si>
  <si>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</si>
  <si>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</si>
  <si>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</si>
  <si>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</si>
  <si>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</si>
  <si>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</si>
  <si>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</si>
  <si>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</si>
  <si>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</si>
  <si>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</si>
  <si>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Credentials</t>
  </si>
  <si>
    <t>Credential Award</t>
  </si>
  <si>
    <t>Credential Issuer</t>
  </si>
  <si>
    <t>Credential Definition Agent</t>
  </si>
  <si>
    <t>Credential Definition</t>
  </si>
  <si>
    <t>Credential Offered</t>
  </si>
  <si>
    <t>Competencies</t>
  </si>
  <si>
    <t>Competency Framework</t>
  </si>
  <si>
    <t>Competency Definition</t>
  </si>
  <si>
    <t>Competency Association</t>
  </si>
  <si>
    <t>Competency Set</t>
  </si>
  <si>
    <t>Learning Resources</t>
  </si>
  <si>
    <t>Learning Resource</t>
  </si>
  <si>
    <t>Peer Rating</t>
  </si>
  <si>
    <t>Peer Rating System</t>
  </si>
  <si>
    <t>Facilities</t>
  </si>
  <si>
    <t>Condition</t>
  </si>
  <si>
    <t>Condition-&gt;Component Or Fixture</t>
  </si>
  <si>
    <t>Design</t>
  </si>
  <si>
    <t>Utilization</t>
  </si>
  <si>
    <t>Management</t>
  </si>
  <si>
    <t>Budget and Finance</t>
  </si>
  <si>
    <t>Implementation Variables</t>
  </si>
  <si>
    <t>Report</t>
  </si>
  <si>
    <t>Data Collection</t>
  </si>
  <si>
    <t>Data Process</t>
  </si>
  <si>
    <t>Authentication and Authorization</t>
  </si>
  <si>
    <t>Authentication Identity Provider</t>
  </si>
  <si>
    <t>Authorization Application</t>
  </si>
  <si>
    <t xml:space="preserve"> The category that describes how the student spends his or her time not physically present on school grounds and not participating in instruction or instruction-related activities at an approved off-grounds location.</t>
  </si>
  <si>
    <t xml:space="preserve">An indicator of the category of award conferred by a college, university, or other postsecondary education institution as official recognition for the successful completion of a program of study.   </t>
  </si>
  <si>
    <t>The academic rank of staff whose primary responsibility is instruction, research, and/or public service.  Institutions without standard academic ranks should code staff whose primary responsibility is instruction, research, and/or public service as "No Academic Rank."</t>
  </si>
  <si>
    <t>Element definition and option set defined in IPEDS.  Adjunct is not included since it can be determined from a combination of the elements Instructional Staff Faculty Tenure Status and Full-time Status.</t>
  </si>
  <si>
    <t>Early Learning -&gt; Early Learning Organization -&gt; Accreditation</t>
  </si>
  <si>
    <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</si>
  <si>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Added elements to DES contexts to support Early Learning needs.</t>
  </si>
  <si>
    <t>Adjusted Capacity</t>
  </si>
  <si>
    <t>The maximum number of participants that can be served in a program.</t>
  </si>
  <si>
    <t>Added new element to DES.</t>
  </si>
  <si>
    <t>AdjustedCapacity</t>
  </si>
  <si>
    <t>Adjusted Capacity Reason Type</t>
  </si>
  <si>
    <t xml:space="preserve">Identifies the reason for adjusted capacity in a program. </t>
  </si>
  <si>
    <t>AdjustedCapacityReasonType</t>
  </si>
  <si>
    <t>Early Learning -&gt; Early Learning Organization -&gt; Policies</t>
  </si>
  <si>
    <t>First sentence from IPEDS, not CDS; Second sentence from CDS instructions.  All options except "No" should be able to be collapsed into "Yes" for IPEDS reporting.</t>
  </si>
  <si>
    <t>Course areas for advanced placement or credit.  For a list of codes see http://apcentral.collegeboard.com/apc/public/courses/teachers_corner/index.html .</t>
  </si>
  <si>
    <t xml:space="preserve">The number of credits awarded a student by the postsecondary institution based on successful completion of advanced placement courses and/or advanced placement tests. </t>
  </si>
  <si>
    <t>K12: Use cases support Yes and No as options.  &lt;BR/&gt;&lt;BR/&gt;Postsecondary: &lt;BR/&gt;- Use cases support Yes and Not Selected as options&lt;BR/&gt;- As defined in IPEDS</t>
  </si>
  <si>
    <t>Removed</t>
  </si>
  <si>
    <t>Marked "Annual Measurable Achievement Objective AYP Progress Attainment Status for LEP Students" as "Removed". Element is no longer in use.</t>
  </si>
  <si>
    <t>Marked "Annual Measurable Achievement Objective Proficiency Attainment Status for LEP Students" as "Removed". Element is no longer in use.</t>
  </si>
  <si>
    <t>Marked "Annual Measurable Achievement Objective Progress Attainment Status for LEP Students" as "Removed". Element is no longer in use.</t>
  </si>
  <si>
    <t>The year, month and day on which an individual  application is received by the organization.</t>
  </si>
  <si>
    <t>A typical scenario for an assessment administration is a state-wide administration of an accountability test.  For example, in Florida "Florida Comprehensive Assessment Test".</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</si>
  <si>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</si>
  <si>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t>The standard option set may be extended based on local and implementation-specific requirements.  Commonly used options may be submitted for inclusion in future versions of CEDS.</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</si>
  <si>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</si>
  <si>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Used by states in reporting Kindergarten Entry Assessment (KEA) results as defined for some federal grant programs.&lt;BR/&gt;&lt;BR/&gt;For each domain used by the state, the state would provide:&lt;BR/&gt;- The total number of children who participated in the KEA for each domain&lt;BR/&gt;- The number of children who participated in the KEA for each domain AND was at or above what the state defines as “ready” for kindergarten for that domain.&lt;BR/&gt;&lt;BR/&gt;The counts may be calculated using unit-level data defined for Assessment Subtest (scoring method and what is being measured, e.g. the Domain), related Assessment Performance Levels (e.g. "Ready"), related to each student Assessment Result.</t>
  </si>
  <si>
    <t>The algorithm is typically used to generate the entire assessment form, but there may be cases in which it is used to generate only one part (Assessment Form Section).&lt;br/&gt;&lt;br/&gt;CEDS "Identifier" elements reflect the intent of the XSD:Token format, i.e. a string in which carriage return, line feed, and tab characters have been removed as well as any internal sequences of two or more spaces and any leading or trailing spaces. &lt;br/&gt;&lt;br/&gt; An Identifier MAY be a Universally Unique Identifier (UUID) / Globally Unique Identifier (GUID), i.e.128-bit unique identifiers generated according to the algorithms and encoding standards of RFC 4122.</t>
  </si>
  <si>
    <t>CEDS "GUID" elements are defined as RFC 4122 compliant 32-character hexadecimal strings (36 characters with dashes). For example, 21EC2020-3AEA-1069-A2DD-08002B30309D. &lt;br/&gt;&lt;br/&gt;Values MAY be encoded using a hash function such as HMAC-MD5 or HMAC-SHA1, resulting in a string up to 40 characters.</t>
  </si>
  <si>
    <t>In a hierarchy of subtests, this element represents the level of the sub test in the hierarchy.  The top tier and default is zero.</t>
  </si>
  <si>
    <t>A unique number or alphanumeric code assigned to an assessment by a school, school system, a state, or other agency or entity.  This may be the publisher identifier.</t>
  </si>
  <si>
    <t>Increased Format to Alphanumeric- 100 characters.</t>
  </si>
  <si>
    <t>Outcome variables are declared by outcome declarations. Their value is set either from a default given in the declaration itself or by a responseRule during response processing.  The XML from the IMS Global APIP Specification would be included.</t>
  </si>
  <si>
    <t>Response declarations state what the response variables include.  The response declaration may assign an optional correct response. The XML from the IMS Global APIP Specification would be included.</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</si>
  <si>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</si>
  <si>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The custom interaction provides an opportunity for extensibility of this specification to include support for interactions not currently documented.  The XML from the IMS Global APIP Specification would be included.</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</si>
  <si>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</si>
  <si>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The total amount of time in seconds or milliseconds  that a person spent responding to a given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</si>
  <si>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</si>
  <si>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</si>
  <si>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</si>
  <si>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</si>
  <si>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</si>
  <si>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The Item Response Theory value representing the difficulty of the item.   It is the Theta value for the location of the inflection point of the item characteristic curve.</t>
  </si>
  <si>
    <t>For   polytomous assessment items with more than two possible responses, this is the item response theory value representing the threshold between the first and second item characteristic functions.</t>
  </si>
  <si>
    <t>For   polytomous assessment items with more than two possible responses, this is the item response theory value representing the threshold between the second and third item characteristic functions.</t>
  </si>
  <si>
    <t>For   polytomous assessment items with more than three possible responses, this is the item response theory value representing the threshold between the third and fourth item characteristic functions.</t>
  </si>
  <si>
    <t>For   polytomous assessment items with more than four possible responses, this is the item response theory value representing the threshold between the fourth and fifth item characteristic functions.</t>
  </si>
  <si>
    <t>For   polytomous assessment items with more than five possible responses, this is the item response theory value representing the threshold between the fifth and sixth item characteristic functions.</t>
  </si>
  <si>
    <t>For   polytomous assessment items with more than six possible responses, this is the item response theory value representing the threshold between the sixth and seventh item characteristic functions.</t>
  </si>
  <si>
    <t>The  assessment item result formatted according to the IMS Global QTI  Specification.</t>
  </si>
  <si>
    <t xml:space="preserve"> The text, source (e.g., video clip), and/or graphic about which the assessment item is written. The stimulus provides the context of the item/task to which the student must respond.</t>
  </si>
  <si>
    <t>The CEDS ISO 639-2 Language Code option set comes from the &lt;a href="http://www.loc.gov/standards/iso639-2/langhome.html"&gt;ISO 639-2 standard&lt;/a&gt;, the character encoding in ISO 8859-1 download.  Discontinued codes from the ISO standard are not included in the CEDS list.</t>
  </si>
  <si>
    <t>Added new option to the existing option set.</t>
  </si>
  <si>
    <t>Specifies as part of an Assessment Personal Needs Profile the type of masks the user is able to create  to cover portions of the question until needed.</t>
  </si>
  <si>
    <t>The text string that is to be displayed to the user as an expression of encouragement when Masking is specified as part of an Assessment Personal Needs Profile.  It is left to the system to determine when to display this string.</t>
  </si>
  <si>
    <t>Defines the multiplier to be applied to the time limit to determine the total testing time allowed when Additional Testing Time is specified as part of an Assessment Personal Needs Profile.  If the value is ‘unlimited’ then there is no time limit for the test.</t>
  </si>
  <si>
    <t xml:space="preserve"> 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</si>
  <si>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</si>
  <si>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The overall time a learner actually spent during the  assessment session.</t>
  </si>
  <si>
    <t>For example, the unique identifier of a classroom teacher or school principal.&lt;BR/&gt;&lt;BR/&gt;CEDS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</si>
  <si>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Added and removed options to the existing option set.</t>
  </si>
  <si>
    <t xml:space="preserve"> Informs selection of the assessment form appropriate for the grade level to be tested.</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</si>
  <si>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</si>
  <si>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For paper-based tests this is typically a batch/stack/serial number and for online tests it is likely a unique internal identifier. Used to locate the original attempt.&lt;br/&gt;&lt;br/&gt;CEDS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</si>
  <si>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 xml:space="preserve"> The data type of the assessment result score value.</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</si>
  <si>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</si>
  <si>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</si>
  <si>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</si>
  <si>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A statement intended for use by education professionals, using professional terminology, to interpret learner needs based on the scored/evaluated portion of an assessment.  This statement may inform Descriptive Feedback given to the learner.</t>
  </si>
  <si>
    <t>If this score is preliminary, then this attribute value should be set.  Preliminary scores may be provided for early use by the assessment program or user while final scoring is occurring.</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</si>
  <si>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</si>
  <si>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When associated to an assessment session this is the actual end date and time.  When associated to an individual taking an assessment, this is the actual date and time when the individual finished.</t>
  </si>
  <si>
    <t>When associated to an assessment session this is the actual start date and time.  When associated to an individual taking an assessment, this is the actual date and time when the individual started.</t>
  </si>
  <si>
    <t xml:space="preserve"> The description of the place where an assessment is administered.</t>
  </si>
  <si>
    <t>This could be the identifier for a teacher, a paraprofessional or individual at a testing site.&lt;br/&gt;&lt;br/&gt;CEDS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</si>
  <si>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Early Learning -&gt; Early Learning Organization -&gt; Parental/Family Involvement</t>
  </si>
  <si>
    <t>Assessment Type Administered</t>
  </si>
  <si>
    <t>The type of assessment administered.</t>
  </si>
  <si>
    <t>Changed Name, Definition, and Technical Name to reflect a broader use.</t>
  </si>
  <si>
    <t>AssessmentTypeAdministered</t>
  </si>
  <si>
    <t>Assessment Type Administered to English Learners</t>
  </si>
  <si>
    <t>The types of assessments administered to English Learners.</t>
  </si>
  <si>
    <t>AssessmentTypeAdministeredToEnglishLearners</t>
  </si>
  <si>
    <t>The date after which the  an associated person is no longer allowed to use the specified Authentication Identity Provider to authenticate identity.</t>
  </si>
  <si>
    <t>The date on which the  an associated person may begin to use the specified Authentication Identity Provider to authenticate identity.</t>
  </si>
  <si>
    <t>The Uniform Resource Identifier (URI) of the  Authentication Identity Provider.</t>
  </si>
  <si>
    <t>The date after which the  an associated person is no longer allowed to use the application with the specified role.</t>
  </si>
  <si>
    <t>The date on which the  an associated person  is authorized to start using the application with the specified role.</t>
  </si>
  <si>
    <t xml:space="preserve">Awaiting initial evaluation for special education programs and related services under the Individuals with Disabilities Education Act (IDEA). </t>
  </si>
  <si>
    <t>K12 -&gt; K12 Student -&gt; Digital Access -&gt; Digital Access Survey</t>
  </si>
  <si>
    <t>Early Learning -&gt; Early Learning Staff -&gt; Professional Development</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</si>
  <si>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</si>
  <si>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</si>
  <si>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Early Learning -&gt; Early Learning Staff -&gt; Credential or License</t>
  </si>
  <si>
    <t>Early Learning -&gt; Early Learning Child -&gt; Developmental Assessments</t>
  </si>
  <si>
    <t>Early Learning -&gt; Early Learning Child -&gt; Child Outcome Summary</t>
  </si>
  <si>
    <t xml:space="preserve"> The name of the city in which a person was born.</t>
  </si>
  <si>
    <t>Workforce -&gt; Workforce Program Participation -&gt; Person Cohort -&gt; Cohort Median Earnings</t>
  </si>
  <si>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 &lt;br /&gt;&lt;BR/&gt;&lt;BR/&gt;For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</si>
  <si>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For example: "M.1.N.3"  The code is usually not globally unique and usually has embedded meaning such as a number that represents a grade/level and letters that represent content strands.</t>
  </si>
  <si>
    <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</si>
  <si>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</si>
  <si>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statement.&lt;br/&gt;&lt;br/&gt;&lt;BR/&gt;CEDS "Identifier" elements reflect the intent of the XSD:Token format, i.e. a string in which carriage return, line feed, and tab characters have been removed as well as any internal sequences of two or more spaces and any leading or trailing spaces.&lt;br/&gt;&lt;br/&gt;&lt;BR/&gt;An Identifier MAY be a Universally Unique Identifier (UUID) / Globally Unique Identifier (GUID), i.e.128-bit unique identifiers generated according to the algorithms and encoding standards of RFC 4122.</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</si>
  <si>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</si>
  <si>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</si>
  <si>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</si>
  <si>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Implementations may choose to model this element as a repeatable field to support the case of multiple authors.  Others may just use a comma delimited string for multiple authors.</t>
  </si>
  <si>
    <t>Added elements to DES context to support K12 Implementation.</t>
  </si>
  <si>
    <t>Used to define the completion criteria when Competency Set Completion Criteria is "At Least".  Not used when Competency Set Completion Criteria is "All".</t>
  </si>
  <si>
    <t>The month, day, and year that the condition of a system, component, equipment, or fixture was  checked.</t>
  </si>
  <si>
    <t>Early Learning -&gt; Early Learning Organization -&gt; Licensing</t>
  </si>
  <si>
    <t xml:space="preserve">A classification of whether a postsecondary institution is operated by publicly elected or appointed officials (public control) or by privately elected or appointed officials and derives its major source of funds from private sources (private control). </t>
  </si>
  <si>
    <t>The CEDS Country Code option set comes from the &lt;a href="http://www.iso.org/iso/country_codes.htm"&gt;ISO 3166 standard&lt;/a&gt;, the short name for Officially assigned codes.   Discontinued codes from the ISO standard are not included in the CEDS list.</t>
  </si>
  <si>
    <t xml:space="preserve">The final grade awarded for participation in the course. </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</si>
  <si>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</si>
  <si>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 xml:space="preserve">The type of credit (unit, semester, or quarter) associated with the credit hours earned for the course. </t>
  </si>
  <si>
    <t>Course Level Approval Indicator</t>
  </si>
  <si>
    <t>An indication that there are school or program developed requirements for student participation in the course.</t>
  </si>
  <si>
    <t>This element is used in conjunction with Course Level Characteristic.</t>
  </si>
  <si>
    <t>CourseLevelApprovalIndicator</t>
  </si>
  <si>
    <t>The official reference number portion of a course identifier.  This number normally designates the level of the course as well as the level of the individual expected to enroll in the course.</t>
  </si>
  <si>
    <t xml:space="preserve">The school where the credit was earned if different from the institution reporting. </t>
  </si>
  <si>
    <t xml:space="preserve">The numerical value assigned to a letter grade to provide a basis of quantitative determination of an average. </t>
  </si>
  <si>
    <t xml:space="preserve">The alphabetic abbreviation of the academic department or discipline offering the course. It is one part of the total course identifier number. </t>
  </si>
  <si>
    <t>Option codes and definitions are from the Credential Engine and the ceterms namespace, except the codes use Pascal case in CEDS to follow CEDS conventions and use camel case in the original  ceterms.</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</si>
  <si>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</si>
  <si>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</si>
  <si>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&lt;a href="http://geojson.org/geojson-spec.html#polygon"&gt;http://geojson.org/geojson-spec.html#polygon&lt;/a&gt;</t>
  </si>
  <si>
    <t>See OpenBadges standard example &lt;a href="http://openbadges.github.io/openbadges-specification/#RevocationList"&gt;http://openbadges.github.io/openbadges-specification/#RevocationList&lt;/a&gt;</t>
  </si>
  <si>
    <t>For K-12 a course meeting every day for one period of the school day over the span of a school year typically offers one Carnegie unit. In this case a Carnegie unit is  a measure of "seat time" rather than a measure of attainment of the course objectives.</t>
  </si>
  <si>
    <t>This is similar to "PESC Award Level Type" and "Academic Award Level Conferred" but uses a different controlled vocabulary.  See &lt;a href="https://credreg.net/ctdl/terms/Credential#AudienceLevel"&gt;https://credreg.net/ctdl/terms/Credential#AudienceLevel&lt;/a&gt;.</t>
  </si>
  <si>
    <t>Implementation Variables -&gt; Data Collection</t>
  </si>
  <si>
    <t>Early Learning -&gt; Early Learning Child -&gt; Individualized Program -&gt; Individualized Transition Plan</t>
  </si>
  <si>
    <t xml:space="preserve">An indication that the course is a part of a degree program. </t>
  </si>
  <si>
    <t>Use cases may utilize subsets of the option set.  For example, the option set for Parent/Guardian may not include the "Children's health insurance program" option.</t>
  </si>
  <si>
    <t>The status of a student's referral to or placement into  developmental education.</t>
  </si>
  <si>
    <t>Early Learning -&gt; Early Learning Organization -&gt; Organization Information</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</si>
  <si>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</si>
  <si>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t>Based on the &lt;a href="http://degreeprofile.org"&gt;Degree Qualifications Profile&lt;/a&gt;.</t>
  </si>
  <si>
    <t xml:space="preserve">The number of credits awarded a student by the postsecondary institution based on successful completion of dual credit/dual enrollment courses. </t>
  </si>
  <si>
    <t>Early Learning -&gt; Early Learning Staff -&gt; Education</t>
  </si>
  <si>
    <t>Early Learning -&gt; Early Learning Child -&gt; Services</t>
  </si>
  <si>
    <t>The site or setting in which  early childhood care, education, and/or services are provided.</t>
  </si>
  <si>
    <t>Early Learning Age 2 and Older Capacity</t>
  </si>
  <si>
    <t>The maximum number of children ages two and above that can be served.</t>
  </si>
  <si>
    <t>EarlyLearningAge2AndOlderCapacity</t>
  </si>
  <si>
    <t>Early Learning Age Under 2 Capacity</t>
  </si>
  <si>
    <t>The maximum number of children under the age of two that can be served.</t>
  </si>
  <si>
    <t>EarlyLearningAgeUnder2Capacity</t>
  </si>
  <si>
    <t>Early Learning -&gt; Early Learning Child -&gt; Services -&gt; Application</t>
  </si>
  <si>
    <t>Early Learning -&gt; Early Learning Class/Group</t>
  </si>
  <si>
    <t>Early Learning -&gt; Early Learning Staff -&gt; Employment</t>
  </si>
  <si>
    <t>The oldest age of children a class/group is authorized or licensed to serve.  (Age is specified in months)</t>
  </si>
  <si>
    <t>Early Learning -&gt; Early Learning Organization -&gt; Health Promotion</t>
  </si>
  <si>
    <t>Early Learning -&gt; Early Learning Child -&gt; Eligibility</t>
  </si>
  <si>
    <t>The year, month, and day on which the child is no longer eligible for the  Program.</t>
  </si>
  <si>
    <t xml:space="preserve"> Funds that originate at the State, and not from a federal or local source, that contribute to EL program.</t>
  </si>
  <si>
    <t>The youngest age of children a class/group is authorized or licensed to serve.  (Age is specified in months)</t>
  </si>
  <si>
    <t>Early Learning -&gt; Early Learning Organization -&gt; Directory</t>
  </si>
  <si>
    <t>EDFacts Certification Status</t>
  </si>
  <si>
    <t>An indication of whether an educator holds the certification or licensure required by their assignment.</t>
  </si>
  <si>
    <t>EdFactsCertificationStatus</t>
  </si>
  <si>
    <t xml:space="preserve"> An indication of whether the school or district met the Elementary/Middle Additional Indicator requirement in accordance with state definition for the purpose of determining Adequate Yearly Progress (AYP).</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</si>
  <si>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</si>
  <si>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</si>
  <si>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Removed English Learner Status out of EL Child&gt;Disability.  Created new category called English Learner. Removed Alternate Name</t>
  </si>
  <si>
    <t>Enrollment Capacity</t>
  </si>
  <si>
    <t xml:space="preserve">Maximum number of age-appropriate students who can be enrolled. </t>
  </si>
  <si>
    <t>Enrollment capacity can be collected at a variety of levels, such as classroom, grade, school, and facility.</t>
  </si>
  <si>
    <t>EnrollmentCapacity</t>
  </si>
  <si>
    <t xml:space="preserve">The year, month and day on which a person entered and began to receive instructional services at a postsecondary institution for the first time after completing high school (or its equivalent). </t>
  </si>
  <si>
    <t xml:space="preserve">The circumstances under which the student exited from membership in an educational institution. </t>
  </si>
  <si>
    <t>The purpose of this element is to track the circumstances related to an exit from membership. There are multiple use cases related to this element, some for longitudinal purposes, some for funding, some for live transactional systems. The descriptions and definitions are intended to meet those needs. Four often misunderstood options are explained below:&lt;BR/&gt;  1.  09999 - Other. Other is intended to indicate that CEDS has not yet defined a circumstance in which this exit occurred.&lt;BR/&gt;  2.  03505 - Exited. Unlike "09999 - Other", the "Exited" option is intended to be used for administrative purposes such as a mid-year grade level change. &lt;BR/&gt;  3.  01931 - Not enrolled, unknown status. This is to be used as a placeholder while additional exit information is collected or to track students who are known to have Discontinued Schooling (dropped out) separate from students whose whereabouts are unknown.&lt;BR/&gt;  4.  03502 - Not enrolled, eligible to return. Different than the 01931 code, the status of this student is not unknown; however, the institution is required to exit the student from membership for an extended period. It is expected the student will reenroll in the same institution following this extended period.</t>
  </si>
  <si>
    <t>Added Usage Note.</t>
  </si>
  <si>
    <t>This element will be phased out in version 12. It is being replaced by Enrollment Capacity.</t>
  </si>
  <si>
    <t>Early Learning -&gt; Early Learning Organization -&gt; Facility</t>
  </si>
  <si>
    <t>Early Learning -&gt; Early Learning Family -&gt; Identification</t>
  </si>
  <si>
    <t>Early Learning -&gt; Early Learning Family -&gt; Family/Household Information</t>
  </si>
  <si>
    <t>The unique five-digit number assigned to each federal program as listed in the Assistance Listings. See https://sam.gov/content/assistance-listings</t>
  </si>
  <si>
    <t>Updated definition to change link to sam.gov.</t>
  </si>
  <si>
    <t>Federal Program Subgrant Code</t>
  </si>
  <si>
    <t>An additional code appended to the Federal Program Code used to identify a subgrant of the grant identified by the Federal Program Code.</t>
  </si>
  <si>
    <t>FederalProgramSubgrantCode</t>
  </si>
  <si>
    <t xml:space="preserve"> 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</si>
  <si>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Financial Account Balance Sheet Code</t>
  </si>
  <si>
    <t>Changed name of element and technical name.</t>
  </si>
  <si>
    <t>Based on codes specified in the NCES Handbook &lt;a href="http://nces.ed.gov/pubs2015/fin_acct/chapter6_3.asp"&gt;"Financial Accounting for Local and State School Systems: 2014 Edition"&lt;/a&gt;.</t>
  </si>
  <si>
    <t>FinancialAccountBalanceSheetCode</t>
  </si>
  <si>
    <t>Financial Account Coding System Organization Type</t>
  </si>
  <si>
    <t>The type of organization that created the coding system for the financial account information.</t>
  </si>
  <si>
    <t>FinancialAccountCodingSystemOrganizationType</t>
  </si>
  <si>
    <t>The description for the financial account in an organization's accounting system.</t>
  </si>
  <si>
    <t>Changed definition and added elements to DES contexts to support Early Learning needs.</t>
  </si>
  <si>
    <t>Financial Account Fund Classification</t>
  </si>
  <si>
    <t>Changed element name and technical name and added elements to DES contexts to support Early Learning needs.</t>
  </si>
  <si>
    <t>Based on codes specified in the NCES Handbook &lt;a href="http://nces.ed.gov/pubs2015/fin_acct/chapter6_1.asp"&gt;"Financial Accounting for Local and State School Systems: 2014 Edition"&lt;/a&gt;.</t>
  </si>
  <si>
    <t>FinancialAccountFundClassification</t>
  </si>
  <si>
    <t>Financial Account Local Balance Sheet Code</t>
  </si>
  <si>
    <t>A local code used to describe balance sheet accounts and statement of net position accounts which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</si>
  <si>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FinancialAccountLocalBalanceSheetCode</t>
  </si>
  <si>
    <t>Financial Account Local Fund Classification</t>
  </si>
  <si>
    <t>A local code used to classify a fund which is a separate fiscal and accounting entity with a self-balancing set of accounts recording cash and other financial resources, together with all related liabilities and residual equities or balances or changes therein.</t>
  </si>
  <si>
    <t>FinancialAccountLocalFundClassification</t>
  </si>
  <si>
    <t>Financial Account Local Program Code</t>
  </si>
  <si>
    <t>A local code used to describe a plan of activities and procedures designed to accomplish a predetermined objective or set of objectives.</t>
  </si>
  <si>
    <t>FinancialAccountLocalProgramCode</t>
  </si>
  <si>
    <t>Financial Account Local Revenue Code</t>
  </si>
  <si>
    <t>A local code used to record revenue and other receivables by source.</t>
  </si>
  <si>
    <t>FinancialAccountLocalRevenueCode</t>
  </si>
  <si>
    <t>The name given to the financial account in an organization's accounting system.</t>
  </si>
  <si>
    <t>A number given to a financial account within a local source accounting system. The number may be a concatenation of a standard  prefix for the type of account with digits added that have specific meaning within the local system.</t>
  </si>
  <si>
    <t>Financial Account Program Code</t>
  </si>
  <si>
    <t>A program is a plan of activities and procedures designed to accomplish a predetermined objective or set of objectives. The program classification provides the organization with a framework to classify instructional and other expenditures by program to determine cost.</t>
  </si>
  <si>
    <t>Based on codes specified in the NCES Handbook &lt;a href="http://nces.ed.gov/pubs2015/fin_acct/chapter6_2.asp"&gt;"Financial Accounting for Local and State School Systems: 2014 Edition"&lt;/a&gt;.</t>
  </si>
  <si>
    <t>FinancialAccountProgramCode</t>
  </si>
  <si>
    <t>The name given to the program area in an organization's accounting system.</t>
  </si>
  <si>
    <t>Changed definition. Added elements to DES contexts to support Early Learning needs.</t>
  </si>
  <si>
    <t>A number given to a program area within an organization's accounting system.</t>
  </si>
  <si>
    <t>Financial Account Revenue Code</t>
  </si>
  <si>
    <t>These codes are for recording revenue and other receivables by source.  Major revenue categories have codes ending in 00 and are further subdivided.</t>
  </si>
  <si>
    <t>Based on codes specified in the NCES Handbook &lt;a href="http://nces.ed.gov/pubs2015/fin_acct/chapter6_4.asp"&gt;"Financial Accounting for Local and State School Systems: 2014 Edition"&lt;/a&gt;.&lt;BR/&gt;&lt;BR/&gt;Early Learning: If related to an "in kind" contribution use codes 1920 or 100.</t>
  </si>
  <si>
    <t>FinancialAccountRevenueCode</t>
  </si>
  <si>
    <t>Any applicant who submits any one of the institutionally required financial aid applications/forms, such as the  Free Application for Federal Student Aid (FAFSA).</t>
  </si>
  <si>
    <t>Common Data Set definition.&lt;br/&gt;Element should be used in combination with Financial Aid Applicant Type.</t>
  </si>
  <si>
    <t>Common Data Set definition.  This element may be repeated multiple times.</t>
  </si>
  <si>
    <t>Linked to financial aid award type.   &lt;BR/&gt;Note:  For any given individual this cluster of fields may be repeated multiple times.</t>
  </si>
  <si>
    <t>Linked to financial aid type, financial aid amount.   &lt;BR/&gt;Note:  For any given individual this field may be repeated multiple times.</t>
  </si>
  <si>
    <t>Linked to financial aid type.&lt;BR/&gt;Note:  For any given individual this cluster of fields may be repeated multiple times.</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</si>
  <si>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</si>
  <si>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The school year for which the student's financial aid application and award data apply.  Generally, this is the 12-month period from July 1 to June 30.</t>
  </si>
  <si>
    <t>Financial Expenditure Function Code</t>
  </si>
  <si>
    <t>The function describes the activity for which a service or material object is acquired. The functions of an organization are classified into five broad areas: instruction, support services, operation of non-instructional services, facilities acquisition and construction, and debt service. Functions are further classified into sub functions.</t>
  </si>
  <si>
    <t>Changed element name and technical name. Added elements to DES contexts to support Early Learning needs. Changed definition of element to support other domains.</t>
  </si>
  <si>
    <t>Based on codes specified in the NCES Handbook &lt;a href="http://nces.ed.gov/pubs2015/fin_acct/chapter6_5.asp"&gt;"Financial Accounting for Local and State School Systems: 2014 Edition"&lt;/a&gt;.</t>
  </si>
  <si>
    <t>FinancialExpenditureFunctionCode</t>
  </si>
  <si>
    <t>Financial Expenditure Level of Instruction Code</t>
  </si>
  <si>
    <t>Changed element name and technical name. Added option to the existing option set. Added elements to DES contexts to support Early Learning needs.</t>
  </si>
  <si>
    <t>Based on codes specified in the NCES Handbook &lt;a href="http://nces.ed.gov/pubs2015/fin_acct/chapter6_8.asp"&gt;"Financial Accounting for Local and State School Systems: 2014 Edition"&lt;/a&gt;.</t>
  </si>
  <si>
    <t>FinancialExpenditureLevelofInstructionCode</t>
  </si>
  <si>
    <t>Financial Expenditure Local Function Code</t>
  </si>
  <si>
    <t>A local code used to describe the activity for which a service or material object is acquired.</t>
  </si>
  <si>
    <t>FinancialExpenditureLocalFunctionCode</t>
  </si>
  <si>
    <t>Financial Expenditure Local Level of Instruction Code</t>
  </si>
  <si>
    <t>A local code used to classify the segregation of expenditures by instructional level.</t>
  </si>
  <si>
    <t>FinancialExpenditureLocalLevelOfInstructionCode</t>
  </si>
  <si>
    <t>Financial Expenditure Local Object Code</t>
  </si>
  <si>
    <t>A local code used to describe the service or commodity obtained as the result of a specific expenditure.</t>
  </si>
  <si>
    <t>FinancialExpenditureLocalObjectCode</t>
  </si>
  <si>
    <t>Financial Expenditure Object Code</t>
  </si>
  <si>
    <t>This classification is used to describe the service or commodity obtained as the result of a specific expenditure.  Nine major object categories have codes ending in 00 and are further subdivided.</t>
  </si>
  <si>
    <t>Based on codes specified in the NCES Handbook &lt;a href="http://nces.ed.gov/pubs2015/fin_acct/chapter6_6.asp"&gt;"Financial Accounting for Local and State School Systems: 2014 Edition"&lt;/a&gt;.</t>
  </si>
  <si>
    <t>FinancialExpenditureObjectCode</t>
  </si>
  <si>
    <t>Financial Expenditure Project Reporting Code</t>
  </si>
  <si>
    <t>The project/reporting code permits organizations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</si>
  <si>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Changed element name, technical name, and definition. Added elements to DES contexts to support Early Learning needs.</t>
  </si>
  <si>
    <t>Based on the following code conventions specified in the NCES Handbook &lt;a href="http://nces.ed.gov/pubs2015/fin_acct/chapter6_7.asp"&gt;"Financial Accounting for Local and State School Systems: 2014 Edition"&lt;/a&gt;:&lt;BR/&gt;&lt;BR/&gt;010 to 190 Local Projects. Expenditures that require specialized reporting and are funded from local sources. &lt;BR/&gt;&lt;BR/&gt;200 to 390 State Projects. Expenditures that require specialized reporting for categorically funded state programs.&lt;BR/&gt;&lt;BR/&gt;400 to 990 Federal Projects. Expenditures that require specialized reporting to the federal government directly or through the state.&lt;BR/&gt;&lt;BR/&gt;1000 Noncategorical. Expenditures that do not require specialized reporting.</t>
  </si>
  <si>
    <t>FinancialExpenditureProjectReportingCode</t>
  </si>
  <si>
    <t>Workforce Note: To collect data on workforce program participation, a data match will have to be negotiated between state agencies.  The data match makes use of name, social security number, gender and ethnicity data.</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</si>
  <si>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</si>
  <si>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The year an organization uses for budgeting, accounting, and reporting financials.</t>
  </si>
  <si>
    <t>The frequency at which a service is planned to occur or has occurred.</t>
  </si>
  <si>
    <t>Changed definition. Added usage note. Updated option set. Added elements to DES context to support K12 Implementation.</t>
  </si>
  <si>
    <t>This element is used to describe the planned frequency of services to be delivered and the actual frequency of services delivered.</t>
  </si>
  <si>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</si>
  <si>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Workforce &lt;BR/&gt;Note: To collect data on workforce program participation, a data match will have to be negotiated between state agencies.  The data match makes use of name, social security number, gender and ethnicity data.</t>
  </si>
  <si>
    <t xml:space="preserve">The value of the total quality points divided by the Credit Hours for Grade Point Average. </t>
  </si>
  <si>
    <t>Added and removed options from existing option set.</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</si>
  <si>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</si>
  <si>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Related Connection; linked to High School Grade Point Average Cumulative, Grade Point Average Weighted Indicator, High School Rank, and Size of High School Graduating Class&lt;BR/&gt;0% to 99% (where 99% corresponds to the valedictorian, 0% to the bottom rank in the class)</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</si>
  <si>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</si>
  <si>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An indication of whether homeless children and youth were served by a McKinney-Vento program  in the state.</t>
  </si>
  <si>
    <t>Early Learning -&gt; Early Learning Child -&gt; Individualized Program</t>
  </si>
  <si>
    <t>&lt;a href="http://idea.ed.gov/part-c/statutes"&gt;http://idea.ed.gov/part-c/statutes&lt;/a&gt;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</si>
  <si>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</si>
  <si>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Edited definition to fix mix up.</t>
  </si>
  <si>
    <t xml:space="preserve">The first registration term of a person enrolling in credit-granting courses at a postsecondary institution after completing high school (or its equivalent).  </t>
  </si>
  <si>
    <t>A designation of the type(s) of instruction being delivered by staff whose primary responsibility is instruction.  Instruction that is for "credit" can be applied toward the requirements for a postsecondary degree, diploma, certificate or other formal award.</t>
  </si>
  <si>
    <t>Staff whose primary function/occupational activity is primarily instruction or instruction combined with research and/or public service.  Does not include medical school staff.</t>
  </si>
  <si>
    <t>Interdisciplinary Indicator</t>
  </si>
  <si>
    <t>An indication that the course, projects, and/or learning activities develop knowledge and skills across multiple subject areas and highlight connections between subject area domains, with formal collaboration among teachers across subject areas.</t>
  </si>
  <si>
    <t>InterdisciplinaryIndicator</t>
  </si>
  <si>
    <t>The number of female students who participated on an interscholastic team.  A student should be counted once for each team she was on.</t>
  </si>
  <si>
    <t>The number of male students who participated on an interscholastic team.  A student should be counted once for each team he was on.</t>
  </si>
  <si>
    <t>The number of interscholastic sports in which only female students participate.  Sports include distinct sports such as football, basketball, soccer but not intramural sports or cheerleading.</t>
  </si>
  <si>
    <t>The number of interscholastic sports in which only male students participate.  Sports include distinct sports such as football, basketball, soccer but not intramural sports or cheerleading.</t>
  </si>
  <si>
    <t>The number of interscholastic teams in which only female students participate.  Teams include each competitive level team in each sport, such as freshman team, junior varsity team, and varsity team but not intramural sports or cheerleading.</t>
  </si>
  <si>
    <t>The number of interscholastic teams in which only male students participate.  Teams include each competitive level team in each sport, such as freshman team, junior varsity team, and varsity team but not intramural sports or cheerleading.</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</si>
  <si>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</si>
  <si>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Added new options to the existing option set, updated existing option set.</t>
  </si>
  <si>
    <t>The CEDS ISO 639-3 Language Code option set comes from the &lt;a href="http://www-01.sil.org/iso639-3/default.asp"&gt;ISO 639-3 standard&lt;/a&gt;, the Latin-1 download.  Only living language code types from the ISO standard are included in the CEDS list.  Special scope and discontinued codes are excluded.</t>
  </si>
  <si>
    <t>The CEDS ISO 639-5 Language Family option set comes from the &lt;a href="http://www.loc.gov/standards/iso639-5/index.html"&gt;ISO 639-5 standard&lt;/a&gt;.</t>
  </si>
  <si>
    <t xml:space="preserve">Kindergarten Program Participation Type  </t>
  </si>
  <si>
    <t>Indicates that the organization or class/group has  translation services available .</t>
  </si>
  <si>
    <t xml:space="preserve"> A unique identifier for the person performing the learner action.  The identifier should be encrypted when integrating learning experience data across systems to secure the privacy of the learner.</t>
  </si>
  <si>
    <t>The CEDS Learner Action Type option set comes from the &lt;a href="https://w3id.org/xapi/adl"&gt;ADL Controlled Vocabulary&lt;/a&gt;, xAPI specification.</t>
  </si>
  <si>
    <t>The description and context for the assignment  described in a way that the learner can understand.</t>
  </si>
  <si>
    <t>Note: Prerequisites may also be referenced via an associated Learning Goal and Competency Set (prerequisites for individual competencies).  For some applications enumeration of the detailed prerequisites will have greater utility than a single descriptive field.</t>
  </si>
  <si>
    <t xml:space="preserve"> Options derive primarily from IMS Global's Access for All (AfA) specification, specifically:  apiInteroperable.</t>
  </si>
  <si>
    <t>Specifies the format for a learning resource that is a book.  Other options may be considered for inclusion in the option set.</t>
  </si>
  <si>
    <t xml:space="preserve"> A short description of the Learning Resource.</t>
  </si>
  <si>
    <t>The CEDS ISO 639-2 Language Code option set comes from the &lt;a href="http://www.loc.gov/standards/iso639-2/langhome.html"&gt;ISO 639-2 standard&lt;/a&gt;, the character encoding in ISO 8859-1 download.  Discontinued codes from the ISO standard are not included in the CEDS list.&lt;BR/&gt;Note: For accessible resources LRMI uses language codes from the IETF BCP 47 standard which also refers to ISO 639. (Equivalent of the AfA languageOfAdaptation property.)</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</si>
  <si>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</si>
  <si>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</si>
  <si>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 xml:space="preserve">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 </t>
  </si>
  <si>
    <t>Marked "Limited English Proficiency - Postsecondary" as "Removed". Use "English Learner Status" instead.</t>
  </si>
  <si>
    <t xml:space="preserve">The three-digit unique identifier assigned to the supervisory union by the state.  </t>
  </si>
  <si>
    <t xml:space="preserve">  The classification of education agencies within the geographic boundaries of a state according to the level of administrative and operational control.</t>
  </si>
  <si>
    <t>Option definitions from EDFacts documents &lt;BR/&gt;EDFacts Data Set for School Years 2016-17, 2017-18, and 2018-19 -- Attachment B-2 (February 2016).</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</si>
  <si>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</si>
  <si>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Early Learning -&gt; Early Learning Organization -&gt; Service Partners</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</si>
  <si>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</si>
  <si>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A branch of the U.S. Military applicable for specifying more details when using Military Connected Student Indicator, Military Active Student Indicator,  Military Veteran Student Indicator, and Military Enlistment After Exit elements.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</si>
  <si>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</si>
  <si>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Early Learning -&gt; Early Learning Organization -&gt; Monitoring</t>
  </si>
  <si>
    <t>The elements "Neglected or Delinquent Academic Achievement Indicator" and "Neglected or Delinquent Academic Outcome Indicator" are different, although similarly worded.&lt;BR/&gt;  EDFacts guidance: The Neglected or Delinquent Academic Achievement indicator should only be used for Subpart 1; the Neglected or Delinquent Academic Outcome Indicator should be used for Subpart 2.</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</si>
  <si>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</si>
  <si>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Postsecondary -&gt; PS Student -&gt; Family/Household Information</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</si>
  <si>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</si>
  <si>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Early Learning -&gt; Early Learning Organization -&gt; QRIS Rating</t>
  </si>
  <si>
    <t>&lt;a href="https://www.onetcenter.org/taxonomy.html"&gt;https://www.onetcenter.org/taxonomy.html&lt;/a&gt;</t>
  </si>
  <si>
    <t>Add new option to existing option set. Added Usage Note.</t>
  </si>
  <si>
    <t>Related Body would be used for a use case in which no hierarchy exists, such as a foundation related to a postsecondary institution. Neither organization has authority over the other, but is related to one another.</t>
  </si>
  <si>
    <t>Added new options to existing option set.</t>
  </si>
  <si>
    <t>Early Learning -&gt; Early Learning Child -&gt; Demographic</t>
  </si>
  <si>
    <t xml:space="preserve"> The maximum value allowed by the Peer Rating System.</t>
  </si>
  <si>
    <t>The optimum value allowed by the Peer Rating System.  The optimum or best rating may be the maximum value, the minimum value, or something in between.</t>
  </si>
  <si>
    <t>Perkins English Learner Status</t>
  </si>
  <si>
    <t>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</si>
  <si>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Changed Name, Definition, Technical Name and removed Alternate Name.</t>
  </si>
  <si>
    <t>PerkinsEnglishLearnerStatus</t>
  </si>
  <si>
    <t xml:space="preserve"> The circumstances under which the student exited from enrollment in a postsecondary institution.</t>
  </si>
  <si>
    <t xml:space="preserve">The ages of children not served under IDEA to whom the LEA's pre-kindergarten services are available.  </t>
  </si>
  <si>
    <t>Primary Program Indicator</t>
  </si>
  <si>
    <t>An indication that the associated program is the primary function of this organization.</t>
  </si>
  <si>
    <t>This element is used in conjunction with Program Type.</t>
  </si>
  <si>
    <t>PrimaryProgramIndicator</t>
  </si>
  <si>
    <t>The unique, non-duplicated,  identification number assigned by the registry data system for a session of a particular professional development activity.</t>
  </si>
  <si>
    <t>Early Learning -&gt; Early Learning Organization -&gt; Compensation</t>
  </si>
  <si>
    <t>Early Learning -&gt; Early Learning Organization -&gt; Quality</t>
  </si>
  <si>
    <t>Added elements to DES contexts to support Early Learning and K12 implementation needs.</t>
  </si>
  <si>
    <t>An institution/facility/program that serves more than one programming purpose.  For example, the same facility may run both a juvenile correction program and a juvenile detention program.</t>
  </si>
  <si>
    <t>Early Learning -&gt; Early Learning Organization -&gt; Cultural and Linguistic Diversity</t>
  </si>
  <si>
    <t>Added element to DES contexts and added new options to the existing option set.</t>
  </si>
  <si>
    <t>Project-Based Learning Indicator</t>
  </si>
  <si>
    <t>An indication that an instructional model is being implemented wherein a student learns through answering complex questions or solving for real-world problems. Also called problem-based learning, inquiry-based learning, or learning-by-doing.</t>
  </si>
  <si>
    <t>ProjectBasedLearningIndicator</t>
  </si>
  <si>
    <t>Project-Based Learning Type</t>
  </si>
  <si>
    <t>The type of project-based instruction being offered.</t>
  </si>
  <si>
    <t>Select all that apply.</t>
  </si>
  <si>
    <t>ProjectBasedLearningType</t>
  </si>
  <si>
    <t>Implementation Variables -&gt; Data Process</t>
  </si>
  <si>
    <t>Early Learning -&gt; Early Learning Child -&gt; Referral</t>
  </si>
  <si>
    <t>Identifies the reporter of the incident using  a pre-existing unique student identifier or unique staff identifier, when the reporter is a student or staff member.</t>
  </si>
  <si>
    <t>Identifies an organization responsible for specific educational services and/or instruction based on a type of responsibility  specified in the Responsible Organization Type.</t>
  </si>
  <si>
    <t>This may be used to specify responsibility when the organization is not a school (Responsible School) or school district (Responsible District).&lt;br/&gt;&lt;br/&gt;CEDS "Identifier" elements reflect the intent of the XSD:Token format, i.e. a string in which carriage return, line feed, and tab characters have been removed as well as any internal sequences of two or more spaces and any leading or trailing spaces.&lt;br/&gt;&lt;br/&gt;An Identifier MAY be a Universally Unique Identifier (UUID) / Globally Unique Identifier (GUID), i.e.128-bit unique identifiers generated according to the algorithms and encoding standards of RFC 4122.</t>
  </si>
  <si>
    <t>Text describing  one or more benchmarks that must be met to achieve a degree of achievement on a product, process, or performance task.</t>
  </si>
  <si>
    <t>Pre-defined feedback text to be relayed to the person or organization being evaluated.  This may include guidance and suggestions for improvement or development.</t>
  </si>
  <si>
    <t xml:space="preserve"> The frequency of data collection for performance indicator under the Safe and Drug-Free Schools and Communities Act.</t>
  </si>
  <si>
    <t>Actual performance for the given  indicator of student behavior under the Safe and Drug-Free Schools and Communities Act</t>
  </si>
  <si>
    <t>The targeted performance for the given  indicator of student behavior under the Safe and Drug-Free Schools and Communities Act.</t>
  </si>
  <si>
    <t>Early Learning -&gt; Early Learning Child -&gt; Health -&gt; Well Child Visits</t>
  </si>
  <si>
    <t>An indication of whether an eligible student transferred to the school under the provisions  for public school choice in accordance with Title I, Part A, Section 1116 of ESEA as amended.</t>
  </si>
  <si>
    <t>Added new options to the existing option set. Updated existing options. Added elements to DES contexts to support Early Learning needs.</t>
  </si>
  <si>
    <t>&lt;a href="https://nces.ed.gov/forum/SCED.asp"&gt;https://nces.ed.gov/forum/SCED.asp&lt;/a&gt;</t>
  </si>
  <si>
    <t xml:space="preserve"> The course's level of rigor.</t>
  </si>
  <si>
    <t>This is a compilation of Secondary Course Subject Area and Prior to Secondary Course Subject Area.  This version merges SCED and pSCED.</t>
  </si>
  <si>
    <t>The span is represented by a four-character code with no decimals.  Each grade level from 1 through 12 is represented by a two-digit code, ranging from 01 to 12; kindergarten is represented by the letters KG and prekindergarten by the letters PK.</t>
  </si>
  <si>
    <t xml:space="preserve">The type of education institution as classified by its primary focus. </t>
  </si>
  <si>
    <t>For academic years that span a calendar year this is the four digit year-end.  E.g. 2013 for 2012-2013</t>
  </si>
  <si>
    <t>Short Name of Organization</t>
  </si>
  <si>
    <t>The name of the organization, which could be abbreviated form of the full legally accepted name.</t>
  </si>
  <si>
    <t>Changed name of element, technical name, and definition. Added elements to DES context to all organization domains.</t>
  </si>
  <si>
    <t>ShortNameOfOrganization</t>
  </si>
  <si>
    <t>The full, legally accepted  name of the institution at the site level.</t>
  </si>
  <si>
    <t>Early Learning -&gt; Early Learning Organization -&gt; Site Level Characteristics</t>
  </si>
  <si>
    <t>Special Education Teacher Qualification Status</t>
  </si>
  <si>
    <t>An indication of whether special education teachers are fully certified in the State..</t>
  </si>
  <si>
    <t>SpecialEducationTeacherQualificationStatus</t>
  </si>
  <si>
    <t>Program ensures that policies are in place for  Individualized Education Programs (IEPs) or Individual Family Service Plans (IFSPs) to meet the child's unique needs.</t>
  </si>
  <si>
    <t>Early Learning -&gt; Early Learning Organization -&gt; Inclusion</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</si>
  <si>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</si>
  <si>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Total annualized salary of staff at the specific school/program indicated on the record in the school/program year  specified on the record.</t>
  </si>
  <si>
    <t xml:space="preserve">The actual quantitative or qualitative assessment of a person's performance on a component part that is being evaluated. </t>
  </si>
  <si>
    <t>A Bureau of Labor Statistics coding system for classifying occupations by work performed and, in some cases, on the skills, education and training needed to perform the work at a competent level.  See https://www.bls.gov/soc/2018/major_groups.htm.</t>
  </si>
  <si>
    <t>Added elements to DES contexts to support Early Learning needs. Added new options to the existing option set.</t>
  </si>
  <si>
    <t>A coding scheme that is used for identification and record-keeping purposes to refer to a state agency.</t>
  </si>
  <si>
    <t>Added new options to the existing option set. Changed definition for grammatical error. Added elements to DES contexts to support Early Learning needs.</t>
  </si>
  <si>
    <t>Added new options to the existing option set.</t>
  </si>
  <si>
    <t>Technical assistance may be for organizations or staff depending on context. See the document &lt;a href="https://ceds.ed.gov/pdf/ceds-addresses-professional-development-data-elements.pdf"&gt;https://ceds.ed.gov/pdf/ceds-addresses-professional-development-data-elements.pdf&lt;/a&gt;.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</si>
  <si>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</si>
  <si>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Student Support Service Availability Type</t>
  </si>
  <si>
    <t>The group of students to whom related or ancillary service is offered within the formal educational system or by an outside agency which provides non-instructional service to support the general welfare of students.</t>
  </si>
  <si>
    <t>StudentSupportServiceAvailabilityType</t>
  </si>
  <si>
    <t>An indication of  the number of clock hours (minimum) a student is required to complete associated with a supervised clinical experience.</t>
  </si>
  <si>
    <t>Praxis I: &lt;BR/&gt;Reading&lt;BR/&gt;Mathematics&lt;BR/&gt;Writing&lt;BR/&gt;&lt;BR/&gt;Praxis II:&lt;BR/&gt;Codes at http://www.ets.org/praxis/about/praxisii/content&lt;BR/&gt;&lt;BR/&gt;ACTFL codes at http://www.languagetesting.com/</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</si>
  <si>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</si>
  <si>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The context for this element is the intersection of a teacher assignment to a Class/Section and a student enrollment to a Class/Section.  It may be represented in a data model as a separate entity such as Teacher Student Data Link Exclusion.</t>
  </si>
  <si>
    <t>The role that the Staff Member has been assigned for a Class Section.  (A teacher may have the lead responsibility for one section and serve a supporting role for another section of the same course.)</t>
  </si>
  <si>
    <t>Removed Alternate Name.</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</si>
  <si>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</si>
  <si>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Early Learning -&gt; Early Learning Child -&gt; Health -&gt; Birth/Prenatal</t>
  </si>
  <si>
    <t>Some data systems may require additional information on truancy based on local requirements. For example, capturing students who reach the statutory truancy status but then are in and out of attendance after that point, may require use of &lt;a href="https://ceds.ed.gov/element/000202"&gt;Number of Days in Attendance&lt;/a&gt; in conjunction with Truancy.</t>
  </si>
  <si>
    <t>The published tuition for first time, full-time undergraduate students (lower of in-district or in-state for public institutions).  Tuition may be charged per term, per course, per credit or per program.</t>
  </si>
  <si>
    <t>The component for which tuition is being charged.  It might be a time period (term, quarter, year, etc.) or it might be an entity of education (course, credit hour, etc.).</t>
  </si>
  <si>
    <t>An indication that a childcare, early education, or early learning program, school, institution, program, or course section focuses primarily on instruction in which children and teachers are separated by time and/or location and interact through the use of computers and/or telecommunications technology.</t>
  </si>
  <si>
    <t>Added elements to DES contexts to support Early Learning needs. Changed definition of element to support other domains.</t>
  </si>
  <si>
    <t>An indication of the extent to which a school offers instruction in which students and teachers are separated by time and/or location, and interaction occurs via computers and/or telecommunications technologies.</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</si>
  <si>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</si>
  <si>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001999</t>
  </si>
  <si>
    <t>002000</t>
  </si>
  <si>
    <t>001995</t>
  </si>
  <si>
    <t>001994</t>
  </si>
  <si>
    <t>002001</t>
  </si>
  <si>
    <t>002002</t>
  </si>
  <si>
    <t>001997</t>
  </si>
  <si>
    <t>002012</t>
  </si>
  <si>
    <t>002010</t>
  </si>
  <si>
    <t>002011</t>
  </si>
  <si>
    <t>002007</t>
  </si>
  <si>
    <t>002008</t>
  </si>
  <si>
    <t>002009</t>
  </si>
  <si>
    <t>002003</t>
  </si>
  <si>
    <t>002004</t>
  </si>
  <si>
    <t>002006</t>
  </si>
  <si>
    <t>002005</t>
  </si>
  <si>
    <t>001993</t>
  </si>
  <si>
    <t>002013</t>
  </si>
  <si>
    <t>001991</t>
  </si>
  <si>
    <t>001992</t>
  </si>
  <si>
    <t>001996</t>
  </si>
  <si>
    <t>001998</t>
  </si>
  <si>
    <t xml:space="preserve">Assessments -&gt; Assessment </t>
  </si>
  <si>
    <t xml:space="preserve">K12 -&gt; K12 Staff -&gt; Credential or License </t>
  </si>
  <si>
    <t xml:space="preserve">100 - COVID-19
999 - Other
</t>
  </si>
  <si>
    <t xml:space="preserve">ALTELPASMNTALT - Alternate English language proficiency (ELP) based on alternate ELP achievement standards
REGELPASMNT - Regular English language proficiency (ELP) assessment
</t>
  </si>
  <si>
    <t xml:space="preserve">FC - Fully certified or licensed
NFC - Not fully certified or licensed
</t>
  </si>
  <si>
    <t xml:space="preserve">Other - Other
</t>
  </si>
  <si>
    <t xml:space="preserve">LEA - Local Education Agency
SEA - State Education Agency
</t>
  </si>
  <si>
    <t xml:space="preserve">1000 - Primarily Projects
1001 - Student-developed
1002 - Teacher-developed
9999 - Other
</t>
  </si>
  <si>
    <t xml:space="preserve">SPEDTCHFULCRT - Fully certified
SPEDTCHNFULCRT - Not fully certified
</t>
  </si>
  <si>
    <t xml:space="preserve">100 - All students
102 - English learners
105 - Students from low-income families
104 - Students in Title 1 schools
103 - Students with 504 plan
101 - Students with disabilities
</t>
  </si>
  <si>
    <t xml:space="preserve">Adult Education -&gt; Course Section 
Career and Technical -&gt; Course Section 
Early Learning -&gt; Early Learning Class/Group 
Early Learning -&gt; Early Learning Organization -&gt; Directory 
Early Learning -&gt; Early Learning Organization -&gt; Licensing 
Early Learning -&gt; Early Learning Staff -&gt; Professional Development Activity -&gt; Session 
Facilities -&gt; Facility -&gt; Utilization 
K12 -&gt; Course Section 
K12 -&gt; K12 Staff -&gt; Professional Development Activity -&gt; Session 
Postsecondary -&gt; Course Section </t>
  </si>
  <si>
    <t xml:space="preserve">Adult Education -&gt; Course Section -&gt; Course 
Career and Technical -&gt; Course 
Career and Technical -&gt; Course Section -&gt; Course 
K12 -&gt; Course Section -&gt; Course 
K12 -&gt; K12 Course </t>
  </si>
  <si>
    <t xml:space="preserve">Early Learning -&gt; Early Learning Class/Group 
Early Learning -&gt; Early Learning Organization -&gt; Directory </t>
  </si>
  <si>
    <t xml:space="preserve">Adult Education -&gt; Course Section -&gt; Enrollment 
Career and Technical -&gt; Course Section -&gt; Enrollment 
Career and Technical -&gt; Program 
Early Learning -&gt; Early Learning Organization -&gt; Directory 
Facilities -&gt; Facility -&gt; Utilization 
K12 -&gt; Course Section -&gt; Enrollment 
K12 -&gt; K12 School -&gt; Directory 
K12 -&gt; K12 School -&gt; Session 
K12 -&gt; LEA -&gt; Directory 
K12 -&gt; Program 
Postsecondary -&gt; Course Section -&gt; Enrollment 
Postsecondary -&gt; PS Institution -&gt; Directory </t>
  </si>
  <si>
    <t xml:space="preserve">K12 -&gt; K12 School -&gt; Finance 
K12 -&gt; LEA -&gt; Finance </t>
  </si>
  <si>
    <t xml:space="preserve">K12 -&gt; Course Section 
K12 -&gt; K12 Course 
K12 -&gt; K12 School -&gt; Directory </t>
  </si>
  <si>
    <t xml:space="preserve">Career and Technical -&gt; Program 
K12 -&gt; K12 School -&gt; Directory </t>
  </si>
  <si>
    <t xml:space="preserve">K12 -&gt; K12 School -&gt; Institution Characteristics 
K12 -&gt; K12 Student -&gt; Individualized Program 
K12 -&gt; K12 Student -&gt; Individualized Program -&gt; Services 
K12 -&gt; Program -&gt; Implementation 
Postsecondary -&gt; PS Institution -&gt; Program 
Postsecondary -&gt; PS Student -&gt; Program Participation </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</si>
  <si>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</si>
  <si>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</si>
  <si>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 xml:space="preserve">Mailing - Mailing
Physical - Physical
Shipping - Shipping
</t>
  </si>
  <si>
    <t>Early Learning -&gt; Early Learning Organization -&gt; Address
Early Learning -&gt; Early Learning Organization -&gt; Contact -&gt; Address
Early Learning -&gt; Early Learning Program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</si>
  <si>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 xml:space="preserve">Public - Public School
Private - Private School
Other - Other
</t>
  </si>
  <si>
    <t>Early Learning -&gt; Early Learning Organization -&gt; Identification 
Early Learning -&gt; Early Learning Organization -&gt; Organization Information 
K12 -&gt; K12 School -&gt; Directory
Postsecondary -&gt; PS Institution -&gt; Directory</t>
  </si>
  <si>
    <t>Early Learning -&gt; Early Learning Staff -&gt; Employment 
Postsecondary -&gt; PS Staff -&gt; Employment</t>
  </si>
  <si>
    <t xml:space="preserve">Birth - Birth
Prenatal - Prenatal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</si>
  <si>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Assessments -&gt; Assessment
Assessments -&gt; Assessment Asset
Assessments -&gt; Assessment Form
Assessments -&gt; Assessment Item
Assessments -&gt; Assessment Subtest
Early Learning -&gt; Early Learning Child -&gt; Developmental Assessments</t>
  </si>
  <si>
    <t xml:space="preserve">01043 - No school completed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73083 - Doctor’s degree-professional practice
73084 - Doctor’s degree-other
73085 - Doctor’s degree-research/scholarship
Other - Other
</t>
  </si>
  <si>
    <t xml:space="preserve">00512 - Achievement/proficiency level
00494 - ACT score
00490 - Age score
00491 - C-scaled scores
00492 - College Board examination scores
00493 - Grade equivalent or grade-level indicator
03473 - Graduation score
03474 - Growth/value-added/indexing
03475 - International Baccalaureate score
00144 - Letter grade/mark
00513 - Mastery level
00497 - Normal curve equivalent
00498 - Normalized standard score
00499 - Number score
00500 - Pass-fail
03476 - Percentile
00502 - Percentile rank
00503 - Proficiency level
03477 - Promotion score
00504 - Ranking
00505 - Ratio IQ's
03478 - Raw score
03479 - Scale score
00506 - Standard age score
00508 - Stanine score
00509 - Sten score
00510 - T-score
03480 - Workplace readiness score
00511 - Z-score
09999 - Other
03481 - SAT Score
</t>
  </si>
  <si>
    <t xml:space="preserve">REGASSWOACC - Regular assessments based on grade-level achievement standards without accommodations
REGASSWACC - Regular assessments based on grade-level achievement standards with accommodations
ALTASSGRADELVL - Alternate assessments based on grade-level achievement standards
ALTASSMODACH - Alternate assessments based on modified achievement standards
ALTASSALTACH - Alternate assessments based on alternate achievement standards
AgeLevelWithoutAccommodations - Assessment based on age level standards without accommodations
AgeLevelWithAccommodations - Assessment based on age level standards with accommodations
BelowAgeLevelWithoutAccommodations - Assessment based on standards below age level without accommodations
BelowAgeLevelWithAccommodations - Assessment based on standards below age level with accommodations
</t>
  </si>
  <si>
    <t>Adult Education -&gt; Course Section -&gt; Staff
Career and Technical -&gt; Course Section -&gt; Staff
Early Learning -&gt; Early Learning Class/Group -&gt; Staff 
Early Learning -&gt; Early Learning Staff -&gt; Assignment 
K12 -&gt; Course Section -&gt; Staff
K12 -&gt; K12 Staff -&gt; Assignment
Postsecondary -&gt; Course Section -&gt; Staff</t>
  </si>
  <si>
    <t>Adult Education -&gt; Course Section -&gt; Attendance
Career and Technical -&gt; Course Section -&gt; Attendance
Early Learning -&gt; Early Learning Class/Group 
Early Learning -&gt; Early Learning Staff -&gt; Attendance 
K12 -&gt; Course Section -&gt; Attendance
K12 -&gt; K12 Staff -&gt; Attendance
K12 -&gt; K12 Student -&gt; Attendance</t>
  </si>
  <si>
    <t xml:space="preserve">Present - Present
ExcusedAbsence - Excused Absence
UnexcusedAbsence - Unexcused Absence
Tardy - Tardy
EarlyDeparture - Early Departure
</t>
  </si>
  <si>
    <t xml:space="preserve">Rotation - Rotation model
FlexModel - Flex model
ALaCarte - A La Carte model
EnrichedVirtual - Enriched Virtual model
Other - Other
</t>
  </si>
  <si>
    <t>Adult Education -&gt; Course Section
Career and Technical -&gt; Course Section
Early Learning -&gt; Early Learning Program 
K12 -&gt; Course Section
K12 -&gt; K12 Course
K12 -&gt; K12 School -&gt; Directory</t>
  </si>
  <si>
    <t>Early Learning -&gt; Early Learning Organization -&gt; Address
Early Learning -&gt; Early Learning Program -&gt; Address 
Facilities -&gt; Facility -&gt; Address
K12 -&gt; K12 School -&gt; Address
K12 -&gt; LEA -&gt; Address
K12 -&gt; Organization -&gt; Address
K12 -&gt; SEA -&gt; Address
Postsecondary -&gt; Organization -&gt; Address</t>
  </si>
  <si>
    <t>Early Learning -&gt; Early Learning Child -&gt; Identity -&gt; Identification
Early Learning -&gt; Parent/Guardian -&gt; Relationship 
K12 -&gt; Parent/Guardian -&gt; Relationship</t>
  </si>
  <si>
    <t xml:space="preserve">03187 - Administrative staff
73071 - Co-teacher
04725 - Counselor
73073 - Course Proctor
05973 - Instructor of record
01234 - Intern
73072 - Lead Team Teacher
00069 - Non-instructional staff
09999 - Other
00059 - Paraprofessionals/teacher aides
05971 - Primary instructor
04735 - Resource teacher
05972 - Secondary instructor
73074 - Special Education Consultant
00080 - Student teachers
01382 - Volunteer/no contract
</t>
  </si>
  <si>
    <t>Adult Education -&gt; Course Section
Adult Education -&gt; Course Section -&gt; Staff
Career and Technical -&gt; Course Section
Career and Technical -&gt; Course Section -&gt; Staff
Early Learning -&gt; Early Learning Staff -&gt; Assignment 
K12 -&gt; Course Section
K12 -&gt; Course Section -&gt; Staff
K12 -&gt; K12 Staff -&gt; Assignment</t>
  </si>
  <si>
    <t xml:space="preserve">All - All
AtLeast - At Least
</t>
  </si>
  <si>
    <t xml:space="preserve">Competencies -&gt; Competency Set
K12 -&gt; Program -&gt; Implementation </t>
  </si>
  <si>
    <t>Early Learning -&gt; Early Learning Staff -&gt; Employment 
K12 -&gt; K12 Staff -&gt; Employment</t>
  </si>
  <si>
    <t xml:space="preserve">Multi-year - Multi-year
Annual - Annual
LessThanAnnual - Less than annual
NotApplicable - Not applicable
</t>
  </si>
  <si>
    <t xml:space="preserve">Public - Public
PrivateNFP - Private, not for profit
PrivateFP - Private, for profit
</t>
  </si>
  <si>
    <t>Early Learning -&gt; Early Learning Organization -&gt; Directory 
Postsecondary -&gt; PS Institution -&gt; Directory</t>
  </si>
  <si>
    <t>Adult Education -&gt; Course Section -&gt; Course
Career and Technical -&gt; Course Section -&gt; Course
Early Learning -&gt; Early Learning Class/Group 
Postsecondary -&gt; Course Section -&gt; Course</t>
  </si>
  <si>
    <t xml:space="preserve">Intermediate - Intermediate agency course code
LEA - LEA course code
NCES - NCES Pilot Standard National Course Classification System for Secondary Education Codes
Other - Other
SCED - School Codes for the Exchange of Data (SCED) course code
School - School course code
State - State course code
University - University course code
</t>
  </si>
  <si>
    <t>Adult Education -&gt; Course Section -&gt; Course
Career and Technical -&gt; Course
Career and Technical -&gt; Course Section -&gt; Course
Early Learning -&gt; Early Learning Class/Group 
K12 -&gt; Course Section -&gt; Course
K12 -&gt; K12 Course
K12 -&gt; K12 Student -&gt; Academic Record
K12 -&gt; K12 Student -&gt; Graduation Plan -&gt; Course</t>
  </si>
  <si>
    <t xml:space="preserve">Accelerated - Accelerated
AdultBasic - Adult Basic
AdvancedPlacement - Advanced Placement
Basic - Basic
InternationalBaccalaureate - International Baccalaureate
CollegeLevel - College Level
CollegePreparatory - College Preparatory
GiftedTalented - Gifted and Talented
Honors - Honors
NonAcademic - Non-Academic
SpecialEducation - Special Education
TechnicalPreparatory - Technical Preparatory
Vocational - Vocational
LowerDivision - Lower division
UpperDivision - Upper division
Dual - Dual level
GraduateProfessional - Graduate/Professional
Regents - Regents
Remedial - Remedial/Developmental
K12 - K12
</t>
  </si>
  <si>
    <t>Adult Education -&gt; Course Section
Career and Technical -&gt; Course Section
Early Learning -&gt; Early Learning Class/Group 
Early Learning -&gt; Early Learning Program 
K12 -&gt; Course Section
Postsecondary -&gt; Course Section</t>
  </si>
  <si>
    <t>Early Learning -&gt; Early Learning Class/Group 
K12 -&gt; Course Section -&gt; Enrollment</t>
  </si>
  <si>
    <t>Adult Education -&gt; AE Staff -&gt; Contact -&gt; Address
Adult Education -&gt; AE Staff -&gt; Contact -&gt; Email
Adult Education -&gt; AE Staff -&gt; Contact -&gt; Telephone
Adult Education -&gt; AE Student -&gt; Contact -&gt; Address
Adult Education -&gt; AE Student -&gt; Contact -&gt; Email
Adult Education -&gt; AE Student -&gt; Contact -&gt; Telephone
Career and Technical -&gt; CTE Staff -&gt; Contact -&gt; Address
Career and Technical -&gt; CTE Staff -&gt; Contact -&gt; Email
Career and Technical -&gt; CTE Staff -&gt; Contact -&gt; Telephone
Career and Technical -&gt; CTE Student -&gt; Contact -&gt; Address
Career and Technical -&gt; CTE Student -&gt; Contact -&gt; Email
Career and Technical -&gt; CTE Student -&gt; Contact -&gt; Telephone
Early Learning -&gt; Early Learning Child -&gt; Contact -&gt; Address
Early Learning -&gt; Early Learning Child -&gt; Contact -&gt; Telephone
Early Learning -&gt; Early Learning Organization -&gt; Address
Early Learning -&gt; Early Learning Organization -&gt; Contact -&gt; Address
Early Learning -&gt; Early Learning Organization -&gt; Contact -&gt; Email
Early Learning -&gt; Early Learning Organization -&gt; Contact -&gt; Telephone
Early Learning -&gt; Early Learning Organization -&gt; Telephone
Early Learning -&gt; Early Learning Program -&gt; Address 
Early Learning -&gt; Early Learning Staff -&gt; Contact -&gt; Address
Early Learning -&gt; Early Learning Staff -&gt; Contact -&gt; Email
Early Learning -&gt; Early Learning Staff -&gt; Contact -&gt; Telephone
Early Learning -&gt; Early Learning Staff -&gt; Professional Development -&gt; Instructor
Early Learning -&gt; Early Learning Staff -&gt; Professional Development Activity -&gt; Session - Location
Early Learning -&gt; Parent/Guardian -&gt; Contact -&gt; Address
Early Learning -&gt; Parent/Guardian -&gt; Contact -&gt; Email
Early Learning -&gt; Parent/</t>
  </si>
  <si>
    <t xml:space="preserve">K12 -&gt; K12 Student -&gt; Individualized Program -&gt; Services
K12 -&gt; Program -&gt; Implementation </t>
  </si>
  <si>
    <t xml:space="preserve">HeadStart - Head Start
EarlyHeadStart - Early Head Start
CCDF - Office of Child Care-CCDF
EarlyInterventionPartC - Early Intevention Part C
PartB619 - Special Education Preschool Part B 619
TitleI - Title I
MIECHV - Maternal, Infant, and Early Childhood Home Visiting (MIECHV)
TitleVMCH - Title V Maternal and Child Health (MCH)
PartB611IDEA - Part B 611 Individuals with Disabilities Education Act (IDEA)
PartDIDEA - Part D Individuals with Disabilities Education Act (IDEA)
Medicaid - Medicaid
SCHIP - State Children's Health Insurance Program (SCHIP)
WIC - Special Supplemental Nutrition Program for Women Infants and Children (WIC)
TANF -  Temporary Assistance for Needy Families (TANF)
TitleVHomeVisiting - Title V Home Visiting
SSBG - Social Services Block Grant (SSBG)
ChampusTricare - Champus/Tricare
ImpactAid - Impact Aid
FamilyPreservation - Family Preservation
DropoutPrevention - Dropout Prevention
JuvenileJustice - Juvenile Justice
EHDI - Early Hearing Detection and Intervention
Other - Other
</t>
  </si>
  <si>
    <t>Early Learning -&gt; Early Learning Child -&gt; Finance
Early Learning -&gt; Early Learning Organization -&gt; Finance</t>
  </si>
  <si>
    <t>Adult Education -&gt; AE Staff -&gt; Contact -&gt; Email
Adult Education -&gt; AE Student -&gt; Contact -&gt; Email
Career and Technical -&gt; CTE Staff -&gt; Contact -&gt; Email
Career and Technical -&gt; CTE Student -&gt; Contact -&gt; Email
Early Learning -&gt; Early Learning Child -&gt; Contact -&gt; Email 
Early Learning -&gt; Early Learning Organization -&gt; Contact -&gt; Email
Early Learning -&gt; Early Learning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Postsecondary -&gt; PS Student -&gt; Contact -&gt; Email
Workforce -&gt; Workforce Program Participant -&gt; Contact -&gt; Email</t>
  </si>
  <si>
    <t xml:space="preserve">Home - Home/personal
Work - Work
Organizational - Organizational (school) address
Other - Other
</t>
  </si>
  <si>
    <t>Early Learning -&gt; Early Learning Child -&gt; English Learner 
K12 -&gt; K12 Student -&gt; English Learner</t>
  </si>
  <si>
    <t>Early Learning -&gt; Early Learning Child -&gt; Enrollment
Early Learning -&gt; Early Learning Class/Group 
K12 -&gt; Course Section -&gt; Enrollment
K12 -&gt; K12 Student -&gt; Enrollment
Postsecondary -&gt; PS Student -&gt; Institution Enrollment</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</si>
  <si>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Other - Other
AE - Adult Education
</t>
  </si>
  <si>
    <t xml:space="preserve">Permanent - Permanent
Temporary - Temporary
</t>
  </si>
  <si>
    <t>Early Learning -&gt; Early Learning Class/Group 
K12 -&gt; Course Section -&gt; Enrollment
K12 -&gt; K12 Student -&gt; Enrollment</t>
  </si>
  <si>
    <t>Early Learning -&gt; Early Learning Organization -&gt; Directory 
Facilities -&gt; Facility -&gt; Identification
K12 -&gt; LEA -&gt; Directory</t>
  </si>
  <si>
    <t>Early Learning -&gt; Early Learning Child -&gt; Finance
Early Learning -&gt; Early Learning Organization -&gt; Finance
K12 -&gt; K12 School -&gt; Federal Funds
K12 -&gt; LEA -&gt; Federal Funds
K12 -&gt; SEA -&gt; Federal Funds</t>
  </si>
  <si>
    <t xml:space="preserve">101 - Cash in Bank
102 - Cash on Hand
103 - Petty Cash
104 - Change Cash
105 - Cash With Fiscal Agents
111 - Investments
112 - Unamortized Premiums on Investments
113 - Unamortized Discounts on Investments (Credit)
114 - Interest Receivable on Investments
115 - Accrued Interest on Investments Purchased
121 - Taxes Receivable
122 - Allowance for Uncollectible Taxes (Credit)
131 - Interfund Loans Receivable
132 - Interfund Accounts Receivable
141 - Intergovernmental Accounts Receivable
151 - Loans Receivable
152 - Allowance for Uncollectible Loans (Credit)
153 - Other Accounts Receivable
154 - Allowance for Uncollectible Accounts Receivable (Credit)
171 - Inventories for Consumption
172 - Inventories for Resale
181 - Prepaid Items
191 - Deposits
193 - Bond Insurance Costs
194 - Premium and Discount on Issuance of Bonds
199 - Other Current Assets
200 - Capital Assets
211 - Land and Land Improvements
221 - Site Improvements
222 - Accumulated Depreciation on Site Improvements
231 - Buildings and Building Improvements
232 - Accumulated Depreciation on Buildings and Building Improvements
241 - Machinery and Equipment
242 - Accumulated Depreciation on Machinery and Equipment
251 - Works of Art and Historical Treasures
252 - Accumulated Depreciation on Works of Art and Historical Collections
261 - Infrastructure
262 - Accumulated Depreciation on Infrastructure
271 - Construction in Progress
281 - Intangible Assets
282 - Accumulated Amortization of Intangible Assets
300 - Deferred Outflows of Resources
401 - Interfund Loans Payable
402 - Interfund Accounts Payable
411 - Intergovernmental Accounts Payable
421 - Accounts Payable
422 - Judgments Payable
423 - Warrants Payable
431 - Contracts Payable
432 - Construction Contracts Payable-Retainage
433 - Construction Contracts Payable
441 - Matured Bonds Payable
442 - Bonds Payable-Current
443 - Unamortized Premiums on Issuance of Bonds
451 - Loans Payable
452 - Lease Obligations-Current
455 - Interest Payable
461 - Accrued Salaries and Benefits
471 - Payroll Deductions and Withholdings
472 - Compensated Absences-Current
473 - Accrued Annual Requirement Contribution Liability
481 - Advances from Grantors
491 - Deposits Payable
499 - Other Current Liabilities
500 - Long-Term Liabilities
511 - Bonds Payable
512 - Accreted Interest
513 - Unamortized Gains/Losses on Debt Refundings
521 - Loans Payable
531 - Capital Lease Obligations
551 - Compensated Absences
553 - Special Termination Benefits
561 - Arbitrage Rebate Liability
590 - Other Long-Term Liabilities
600 - Deferred Inflows of Resources
710 - Nonspendable Fund Balance
720 - Restricted Fund Balance
730 - Committed Fund Balance
740 - Assigned Fund Balance
750 - Unassigned Fund Balance
760 - Net Investment in Capital Assets
770 - Restricted Net Position
780 - Unrestricted Net Position
</t>
  </si>
  <si>
    <t xml:space="preserve">Assets - Assets
Liabilities - Liabilities
Equity - Equity
Revenue - Revenue and Other Financing Sources
Expenditures - Expenditures
</t>
  </si>
  <si>
    <t>Early Learning -&gt; Early Learning Organization -&gt; Finance 
Early Learning -&gt; Early Learning Program 
K12 -&gt; K12 School -&gt; Finance
K12 -&gt; LEA -&gt; Finance
K12 -&gt; Program -&gt; Finance
K12 -&gt; SEA -&gt; Finance
Postsecondary -&gt; PS Institution -&gt; Finance</t>
  </si>
  <si>
    <t xml:space="preserve">1 - General Fund
2 - Special Revenue Funds
3 - Capital Projects Funds
4 - Debt Service Funds
5 - Permanent Funds
6 - Enterprise Funds
7 - Internal Service Funds
8 - Trust Funds
9 - Agency Funds
</t>
  </si>
  <si>
    <t>Early Learning -&gt; Early Learning Organization -&gt; Finance 
K12 -&gt; K12 School -&gt; Finance
K12 -&gt; LEA -&gt; Finance
K12 -&gt; Program -&gt; Finance
K12 -&gt; SEA -&gt; Finance</t>
  </si>
  <si>
    <t>Early Learning -&gt; Early Learning Organization -&gt; Finance 
K12 -&gt; K12 School -&gt; Finance
K12 -&gt; LEA -&gt; Finance
K12 -&gt; Program -&gt; Finance
K12 -&gt; SEA -&gt; Finance
Postsecondary -&gt; PS Institution -&gt; Finance</t>
  </si>
  <si>
    <t xml:space="preserve">100 - Regular Elementary/Secondary Education Programs
200 - Special Programs
300 - Vocational and Technical Programs
400 - Other Instructional Programs—Elementary/Secondary
500 - Nonpublic School Programs
600 - Adult/Continuing Education Programs
700 - Community/Junior College Education Programs
800 - Community Services Programs
900 - Cocurricular and Extracurricular Activities
</t>
  </si>
  <si>
    <t xml:space="preserve">1000 - Revenue From Local Sources
1100 - Taxes Levied/Assessed by the School District
1110 - Ad Valorem Taxes (Levied/Assessed by School Districts)
1120 - Sales and Use Taxes (Levied/Assessed by School Districts)
1130 - Income Taxes (Levied/Assessed by School Districts)
1140 - Penalties and Interest on Taxes (Levied/Assessed by School Districts)
1190 - Other Taxes (Levied/Assessed by School Districts)
1200 - Revenue from Local Governmental Units Other Than School Districts
1210 - Ad Valorem Taxes (Received from Other Government Units)
1220 - Sales and Use Tax (Received from Other Government Units)
1230 - Income Taxes (Received from Other Government Units)
1240 - Penalties and Interest on Taxes (Received from Other Government Units)
1280 - Revenue in Lieu of Taxes (Received from Other Government Units)
1290 - Other Taxes (Received from Other Government Units)
1300 - Tuition
1310 - Tuition From Individuals
1311 - Tuition from Individuals Excluding Summer School
1312 - Tuition from Individuals for Summer School
1320 - Tuition from Other Government Sources Within the State
1321 - Tuition from Other School Districts Within the State
1322 - Tuition from Other Government Sources Excluding School Districts Within the State
1330 - Tuition from Other Government Sources Outside the State
1331 - Tuition from School Districts Outside the State
1340 - Tuition from Other Private Sources (Other Than Individuals)
1350 - Tuition from the State/Other School Districts for Voucher Program Students
1400 - Transportation Fees
1410 - Transportation Fees from Individuals
1420 - Transportation Fees from Other Government Sources Within the State
1421 - Transportation Fees from Other School Districts Within the State
1422 - Transportation Fees from Other Government Sources Excluding School Districts Within the State
1430 - Transportation Fees from Other Government Sources Outside the State
1431 - Transportation Fees from Other School Districts Outside the State
1440 - Transportation Fees from Other Private Sources (other than individuals)
1500 - Investment Income
1510 - Interest on Investments
1520 - Dividends on Investments
1530 - Net Increase in the Fair Value of Investments
1531 - Realized Gains (Losses) on Investments
1532 - Unrealized Gains (Losses) on Investments
1540 - Investment Income from Real Property
1600 - Food Services
1610 - Daily Sales-Reimbursable Programs
1611 - Daily Sales-School Lunch Program
1612 - Daily Sales-School Breakfast Program
1613 - Daily Sales-Special Milk Program
1614 - Daily Sales-After-School Programs
1620 - Daily Sales-Nonreimbursable Programs
1630 - Special Functions
1650 - Daily Sales-Summer Food Programs
1700 - District Activities
1710 - Admissions
1720 - Bookstore Sales
1730 - Student Organization Membership Dues and Fees
1740 - Fees
1750 - Revenue From Enterprise Activities
1790 - Other Activity Income
1800 - Revenue From Community Services Activities
1900 - Other Revenue From Local Sources
1910 - Rentals
1920 - Contributions and Donations From Private Sources
1930 - Gains or Losses on the Sale of Capital Assets
1940 - Textbook Sales and Rentals
1941 - Textbook Sales
1942 - Textbook Rentals
1950 - Miscellaneous Revenues From Other School Districts
1951 - Miscellaneous Revenue from Other School Districts Within the State
1952 - Miscellaneous Revenue from Other School Districts Outside the State
1960 - Miscellaneous Revenues from Other Local Governmental Units
1970 - Revenues From Other Departments in the Agency
1980 - Refund of Prior Year's Expenditures
1990 - Miscellaneous Local Revenue
2000 - Revenue From Intermediate Sources
2100 - Unrestricted Grants-in-Aid
2200 - Restricted Grants-in-Aid
2800 - Revenue in Lieu of Taxes
2900 - Revenue for/on Behalf of the School District
3000 - Revenue From State Sources
3100 - Unrestricted Grants-in-Aid
3200 - Restricted Grants-in-Aid
3700 - State Grants Through Intermediate Sources
3800 - Revenue in Lieu of Taxes
3900 - Revenue for/on Behalf of the School District
4000 - Revenue From Federal Sources
4100 - Unrestricted Grants-in-Aid Direct from the Federal Government
4200 - Unrestricted Grants-in-Aid from the Federal Government Through the State
4300 - Restricted Grants-in-Aid Direct From the Federal Government
4500 - Restricted Grants-in-Aid From the Federal Government Through the State
4700 - Grants-in-Aid From the Federal Government Through Other Intermediate Agencies
4800 - Revenue in Lieu of Taxes
4900 - Revenue for/on Behalf of the School District
5000 - Other Financing Sources
5100 - Issuance of Bonds
5110 - Bond Principal
5120 - Premium on the Issuance of Bonds
5200 - Fund Transfers In
5300 - Proceeds From the Disposal of Real or Personal Property
5400 - Loan Proceeds
5500 - Capital Lease Proceeds
5600 - Other Long-Term Debt Proceeds
6000 - Other Revenue Items
6100 - Capital Contributions
6200 - Amortization of Premium on Issuance of Bonds
6300 - Special Items
6400 - Extraordinary Items
</t>
  </si>
  <si>
    <t>Early Learning -&gt; Early Learning Organization -&gt; Finance 
Early Learning -&gt; Early Learning Program
K12 -&gt; K12 School -&gt; Finance
K12 -&gt; LEA -&gt; Finance
K12 -&gt; Program -&gt; Finance
K12 -&gt; SEA -&gt; Finance</t>
  </si>
  <si>
    <t xml:space="preserve">1000 - Instruction
2000 - Support Services
2100 - Support Services-Students
2110 - Attendance and Social Work Services
2120 - Guidance Services
2130 - Health Services
2140 - Psychological Services
2150 - Speech Pathology and Audiology Services
2160 - Occupational Therapy-Related Services
2170 - Physical Therapy-Related Services
2180 - Visually Impaired/Vision Services
2190 - Other Support Services-Student
2200 - Support Services-Instruction
2210 - Improvement of Instruction
2212 - Instruction and Curriculum Development
2213 - Instructional Staff Training
2219 - Other Improvement of Instruction Services
2220 - Library/Media Services
2230 - Instruction-Related Technology
2240 - Academic Student Assessment
2290 - Other Support Services-Instructional Staff
2300 - Support Services-General Administration
2310 - Board of Education
2320 - Executive Administration
2400 - Support Services-School Administration
2410 - Office of the Principal
2490 - Other Support Services-School Administration
2500 - Central Services
2510 - Fiscal Services
2520 - Purchasing, Warehousing, and Distributing Services
2530 - Printing, Publishing, and Duplicating Services
2540 - Planning, Research, Development, and Evaluation Services
2560 - Public Information Services
2570 - Personnel Services
2580 - Administrative Technology Services
2590 - Other Support Services-Central Services
2600 - Operation and Maintenance of Plant
2610 - Operation of Buildings
2620 - Maintenance of Buildings
2630 - Care and Upkeep of Grounds
2640 - Care and Upkeep of Equipment
2650 - Vehicle Operation and Maintenance (Other Than Student Transportation Vehicles)
2660 - Security
2670 - Safety
2680 - Other Operation and Maintenance of Plant
2700 - Student Transportation
2710 - Vehicle Operation
2720 - Monitoring Services
2730 - Vehicle Servicing and Maintenance
2790 - Other Student Transportation Services
2900 - Other Support Services
3000 - Operation of Noninstructional Services
3100 - Food Services Operations
3200 - Enterprise Operations
3300 - Community Services Operations
4000 - Facilities Acquisition and Construction
4100 - Land Acquisition
4200 - Land Improvement
4300 - Architecture and Engineering
4400 - Educational Specifications Development
4500 - Building Acquisition and Construction
4600 - Site Improvements
4700 - Building Improvements
4900 - Other Facilities Acquisition and Construction
5000 - Debt Service
</t>
  </si>
  <si>
    <t xml:space="preserve">10 - Elementary
11 - Prekindergarten
12 - Kindergarten
19 - Other Elementary
20 - Middle
30 - Secondary
37 - Elementary and Secondary Combined
40 - Postsecondary
41 - Programs for Adult/Continuing
42 - Community/Junior College
50 - School Wide
60 - Early Learning Program
</t>
  </si>
  <si>
    <t xml:space="preserve">100 - Personal Services-Salaries
101 - Salaries Paid to Teachers
102 - Salaries Paid to Instructional Aides or Assistants
103 - Salaries Paid to Substitute Teachers
110 - Salaries of Regular Employees
111 - Salaries of Regular Employees Paid to Teachers
112 - Salaries of Regular Employees Paid to Instructional Aides and Assistants
113 - Salaries of Regular Employees Paid to Substitute Teachers
120 - Salaries of Temporary Employees
121 - Salaries of Temporary Employees Paid to Teachers
122 - Salaries of Temporary Employees Paid to Instructional Aides and Assistants
123 - Salaries of Temporary Employees Paid to Substitute Teachers
130 - Salaries for Overtime
131 - Salaries for Overtime Employees Paid to Teachers
132 - Salaries for Overtime Employees Paid to Instructional Aides and Assistants
133 - Salaries for Overtime Employees Paid to Substitute Teachers
140 - Salaries for Sabbatical Leave
141 - Salaries for Sabbatical Leave Paid to Teachers
142 - Salaries for Sabbatical Leave Paid to Instructional Aides and Assistants
143 - Salaries for Sabbatical Leave Paid to Substitute Teachers
150 - Additional Compensation Such as Bonuses or Incentives
151 - Additional Compensation Paid to Teachers
152 - Additional Compensation Paid to Instructional Aides and Assistants
153 - Additional Compensation Paid to Substitute Teachers
200 - Personal Services-Employee Benefits
201 - Employee Benefits for Teachers
202 - Employee Benefits for Instructional Aides or Assistants
203 - Employee Benefits for Substitute Teachers
210 - Group Insurance
211 - Group Insurance for Teachers
212 - Group Insurance for Instructional Aides or Assistants
213 - Group Insurance for Substitute Teachers
220 - Social Security Contributions
221 - Social Security Payments for Teachers
222 - Social Security Payments for Instructional Aides or Assistants
223 - Social Security Payments for Substitute Teachers
230 - Retirement Contributions
231 - Retirement Contributions for Teachers
232 - Retirement Contributions for Instructional Aides or Assistants
233 - Retirement Contributions for Substitute Teachers
240 - On-Behalf Payments
241 - On-Behalf Payments for Teachers
242 - On-Behalf Payments for Instructional Aides or Assistants
243 - On-Behalf Payments for Substitute Teachers
250 - Tuition Reimbursement
251 - Tuition Reimbursement for Teachers
252 - Tuition Reimbursement for Instructional Aides or Assistants
253 - Tuition Reimbursement for Substitute Teachers
260 - Unemployment Compensation
261 - Unemployment Compensation Paid for Teachers
262 - Unemployment Compensation Paid for Instructional Aides or Assistants
263 - Unemployment Compensation Paid for Substitute Teachers
270 - Workers' Compensation
271 - Worker's Compensation Paid for Teachers
272 - Worker's Compensation Paid for Instructional Aides or Assistants
273 - Worker's Compensation for Substitute Teachers
280 - Health Benefits
281 - Health Benefits Paid for Teachers
282 - Health Benefits Paid for Instructional Aides or Assistants
283 - Health Benefits Paid for Substitute Teachers
290 - Other Employee Benefits
291 - Other Employee Benefits Paid for Teachers
292 - Other Employee Benefits Paid for Instructional Aides or Assistants
293 - Other Employee Benefits for Substitute Teachers
300 - Purchased Professional and Technical Services
310 - Official/Administrative Services
320 - Professional Educational Services
330 - Employee Training and Development Services
340 - Other Professional Services
350 - Technical Services
351 - Data-Processing and Coding Services
352 - Other Technical Services
400 - Purchased Property Services
410 - Utility Services
420 - Cleaning Services
430 - Repairs and Maintenance Services
431 - Non-Technology-Related Repairs and Maintenance
432 - Technology-Related Repairs and Maintenance
440 - Rentals
441 - Rentals of Land and Buildings
442 - Rentals of Equipment and Vehicles
443 - Rentals of Computers and Related Equipment
450 - Construction Services
490 - Other Purchased Property Services
500 - Other Purchased Services
510 - Student Transportation Services
511 - Student Transportation Purchased From Another School District Within the State
512 - Student Transportation Purchased From Another School District Outside the State
519 - Student Transportation Purchased From Other Sources
520 - Insurance (Other Than Employee Benefits)
530 - Communications
540 - Advertising
550 - Printing and Binding
560 - Tuition
561 - Tuition to Other School Districts (Excluding Charter Schools) Within the State
562 - Tuition to Other School Districts (Including Charter Schools) Outside the State
563 - Tuition to Private Schools
564 - Tuition to Charter Schools Within the State
565 - Tuition to Postsecondary Schools
566 - Voucher Payments to Private Schools and to Other School Districts Outside the State
567 - Voucher Payments to School Districts, including Charter Schools, Within the State
568 - Voucher Payments Directly to Individuals
569 - Tuition-Other
570 - Food Service Management
580 - Travel
590 - Interagency Purchased Services
591 - Services Purchased From Another School District or Educational Services Agency Within the State
592 - Services Purchased From Another School District or Educational Services Agency Outside the State
600 - Supplies
610 - General Supplies
620 - Energy
621 - Natural Gas
622 - Electricity
623 - Bottled Gas
624 - Oil
625 - Coal
626 - Gasoline
629 - Other
630 - Food
640 - Books and Periodicals
650 - Supplies-Technology Related
700 - Property
710 - Land and Land Improvements
720 - Buildings
730 - Equipment
731 - Machinery
732 - Vehicles
733 - Furniture and Fixtures
734 - Technology-Related Hardware
735 - Technology Software
739 - Other Equipment
740 - Infrastructure
750 - Intangible Assets
790 - Depreciation and Amortization
800 - Debt Service and Miscellaneous
810 - Dues and Fees
820 - Judgments Against the School District
830 - Debt-Related Expenditures/Expenses
831 - Redemption of Principal
832 - Interest on Long-Term Debt
833 - Bond Issuance and Other Debt-Related Costs
834 - Amortization of Premium and Discount on Issuance of Bonds
835 - Interest on Short-Term Debt
890 - Miscellaneous Expenditures
900 - Other Items
910 - Fund Transfers Out
920 - Payments to Escrow Agents for Defeasance of Debt
925 - Discount on the Issuance of Bonds
930 - Net Decreases in the Fair Value of Investments
931 - Realized Losses on Investments
932 - Unrealized Losses on Investments
940 - Losses on the Sale of Capital Assets
950 - Special Items
960 - Extraordinary Items
</t>
  </si>
  <si>
    <t>Early Learning -&gt; Early Learning Child -&gt; Services 
K12 -&gt; K12 Student -&gt; Individualized Program -&gt; Services</t>
  </si>
  <si>
    <t xml:space="preserve">Daily - Daily
Weekly - Weekly
Monthly - Monthly
Quarterly - Quarterly
Annually - Annually
OneTime - One Time
</t>
  </si>
  <si>
    <t xml:space="preserve">Early Learning -&gt; Early Learning Child -&gt; Services
K12 -&gt; K12 Student -&gt; Program 
K12 -&gt; LEA -&gt; Programs and Services 
K12 -&gt; Program -&gt; Implementation </t>
  </si>
  <si>
    <t xml:space="preserve">Minute - Minute
Hour - Hour
Day - Day
Week - Week
Month - Month
Year - Year
</t>
  </si>
  <si>
    <t xml:space="preserve">Full-time - Full-time
Part-time - Part-time
</t>
  </si>
  <si>
    <t xml:space="preserve">Assessments -&gt; Goal
Early Learning -&gt; Early Learning Child -&gt; Individualized Program -&gt; Goal
K12 -&gt; K12 Student -&gt; Individualized Program -&gt; Goal
K12 -&gt; K12 Student -&gt; Individualized Program -&gt; Progress Report -&gt; Goal
K12 -&gt; Program -&gt; Implementation </t>
  </si>
  <si>
    <t xml:space="preserve">K12 -&gt; K12 Student -&gt; Individualized Program -&gt; Goal
K12 -&gt; Program -&gt; Implementation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</si>
  <si>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Other - Other
OutOfSchool - Out of school
AE - Adult Education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</si>
  <si>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</si>
  <si>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Early Learning -&gt; Early Learning Child -&gt; Individualized Program
K12 -&gt; K12 Student -&gt; Individualized Program
K12 -&gt; K12 Student -&gt; Individualized Program -&gt; IDEA Placement</t>
  </si>
  <si>
    <t xml:space="preserve">K12 -&gt; K12 School -&gt; Session
K12 -&gt; Program -&gt; Implementation </t>
  </si>
  <si>
    <t xml:space="preserve">LessThan9-Month - Less than 9-Month
9-Month - 9-Month
10-Month - 10-Month
11-Month - 11-Month
12-Month - 12-Month
</t>
  </si>
  <si>
    <t>Early Learning -&gt; Early Learning Staff -&gt; Attendance 
Postsecondary -&gt; PS Staff -&gt; Employment</t>
  </si>
  <si>
    <t xml:space="preserve">HighSpeed - High speed connectivity
LessThanHighSpeed - Less than high speed connectivity
</t>
  </si>
  <si>
    <t>Early Learning -&gt; Early Learning Organization -&gt; Directory 
K12 -&gt; K12 School -&gt; Directory</t>
  </si>
  <si>
    <t xml:space="preserve">01 - Postsecondary Teacher:   Instruction
02 - Postsecondary Teacher:  Instruction/Research/Public Service
03 - Postsecondary Teacher:  Research
04 - Postsecondary Teacher:  Public Service
05 - Archivists, Curators, and Museum Technicians
06 - Librarians
07 - Librarian Technicians
08 - Non-Postsecondary Teachers
09 - Management Occupations
10 - Business and Financial Occupations
11 - Computer, Engineering and Science Occupations
12 - Community Service, Legal, Arts, and Media Occupations
13 - Healthcare Practitioners and Technical Occupations
14 - Service Occupations
15 - Sales and Related Occupations
16 - Office and Administrative Support Occupations
17 - Natural Resources, Construction
18 - Maintenance Occupations
</t>
  </si>
  <si>
    <t>Adult Education -&gt; AE Staff -&gt; Language
Adult Education -&gt; AE Student -&gt; Language
Assessments -&gt; Assessment
Assessments -&gt; Assessment Asset
Career and Technical -&gt; CTE Staff -&gt; Language
Career and Technical -&gt; CTE Student -&gt; Language
Early Learning -&gt; Early Learning Child -&gt; Language
Early Learning -&gt; Early Learning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</si>
  <si>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Early Learning -&gt; Early Learning Staff -&gt; Assignment 
K12 -&gt; K12 Staff -&gt; Assignment</t>
  </si>
  <si>
    <t xml:space="preserve">AdministrativeSupportStaff - Administrative Support Staff
Administrators - Administrators
AllOtherSupportStaff - All Other Support Staff 
BehavioralSpecialists - Behavioral Specialists
ELAssistantTeachers - Early Learning Assistant Teachers
ELTeachers - Early Learning Teachers
ElementaryTeachers - Elementary Teachers
FamilyServiceWorkers - Family Service Workers
HealthSpecialists - Health Specialists
HomeVisitors - Home Visitors
InstructionalCoordinators - Instructional Coordinators
KindergartenTeachers - Kindergarten Teachers
LibraryMediaSpecialists - Librarians/Media Specialists
LibraryMediaSupportStaff - Library/Media Support Staff
MentalHealthSpecialists - Mental Health Specialists
NutritionSpecialists - Nutrition Specialists
Paraprofessionals - Paraprofessionals
PartCEarlyInterventionists - Part C Early Interventionists
PartCServiceCoordinators - Part C Service Coordinators
SchoolCounselors - School Counselors
SecondaryTeachers - Secondary Teachers
SocialWorkers - Social Workers
SpecialEducationTeachers - Special Education Teachers
SpecialNeedsSpecialists - Special Needs Specialists
StudentSupportServicesStaff - Student Support Services Staff
UngradedTeachers - Ungraded Teachers
PrekindergartenTeachers - Pre-kindergarten Teachers
SchoolPsychologist - School Psychologist
</t>
  </si>
  <si>
    <t>Early Learning -&gt; Early Learning Staff -&gt; Employment 
K12 -&gt; K12 Staff -&gt; Assignment</t>
  </si>
  <si>
    <t xml:space="preserve">Administrative - Administrative
AnnualLeave - Annual leave
Bereavement - Bereavement
CompensatoryLeaveTime - Compensatory leave time
FamilyAndMedicalLeave - Family and medical leave
FlexTime - Flex time
GovernmentRequested - Government-requested
JuryDuty - Jury Duty
MilitaryLeave - Military leave
Other - Other
Personal - Personal
ProfessionalDevelopment - Professional development
ReleaseTime - Release time
SabbaticalLeave - Sabbatical leave
SickLeave - Sick leave
Suspension - Suspension
WorkersCompensation - Workers compensation
</t>
  </si>
  <si>
    <t>Early Learning -&gt; Early Learning Staff -&gt; Attendance 
K12 -&gt; K12 Staff -&gt; Attendance
Postsecondary -&gt; PS Staff -&gt; Attendance</t>
  </si>
  <si>
    <t xml:space="preserve">District - District-assigned number
ACT - College Board/ACT program code set of PK-grade 12 institutions
SEA - State Education Agency assigned number
NCES - National Center for Education Statistics assigned number
Federal - Federal identification number
DUNS - Dun and Bradstreet number
CENSUSID - Census Bureau identification code
OtherFederal - Other federally assigned number
Other - Other
SAM - System for Award Management Unique Entity Identifier
</t>
  </si>
  <si>
    <t>Assessments -&gt; Assessment Administration
Assessments -&gt; Assessment Registration
Assessments -&gt; Assessment Session
Early Learning -&gt; Early Learning Organization -&gt; Identification 
K12 -&gt; K12 Staff -&gt; Assignment
K12 -&gt; K12 Student -&gt; Enrollment
K12 -&gt; LEA -&gt; Identification
Postsecondary -&gt; PS Student -&gt; K12 Transcript</t>
  </si>
  <si>
    <t xml:space="preserve">Open - Open
Closed - Closed
New - New
Added - Added
ChangedBoundary - Changed boundary
Inactive - Inactive
FutureAgency - Future agency
Reopened - Reopened
</t>
  </si>
  <si>
    <t>Early Learning -&gt; Early Learning Organization -&gt; Directory 
K12 -&gt; LEA -&gt; Directory</t>
  </si>
  <si>
    <t xml:space="preserve">RegularNotInSupervisoryUnion - Regular public school district that is NOT a component of a supervisory union
RegularInSupervisoryUnion - Regular public school district that is a component of a supervisory union
SupervisoryUnion -  Supervisory Union
SpecializedPublicSchoolDistrict - Specialized Public School District
ServiceAgency - Service Agency
StateOperatedAgency - State Operated Agency
FederalOperatedAgency - Federal Operated Agency
Other - Other Local Education Agencies
IndependentCharterDistrict - Independent Charter District
</t>
  </si>
  <si>
    <t xml:space="preserve">NotMilitaryConnected - Not Military Connected
ActiveDuty - Active Duty
NationalGuardOrReserve - National Guard Or Reserve
Unknown - Unknown
</t>
  </si>
  <si>
    <t>Early Learning -&gt; Early Learning Child -&gt; Demographic 
K12 -&gt; K12 Student -&gt; Demographic
Postsecondary -&gt; PS Student -&gt; Status</t>
  </si>
  <si>
    <t>Adult Education -&gt; AE Provider
Adult Education -&gt; AE Staff -&gt; Education
Early Learning -&gt; Early Learning Organization -&gt; Identification 
Early Learning -&gt; Early Learning Staff -&gt; Education
K12 -&gt; K12 School -&gt; Identification
K12 -&gt; K12 Staff -&gt; Education
Postsecondary -&gt; PS Institution -&gt; Directory
Postsecondary -&gt; PS Staff -&gt; Education
Postsecondary -&gt; PS Student -&gt; Institution Enrollment -&gt; Prior Academic Award
Postsecondary -&gt; PS Student -&gt; K12 Transcript</t>
  </si>
  <si>
    <t xml:space="preserve">NSLPCEO - Community Eligibility Option
NSLPNO - Not Participating
NSLPWOPRO - Participating Without Provision or Community Eligibility Option
NSLPPRO1 - Provision 1
NSLPPRO2 - Provision 2
NSLPPRO3 - Provision 3
</t>
  </si>
  <si>
    <t>Early Learning -&gt; Early Learning Organization -&gt; Site Level Characteristics 
K12 -&gt; K12 School -&gt; Institution Characteristics</t>
  </si>
  <si>
    <t>Early Learning -&gt; Early Learning Child -&gt; Enrollment 
Early Learning -&gt; Early Learning Class/Group 
K12 -&gt; Course Section -&gt; Enrollment
K12 -&gt; K12 Student -&gt; Attendance
Postsecondary -&gt; PS Staff -&gt; Attendance</t>
  </si>
  <si>
    <t>Early Learning -&gt; Early Learning Child -&gt; Enrollment
Early Learning -&gt; Early Learning Child -&gt; Enrollment 
Early Learning -&gt; Early Learning Class/Group 
K12 -&gt; Course Section -&gt; Enrollment
K12 -&gt; K12 Student -&gt; Attendance</t>
  </si>
  <si>
    <t xml:space="preserve">Early Learning -&gt; Early Learning Organization 
K12 -&gt; K12 School -&gt; Directory
K12 -&gt; LEA -&gt; Directory
K12 -&gt; Organization 
K12 -&gt; Program 
Postsecondary -&gt; PS Institution -&gt; Directory </t>
  </si>
  <si>
    <t xml:space="preserve">School - School-assigned number
ACT - College Board/ACT program code set of PK-grade 12 institutions
LEA - Local Education Agency assigned number
SEA - State Education Agency assigned number
NCES - National Center for Education Statistics assigned number
FEIN - Federal employer identification number
DUNS - Dun and Bradstreet number
OtherFederal - Other federally assigned number
Other - Other
LicenseNumber - License Number
SAM - System for Award Management Unique Entity Identifier
</t>
  </si>
  <si>
    <t>Credentials -&gt; Credential Award -&gt; Credential Issuer
Credentials -&gt; Credential Definition Agent
Credentials -&gt; Credential Offered
Early Learning -&gt; Early Learning Child -&gt; Enrollment
Early Learning -&gt; Early Learning Child -&gt; Program
Early Learning -&gt; Early Learning Organization -&gt; Identification
Early Learning -&gt; Early Learning Program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K12 -&gt; Organization -&gt; Identification
K12 -&gt; Program
Postsecondary -&gt; Organization -&gt; Identification</t>
  </si>
  <si>
    <t>Credentials -&gt; Credential Award -&gt; Credential Issuer
Credentials -&gt; Credential Definition Agent
Credentials -&gt; Credential Offered
Early Learning -&gt; Early Learning Organization -&gt; Identification
Early Learning -&gt; Early Learning Program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K12 -&gt; Organization -&gt; Identification
K12 -&gt; Program
Postsecondary -&gt; Organization -&gt; Identification</t>
  </si>
  <si>
    <t>Early Learning -&gt; Early Learning Organization -&gt; Identification
Early Learning -&gt; Early Learning Program 
Early Learning -&gt; Early Learning Staff -&gt; Employment
Facilities -&gt; Facility -&gt; Identification
K12 -&gt; LEA -&gt; Identification
K12 -&gt; Organization -&gt; Identification
K12 -&gt; Program
K12 -&gt; SEA -&gt; Identification
Postsecondary -&gt; Organization -&gt; Identification</t>
  </si>
  <si>
    <t xml:space="preserve">Active - Active
Inactive - Inactive
</t>
  </si>
  <si>
    <t>Early Learning -&gt; Early Learning Organization
Early Learning -&gt; Early Learning Program 
K12 -&gt; Organization
K12 -&gt; Program
Postsecondary -&gt; Organization</t>
  </si>
  <si>
    <t xml:space="preserve">AuthorizingBody - Authorizing Body
OperatingBody - Operating Body
SecondaryAuthorizingBody - Secondary Authorizing Body
RelatedBody - Related Body
</t>
  </si>
  <si>
    <t>Early Learning -&gt; Early Learning Organization -&gt; Identification
Facilities -&gt; Facility -&gt; Identification
K12 -&gt; K12 School -&gt; Identification
K12 -&gt; LEA -&gt; Identification
K12 -&gt; Organization -&gt; Identification
K12 -&gt; SEA -&gt; Identification
Postsecondary -&gt; Organization -&gt; Identification</t>
  </si>
  <si>
    <t xml:space="preserve">Employer - Employer
K12School - K12 School
LEA - Local Education Agency (LEA)
IEU - Intermediate Educational Unit (IEU)
SEA - State Education Agency (SEA)
Recruiter - Recruiter
EmployeeBenefitCarrier - Employee Benefit Carrier
EmployeeBenefitContributor - Employee Benefit Contributor
ProfessionalMembershipOrganization - Professional Membership Organization
EducationInstitution - Education Institution
StaffDevelopmentProvider - Staff Development Provider
Facility - Facility
Course - Course
CourseSection - Course Section
Program - Program
PostsecondaryInstitution - Postsecondary Institution
AdultEducationProvider - Adult Education Provider
ServiceProvider - Service Provider
AffiliatedInstitution - Affiliated Institution
GoverningBoard - Governing Board
CredentialingOrganization - Credentialing Organization
AccreditingOrganization - Accrediting Organization
EducationOrganizationNetwork - Education Organization Network
IDEAPartCLeadAgency -  IDEA Part C Lead Agency
CharterSchoolManagementOrganization - Charter School Management Organization
CharterSchoolAuthorizingOrganization - Charter School Authorizing Organization
EmergencyResponseAgency - Emergency Response Agency
EarlyCollege - Early College
Campus - Campus
PostsecondarySystem - Postsecondary System
SHEEOAgency - SHEEO Agency
</t>
  </si>
  <si>
    <t xml:space="preserve">SSN - Social Security Administration number
USVisa - US government Visa number
PIN - Personal identification number
Federal - Federal identification number
DriversLicense - Driver's license number
Medicaid - Medicaid number
HealthRecord - Health record number
ProfessionalCertificate - Professional certificate or license number
School - School-assigned number
District - District-assigned number
State - State-assigned number
Institution - Institution-assigned number
OtherFederal - Other federally assigned number
SelectiveService - Selective Service Number
CanadianSIN - Canadian Social Insurance Number
Other - Other
</t>
  </si>
  <si>
    <t>Assessments -&gt; Assessment Result -&gt; Scorer
Credentials -&gt; Credential Award -&gt; Credential Issuer
Credentials -&gt; Credential Definition Agent
Early Learning -&gt; Parent/Guardian -&gt; Identity -&gt; Identification
Early Learning -&gt; Parent/Guardian -&gt; Relationship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</si>
  <si>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 xml:space="preserve">Address - Address
Birthdate - Birthdate
Name - Name
TelephoneNumber - Telephone Number
</t>
  </si>
  <si>
    <t>Adult Education -&gt; AE Staff -&gt; Identity -&gt; Identification
Adult Education -&gt; AE Student -&gt; Identity -&gt; Identification
Career and Technical -&gt; CTE Staff -&gt; Identity -&gt; Identification
Career and Technical -&gt; CTE Student -&gt; Identity -&gt; Identification
Early Learning -&gt; Early Learning Child -&gt; Identity -&gt; Identification
Early Learning -&gt; Early Learning Staff -&gt; Identity -&gt; Identification 
Early Learning -&gt; Parent/Guardian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</si>
  <si>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 xml:space="preserve">01003 - Baptismal or church certificate
01004 - Birth certificate
01012 - Driver's license
01005 - Entry in family Bible
01006 - Hospital certificate
01013 - Immigration document/visa
02382 - Life insurance policy
09999 - Other
03424 - Other non-official document
03423 - Other official document
01007 - Parent's affidavit
01008 - Passport
01009 - Physician's certificate
01010 - Previously verified school records
01011 - State-issued ID
73095 - Approved Transfer
73102 - Birth Registration Form
73097 - Citizenship Card
73100 - Lease Agreement
73093 - Non-Parent Affidavit of Residence
73094 - Parent's Affidavit of Residence
73101 - Purchase Agreement
73092 - Residence Verification Form
73098 - Tax Bill
73091 - Telephone Bill
73099 - Utility Bill
73096 - Water Bill
</t>
  </si>
  <si>
    <t>Early Learning -&gt; Early Learning Organization -&gt; Contact
Early Learning -&gt; Early Learning Staff -&gt; Assignment 
Early Learning -&gt; Early Learning Staff -&gt; Professional Development -&gt; Instructor
K12 -&gt; K12 Staff -&gt; Employment
K12 -&gt; K12 Staff -&gt; Professional Development -&gt; Instructor
K12 -&gt; Organization -&gt; Contact
K12 -&gt; SEA -&gt; Contact
Postsecondary -&gt; Organization -&gt; Contact
Postsecondary -&gt; PS Staff -&gt; Employment</t>
  </si>
  <si>
    <t xml:space="preserve">Semester - Semester 
Quarter - Quarter 
Trimester - Trimester
4-1-4 - 4-1-4 or similar plan
Other - Other academic plan
DiffersByProgram - Differs by program
ContinuousBasis - Continuous basis
</t>
  </si>
  <si>
    <t xml:space="preserve">04723 - Athletic coach
04724 - Behavioral management specialist
04725 - Counselor
04726 - Curriculum specialist
04727 - Education diagnostician
04728 - Librarian/media consultant
04729 - Remedial specialist
04730 - Student activity advisor/non athletic coach
04731 - Student teacher
04732 - Teacher
04733 - Teacher trainer
04734 - Teaching intern
04735 - Resource teacher
09999 - Other
</t>
  </si>
  <si>
    <t>Adult Education -&gt; AE Student -&gt; Academic Record -&gt; Academic Award
Career and Technical -&gt; CTE Student -&gt; Academic Record -&gt; Academic Award
Early Learning -&gt; Early Learning Child -&gt; Program
Early Learning -&gt; Early Learning Program 
K12 -&gt; K12 Student -&gt; Academic Record -&gt; Academic Award
K12 -&gt; K12 Student -&gt; Program
K12 -&gt; LEA -&gt; Programs and Services
K12 -&gt; Program
K12 -&gt; Program -&gt; Implementation 
Postsecondary -&gt; PS Institution -&gt; Program
Postsecondary -&gt; PS Student -&gt; Academic Record -&gt; Academic Award
Postsecondary -&gt; PS Student -&gt; Institution Enrollment -&gt; Program
Workforce -&gt; Workforce Program Participant -&gt; Academic Record -&gt; Academic Award</t>
  </si>
  <si>
    <t>Career and Technical -&gt; Program
Early Learning -&gt; Early Learning Child -&gt; Program
Early Learning -&gt; Early Learning Program 
K12 -&gt; K12 Student -&gt; Program
K12 -&gt; Program
K12 -&gt; Program -&gt; Implementation 
Postsecondary -&gt; PS Institution -&gt; Program
Postsecondary -&gt; PS Student -&gt; Institution Enrollment -&gt; Program</t>
  </si>
  <si>
    <t xml:space="preserve">Business - Business
EducationOrganizationNetwork - Education organization network
EducationServiceCenter - Education Service Center
Federal - Federal government
LEA - Local education agency
NonProfit - Non-profit organization
Postsecondary - Postsecondary institution
Private - Private organization
Regional - Regional or intermediate education agency
Religious - Religious organization
School - School
SEA - State Education Agency
Other - Other
</t>
  </si>
  <si>
    <t>Career and Technical -&gt; Program
Early Learning -&gt; Early Learning Program 
K12 -&gt; K12 Staff -&gt; Credential or License
K12 -&gt; Program</t>
  </si>
  <si>
    <t xml:space="preserve">73056 - Adult Basic Education
73058 - Adult English as a Second Language
73057 - Adult Secondary Education
04961 - Alternative Education
04932 - Athletics
04923 - Bilingual education program
04906 - Career and Technical Education
04931 - Cocurricular programs
04958 - College preparatory
04945 - Community service program
04944 - Community/junior college education program
04922 - Compensatory services for disadvantaged students
73059 - Continuing Education
04956 - Counseling services
14609 - Early Head Start
04928 - English as a second language (ESL) program
04919 - Even Start
04955 - Extended day/child care services
75000 - Foster Care
04930 - Gifted and talented program
04918 - Head start
04963 - Health Services Program
04957 - Immigrant education
04921 - Indian education
04959 - International Baccalaureate
04962 - Library/Media Services Program
04960 - Magnet/Special Program Emphasis
04920 - Migrant education
04887 - Regular education
04964 - Remedial education
04967 - Section 504 Placement
04966 - Service learning
04888 - Special Education Services
04954 - Student retention/ Dropout Prevention
04953 - Substance abuse education/prevention
73204 - Targeted intervention program
04968 - Teacher professional development / Mentoring
04917 - Technical preparatory
75001 - Title I
73090 - Work-based Learning Opportunities
75014 - Autism program
75015 - Early childhood special education tier one program
09999 - Other
75016 - Early childhood special education tier two program
75002 - Early College
75006 - Emotional disturbance program
75008 - Hearing impairment program
75017 - K12 Resource Program
75003 - Mild cognitive disability program
75004 - Moderate cognitive disability program
75012 - Multiple disabilities program
75011 - Orthopedic impairment
75010 - Other health impairment
75005 - Significant cognitive disability program
75007 - Specific learning disability program
75013 - Speech or language impairment program
75009 - Visual impairment program
75018 - Hospital
76000 - McKinney-Vento Homeless
77000 - Title III LIEP
</t>
  </si>
  <si>
    <t xml:space="preserve">Career and Technical -&gt; Program
Early Learning -&gt; Early Learning Child -&gt; Program
Early Learning -&gt; Early Learning Class/Group 
Early Learning -&gt; Early Learning Organization -&gt; Directory 
Early Learning -&gt; Early Learning Program 
K12 -&gt; K12 School -&gt; Directory
K12 -&gt; K12 Student -&gt; Program
K12 -&gt; Program -&gt; Implementation </t>
  </si>
  <si>
    <t xml:space="preserve">01652 - Resident of administrative unit and usual school attendance area
01653 - Resident of administrative unit, but of other school attendance area
01654 - Resident of this state, but not of this administrative unit
01655 - Resident of an administrative unit that crosses state boundaries
01656 - Resident of another state
</t>
  </si>
  <si>
    <t>Early Learning -&gt; Early Learning Child -&gt; Demographic 
K12 -&gt; K12 Student -&gt; Demographic</t>
  </si>
  <si>
    <t xml:space="preserve">00997 - Business
00752 - Community facility
00753 - Home of student
00754 - Hospital
03018 - Library/media center
03506 - Mobile
09999 - Other
00341 - Other K-12 educational institution
00342 - Postsecondary facility
00675 - School
</t>
  </si>
  <si>
    <t>Adult Education -&gt; Course Section
Career and Technical -&gt; Course Section
K12 -&gt; Course Section
K12 -&gt; Program -&gt; Implementation 
Postsecondary -&gt; PS Student -&gt; Graduate Student -&gt; Thesis/Dissertation Advisor</t>
  </si>
  <si>
    <t xml:space="preserve">Accountability - Accountability
Attendance - Attendance
Funding - Funding
Graduation - Graduation
IndividualizedEducationProgram - Individualized education program (IEP)
Transportation - Transportation
IEPServiceProvider - Individualized education program service provider
</t>
  </si>
  <si>
    <t>Early Learning -&gt; Early Learning Child -&gt; Enrollment 
Early Learning -&gt; Early Learning Class/Group 
K12 -&gt; Course Section -&gt; Enrollment
K12 -&gt; K12 Student -&gt; Enrollment</t>
  </si>
  <si>
    <t xml:space="preserve">AEStaff - AE Staff
AEStudent - AE Student
CTEStaff - CTE Staff
CTEStudent - CTE Student
ELChild - EL Child
ELStaff - EL Staff
K12Staff - K12 Staff
K12Student - K12 Student
ParentGuardian - Parent/Guardian
PSApplicant - PS Applicant
PSStaff - PS Staff
PSStudent - PS Student
WorkforceProgramParticipant - Workforce Program Participant
ChiefStateSchoolOfficer - Chief State School Officer
</t>
  </si>
  <si>
    <t>Adult Education -&gt; AE Staff -&gt; Employment
Adult Education -&gt; AE Student -&gt; Employment
Adult Education -&gt; AE Student -&gt; Program Participation
Career and Technical -&gt; CTE Staff -&gt; Employment
Career and Technical -&gt; CTE Student -&gt; Program Participation
Early Learning -&gt; Early Learning Child -&gt; Enrollment
Early Learning -&gt; Early Learning Child -&gt; Individualized Program
Early Learning -&gt; Early Learning Child -&gt; Program
Early Learning -&gt; Early Learning Staff -&gt; Employment
K12 -&gt; K12 Staff -&gt; Employment
K12 -&gt; K12 Student -&gt; Employment
K12 -&gt; K12 Student -&gt; Enrollment
K12 -&gt; K12 Student -&gt; Individualized Program
K12 -&gt; K12 Student -&gt; Program
Postsecondary -&gt; PS Staff -&gt; Employment
Postsecondary -&gt; PS Student -&gt; Employment
Postsecondary -&gt; PS Student -&gt; Institution Enrollment
Postsecondary -&gt; PS Student -&gt; Institution Enrollment -&gt; Program
Workforce -&gt; Workforce Program Participant -&gt; Employment
Workforce -&gt; Workforce Program Participant -&gt; Program Participation</t>
  </si>
  <si>
    <t>Career and Technical -&gt; Course
Early Learning -&gt; Early Learning Class/Group 
K12 -&gt; K12 Course
K12 -&gt; K12 Student -&gt; Graduation Plan -&gt; Course</t>
  </si>
  <si>
    <t xml:space="preserve">B - Basic or remedial
E - Enriched or advanced
G - General or regular
H - Honors
C - College
X - No specified level of rigor
</t>
  </si>
  <si>
    <t xml:space="preserve">01 - English Language and Literature
02 - Mathematics
03 - Life and Physical Sciences
04 - Social Sciences and History
05 - Visual and Performing Arts
07 - Religious Education and Theology
08 - Physical, Health, and Safety Education
09 - Military Science
10 - Information Technology
11 - Communication and Audio/Visual Technology
12 - Business and Marketing
13 - Manufacturing
14 - Health Care Sciences
15 - Public, Protective, and Government Service
16 - Hospitality and Tourism
17 - Architecture and Construction
18 - Agriculture, Food, and Natural Resources
19 - Human Services
20 - Transportation, Distribution and Logistics
21 - Engineering and Technology
22 - Miscellaneous
23 - Non-Subject-Specific
24 - World Languages
</t>
  </si>
  <si>
    <t>Career and Technical -&gt; Course
Early Learning -&gt; Early Learning Class/Group 
K12 -&gt; K12 Course
K12 -&gt; K12 Student -&gt; Graduation Plan -&gt; Course
K12 -&gt; K12 Student -&gt; Graduation Plan -&gt; Subject Area
K12 -&gt; K12 Student -&gt; Individualized Program -&gt; Accommodation</t>
  </si>
  <si>
    <t>Adult Education -&gt; Course Section -&gt; Course
Career and Technical -&gt; Course
Career and Technical -&gt; Course Section -&gt; Course
Early Learning -&gt; Early Learning Class/Group 
K12 -&gt; Course Section -&gt; Course
K12 -&gt; K12 Course
K12 -&gt; K12 Student -&gt; Graduation Plan -&gt; Course</t>
  </si>
  <si>
    <t xml:space="preserve">School - School-assigned number
ACT - College Board/ACT program code set of PK-grade 12 institutions
LEA - Local Education Agency assigned number
SEA - State Education Agency assigned number
NCES - National Center for Education Statistics assigned number
Federal - Federal identification number
DUNS - Dun and Bradstreet number
OtherFederal - Other federally assigned number
StateUniversitySystem - State University System assigned number
Other - Other
SAM - System for Award Management Unique Entity Identifier
</t>
  </si>
  <si>
    <t>Assessments -&gt; Assessment Administration
Assessments -&gt; Assessment Registration
Assessments -&gt; Assessment Session
Early Learning -&gt; Early Learning Organization -&gt; Identification 
Early Learning -&gt; Early Learning Staff -&gt; Assignment 
K12 -&gt; K12 School -&gt; Identification
K12 -&gt; K12 Staff -&gt; Assignment
K12 -&gt; K12 Student -&gt; Enrollment
Postsecondary -&gt; PS Institution -&gt; Identification
Postsecondary -&gt; PS Student -&gt; K12 Transcript</t>
  </si>
  <si>
    <t xml:space="preserve">00013 - Adult
01302 - All levels
01304 - Elementary
02402 - High school
00787 - Infant/toddler
02399 - Intermediate
02602 - Junior high school
02400 - Middle
01981 - Pre-kindergarten/early childhood
02397 - Primary
02403 - Secondary
73066 - Joint secondary and postsecondary
</t>
  </si>
  <si>
    <t xml:space="preserve">Open - Open
Closed - Closed
New - New
Added - Added
ChangedAgency - Changed Agency
Inactive - Inactive
FutureSchool - Future school
Reopened - Reopened
</t>
  </si>
  <si>
    <t xml:space="preserve">Early Learning -&gt; Early Learning Organization -&gt; Organization Information
K12 -&gt; Calendar -&gt; Session
K12 -&gt; Program -&gt; Implementation </t>
  </si>
  <si>
    <t>Adult Education -&gt; AE Provider
Adult Education -&gt; AE Provider 
Adult Education -&gt; AE Staff -&gt; Education
Early Learning -&gt; Early Learning Organization -&gt; Identification 
Early Learning -&gt; Early Learning Organization -&gt; Site Level Characteristics 
Early Learning -&gt; Early Learning Staff -&gt; Education
Facilities -&gt; Facility -&gt; Identification 
K12 -&gt; K12 School -&gt; Identification
K12 -&gt; K12 Staff -&gt; Education
K12 -&gt; Organization -&gt; Identification 
Postsecondary -&gt; Organization -&gt; Identification 
Postsecondary -&gt; PS Institution -&gt; Directory
Postsecondary -&gt; PS Student -&gt; K12 Transcript</t>
  </si>
  <si>
    <t xml:space="preserve">3TO5 - 3 through 5
6TO21 - 6 through 21
</t>
  </si>
  <si>
    <t xml:space="preserve">PSYCH - Psychologists
SOCIALWORK - Social Workers
OCCTHERAP - Occupational Therapists
AUDIO - Audiologists
PEANDREC - Physical Education Teachers and Recreation and Therapeutic Recreation Specialists
PHYSTHERAP - Physical Therapists
SPEECHPATH - Speech-Language Pathologists
INTERPRET - Interpreters
COUNSELOR - Counselors and Rehabilitation Counselors
ORIENTMOBIL - Orientation and Mobility Specialists
MEDNURSE - Medical/Nursing Service Staff
</t>
  </si>
  <si>
    <t>Early Learning -&gt; Early Learning Staff -&gt; Assignment 
K12 -&gt; K12 Staff -&gt; Assignment
K12 -&gt; K12 Student -&gt; Individualized Program -&gt; Services -&gt; Service Provider</t>
  </si>
  <si>
    <t>Early Learning -&gt; Early Learning Staff -&gt; Assignment 
Early Learning -&gt; Early Learning Staff -&gt; Employment
K12 -&gt; K12 Staff -&gt; Assignment
Postsecondary -&gt; PS Staff -&gt; Employment</t>
  </si>
  <si>
    <t xml:space="preserve">SSN - Social Security Administration number
USVisa - US government Visa number
PIN - Personal identification number
Federal - Federal identification number
DriversLicense - Driver's license number
Medicaid - Medicaid number
HealthRecord - Health record number
ProfessionalCertificate - Professional certificate or license number
School - School-assigned number
District - District-assigned number
State - State-assigned number
OtherFederal - Other federally assigned number
SelectiveService - Selective Service Number
CanadianSIN - Canadian Social Insurance Number
Other - Other
</t>
  </si>
  <si>
    <t>Adult Education -&gt; AE Staff -&gt; Identity -&gt; Identification
Adult Education -&gt; Course Section -&gt; Staff
Career and Technical -&gt; Course Section -&gt; Staff
Career and Technical -&gt; CTE Staff -&gt; Identity -&gt; Identification
Early Learning -&gt; Early Learning Class/Group -&gt; Staff 
Early Learning -&gt; Early Learning Staff -&gt; Identity -&gt; Identification
Early Learning -&gt; Early Learning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</si>
  <si>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AA - Armed Forces America
AE - Armed Forces Africa, Canada, Europe, and Mideast
AP - Armed Forces Pacific
BI - Bureau of Indian Affairs
DD - Department of Defense Domestic
DO - Department of Defense Overseas
</t>
  </si>
  <si>
    <t xml:space="preserve">State - State-assigned number
Federal - Federal identification number
FEIN - Federal Employer Identification Number
NCES - National Center for Education Statistics Assigned Number
SAM - System for Award Management Unique Entity Identifier
Other - Other
</t>
  </si>
  <si>
    <t>Assessments -&gt; Assessment Registration
Early Learning -&gt; Early Learning Organization -&gt; Identification 
K12 -&gt; SEA -&gt; Identification</t>
  </si>
  <si>
    <t xml:space="preserve">01 - Alabama
02 - Alaska
04 - Arizona
05 - Arkansas
06 - California
08 - Colorado
09 - Connecticut
10 - Delaware
11 - District of Columbia
12 - Florida
13 - Georgia
15 - Hawaii
16 - Idaho
17 - Illinois
18 - Indiana
19 - Iowa
20 - Kansas 
21 - Kentucky
22 - Louisiana
23 - Maine
24 - Maryland
25 - Massachusetts
26 - Michigan
27 - Minnesota
28 - Mississippi
29 - Missouri
30 - Montana
31 - Nebraska
32 - Nevada
33 - New Hampshire
34 - New Jersey
35 - New Mexico
36 - New York
37 - North Carolina
38 - North Dakota
39 - Ohio
40 - Oklahoma
41 - Oregon
42 - Pennsylvania
44 - Rhode Island
45 - South Carolina
46 - South Dakota
47 - Tennessee
48 - Texas
49 - Utah
50 - Vermont
51 - Virginia
53 - Washington
54 - West Virginia
55 - Wisconsin
56 - Wyoming
60 - American Samoa
64 - Federated States of Micronesia
66 - Guam
68 - Marshall Islands
69 - Northern Mariana Islands
70 - Palau 
72 - Puerto Rico
78 - Virgin Islands of the U.S.
59 - Bureau of Indian Affairs
63 - Department of Defense Combined
61 - Department of Defense Domestic
58 - Department of Defense Overseas
</t>
  </si>
  <si>
    <t>Early Learning -&gt; Early Learning Organization -&gt; Identification
K12 -&gt; K12 School -&gt; Address
K12 -&gt; LEA -&gt; Address
K12 -&gt; SEA -&gt; Address</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</si>
  <si>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t>
  </si>
  <si>
    <t xml:space="preserve">HighQuartile -  High poverty quartile school
LowQuartile - Low poverty quartile school
Neither - Neither high nor low poverty quartile school
</t>
  </si>
  <si>
    <t xml:space="preserve">CanadianSIN - Canadian Social Insurance Number
District - District-assigned number
Family - Family unit number
Federal - Federal identification number
NationalMigrant - National migrant number
School - School-assigned number
SSN - Social Security Administration number
State - State-assigned number
StateMigrant - State migrant number
</t>
  </si>
  <si>
    <t>Adult Education -&gt; AE Student -&gt; Identity -&gt; Identification
Adult Education -&gt; Course Section -&gt; Enrollment
Career and Technical -&gt; Course Section -&gt; Enrollment
Career and Technical -&gt; CTE Student -&gt; Identity -&gt; Identification
Early Learning -&gt; Early Learning Class/Group 
Early Learning -&gt; Parent/Guardian -&gt; Relationship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</si>
  <si>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 xml:space="preserve">00290 - Adaptive physical education
00291 - Art therapy
00292 - Assistive technology services
00293 - Audiological services
73050 - Augmentative Communication Service
73051 - Autism Spectrum Disorder Service
73052 - Behavior and Behavioral Consultation Service
73053 - Braille Service
00889 - Career and technical education rehabilitation training and job placement
00878 - Case management services
00295 - Children's protective services
00881 - Communication services
73057 - Community based career training
73056 - Community based career training for Special Education
00882 - Community recreational services
73048 - Curriculum planning
00334 - Developmental childcare program
73047 - Early Intervention / Early Childhood Special Education Special Service
00297 - Early intervention services
00298 - Educational therapy
73054 - ESL/Migrant Service
00299 - Family counseling
00333 - Family training, counseling, and home visits
00303 - Health care
73060 - Homebound or Hospitalized
00883 - Independent living
73058 - Individual career education
73059 - Individual career education for special education
73049 - Instructional Aide/Assistant/Intervener Service
00304 - Interpretation for the hearing impaired
00332 - Medical services only for diagnostic or evaluation purposes
00305 - Mental health counseling
00884 - Mental health services
00306 - Music therapy
00300 - National School Nutrition programs
00308 - Note-taking assistance
00335 - Nursing service
00336 - Nutrition services
00309 - Occupational therapy
00310 - Orientation and mobility services
09999 - Other
00311 - Parenting skills assistance
00312 - Peer services
00313 - Physical therapy
00331 - Psychological services
00314 - Reader service
00315 - Recreation service
00318 - Rehabilitation counseling services
00885 - Residential services
73046 - Respite Care
00319 - School clothing
00302 - School counseling
00320 - School health nursing services
73061 - School Psychologist
00294 - Service coordination (case management services)
00337 - Social work services
00321 - Special transportation
00322 - Speech-language therapy
00323 - Study skills assistance
00324 - Substance abuse education/prevention
00886 - Supported employment services
73062 - Teacher consultant for autism
73064 - Teacher Consultant for disturbance emotional
73066 - Teacher consultant for hearing impairment
73063 - Teacher Consultant for intellectual disability
73068 - Teacher consultant for orthopedic impairment
73069 - Teacher consultant for other health impairment
73065 - Teacher consultant for specifical learning disability
73067 - Teacher consultant for visual impairment
00887 - Technological aids
00325 - Teen/adolescent family planning
00326 - Test assistance
00327 - Translation/interpreter services
00888 - Transportation services
00329 - Tutoring services
00330 - Vision services
73055 - Work-based Learning
</t>
  </si>
  <si>
    <t>Early Learning -&gt; Early Learning Child -&gt; Individualized Program 
Early Learning -&gt; Early Learning Organization -&gt; Site Level Characteristics 
K12 -&gt; K12 School -&gt; Institution Characteristics
K12 -&gt; K12 Student -&gt; Individualized Program
K12 -&gt; K12 Student -&gt; Individualized Program -&gt; Services
Postsecondary -&gt; PS Institution -&gt; Program
Postsecondary -&gt; PS Student -&gt; Program Participation</t>
  </si>
  <si>
    <t>Early Learning -&gt; Early Learning Staff -&gt; Credential or License 
Postsecondary -&gt; PS Student -&gt; Teacher Education/Preparation</t>
  </si>
  <si>
    <t xml:space="preserve">PraxisI - Praxis I
PraxisII - Praxis II
ACTFL - ACTFL
StateExam - State Exam
Other - Other
</t>
  </si>
  <si>
    <t>Adult Education -&gt; Course Section -&gt; Staff
Career and Technical -&gt; Course Section -&gt; Staff
Early Learning -&gt; Early Learning Class/Group -&gt; Staff 
K12 -&gt; Course Section -&gt; Staff</t>
  </si>
  <si>
    <t>Early Learning -&gt; Early Learning Class/Group -&gt; Staff 
Early Learning -&gt; Early Learning Staff -&gt; Assignment 
K12 -&gt; Course Section -&gt; Staff 
K12 -&gt; K12 Staff -&gt; Assignment</t>
  </si>
  <si>
    <t xml:space="preserve">LeadTeacher - Lead Teacher
TeamTeacher - Team Teacher
ContributingProfessional - Contributing Professional
</t>
  </si>
  <si>
    <t>Early Learning -&gt; Early Learning Organization -&gt; Professional Development
Early Learning -&gt; Early Learning Staff -&gt; Professional Development Activity 
K12 -&gt; K12 School -&gt; Technical Assistance
K12 -&gt; K12 Staff -&gt; Technical Assistance
K12 -&gt; LEA -&gt; Technical Assistance</t>
  </si>
  <si>
    <t xml:space="preserve">Onsite - Onsite
Virtual - Virtual classroom
Off-Site - Off-site classroom
Conference - Conference
</t>
  </si>
  <si>
    <t xml:space="preserve">TitleITeacher - Title I Teachers
TitleIParaprofessional - Title I Paraprofessionals 
TitleISupportStaff - Title I Clerical Support Staff
TitleIAdministrator - Title I Administrators (non-clerical)
TitleIOtherParaprofessional - Title I Other Paraprofessionals
</t>
  </si>
  <si>
    <t xml:space="preserve">TargetedAssistanceProgram - Public Targeted Assistance Program
SchoolwideProgram - Public Schoolwide Program
PrivateSchoolStudents - Private School Students Participating
LocalNeglectedProgram - Local Neglected Program
</t>
  </si>
  <si>
    <t>Early Learning -&gt; Early Learning Organization -&gt; Site Level Characteristics 
K12 -&gt; K12 School -&gt; Institution Characteristics
K12 -&gt; LEA -&gt; Programs and Services</t>
  </si>
  <si>
    <t xml:space="preserve">USCitizen - US Citizen
PermanentResident - Permanent resident
ResidentAlien - Resident alien
NonResidentAlien - Non-resident alien
Refugee - Refugee
</t>
  </si>
  <si>
    <t>Early Learning -&gt; Early Learning Staff -&gt; Demographic 
Postsecondary -&gt; PS Staff -&gt; Demographic
Postsecondary -&gt; PS Student -&gt; Demographic</t>
  </si>
  <si>
    <t>Adult Education -&gt; Course Section
Career and Technical -&gt; Course Section
Early Learning -&gt; Early Learning Organization -&gt; Directory 
K12 -&gt; Course Section
K12 -&gt; K12 School -&gt; Directory
Postsecondary -&gt; PS Institution -&gt; Directory</t>
  </si>
  <si>
    <t xml:space="preserve">FaceVirtual - Face Virtual
FullVirtual - Full Virtual
NotVirtual - Not Virtual
SupplementalVirtual - Supplemental Virtual
</t>
  </si>
  <si>
    <t>Early Learning -&gt; Early Learning Organization -&gt; Contact
Early Learning -&gt; Early Learning Organization -&gt; Directory 
K12 -&gt; K12 School -&gt; Directory
K12 -&gt; LEA -&gt; Directory
K12 -&gt; Organization -&gt; Contact
K12 -&gt; SEA -&gt; Contact
Postsecondary -&gt; Organization -&gt; Contact
Postsecondary -&gt; PS Institution -&gt; Directory</t>
  </si>
  <si>
    <t>Early Learning -&gt; Early Learning Staff -&gt; Credential or License 
K12 -&gt; K12 Staff -&gt; Credential or License</t>
  </si>
  <si>
    <t>Adult Education -&gt; Course Section
Career and Technical -&gt; Course Section
K12 -&gt; Course Section
K12 -&gt; K12 Course
K12 -&gt; K12 School -&gt; Institution Characteristics
Postsecondary -&gt; PS Institution -&gt; Institution Characteristics</t>
  </si>
  <si>
    <t xml:space="preserve">13297 - Absent - Disciplinary action, not receiving instruction
13299 - Absent - Family activity
13296 - Absent - Family emergency or bereavement
13295 - Absent - Illness, injury, health treatment, or examination
13298 - Absent - Legal or judicial requirement
13293 - Absent - Noninstructional activity recognized by state, district, or school
13294 - Absent - Religious observation
13303 - Absent - Situation unknown
13300 - Absent - Student employment
13302 - Absent - Student is skipping school
13301 - Absent - Transportation not available
</t>
  </si>
  <si>
    <t xml:space="preserve">01 - Postsecondary award, certificate, or diploma of less than 1 academic year
02 - Postsecondary award, certificate, or diploma of at least 1 but less than 2 academic years
03 - Associate's Degree
04 - Postsecondary award, certificate, or diploma of at least 2 but less than 4 academic  years
05 - Bachelor's Degree
06 - Postbaccalaureate Certificate
07 - Master's Degree
08 - Post-Master's Certificate
17 - Doctor's Degree-Research/Scholarship
18 - Doctor's Degree-Professional Practice
19 - Doctor's Degree-Other
</t>
  </si>
  <si>
    <t xml:space="preserve">Achievement - Achievement
Experience - Experience
Status - Status
Score - Score
Course - Course
</t>
  </si>
  <si>
    <t xml:space="preserve">01985 - Honor roll
01986 - Honor society
01987 - Honorable mention
01988 - Honors program
73064 - National Technical Education Honor Society
01989 - Prize awards
01991 - Scholarships
00738 - Awarding of units of value
00740 - Citizenship award/recognition
00741 - Completion of requirement, but no units of value awarded
08692 - Attendance award
00742 - Certificate
02047 - Honor award
00744 - Letter of student commendation
00745 - Medals
08693 - National Merit scholar
00747 - Points
00748 - Promotion or advancement
09999 - Other
</t>
  </si>
  <si>
    <t xml:space="preserve">Professor - Professor
AssociateProfessor - Associate Professor
AssistantProfessor - Assistant Professor
Instructor - Instructor
Lecturer - Lecturer
NoAcademicRank - No Academic Rank
</t>
  </si>
  <si>
    <t xml:space="preserve">Fall - Fall
Winter - Winter
WinterIntersession - Winter Intersession
Spring - Spring
Summer - Summer
Summer1 - Summer 1
Summer2 - Summer 2
SpringIntersession - Spring Intersession
Other - Other
</t>
  </si>
  <si>
    <t xml:space="preserve">03513 - Additional example items/tasks
00461 - Adjustable swivel arm
00462 - Adjustable table height
03514 - Administration in several sessions
13803 - Alternate representation
13793 - Answer masking
03515 - Answers written directly in test booklet
03517 - Arithmetic table (math or science)
75005 - Native language
03519 - Assistive device that does interfere with independent work of the student
03518 - Assistive device that does not interfere with independent work of the student
75006 - Audio recordings
13791 - Auditory calming
00463 - Braille
03522 - Braille writer, no thesaurus, spell- or grammar-checker
75007 - Breaks
03524 - Calculator (math or science)
13800 - Chunking
03525 - Clarify directions
03526 - Colored lenses
03527 - Computer administration
03528 - Cranmer abacus
03529 - Cueing
75008 - Dictated oral response
03530 - Dictionary in English
03531 - Dictionary in native language
03533 - Directions read aloud or explained
13795 - Encouraging prompts
00937 - Enlarged keyboard
00464 - Enlarged monitor view
03534 - Examiner familiarity
00465 - Extra time
13797 - Flagging
03535 - Font enlarged beyond print version requirements
13789 - Foreground/Background colors
03536 - Foreign language interpreter
03537 - Foreign language interpreter for instructions, ask questions
03538 - Format
03539 - Hospital/home testing
13790 - Increase white space
13805 - Item translation
13798 - Keyword highlighting
13804 - Keyword translation
75009 - Large print
13796 - Line reader
75010 - Linguistic modification of directions
03541 - Magnification device
75011 - Manually coded English or American Sign Language to present questions
13792 - Masking
03543 - Math manipulatives (math or science)
03544 - Modification of linguistic complexity
00469 - Multi-day administration
03545 - Multiple test sessions
13802 - Negatives removed
03546 - Oral directions in the native language
09999 - Other
03547 - Paraphrasing
03548 - Physical supports
00471 - Recorder or amanuensis
13801 - Reduced answer choices
03549 - Response dictated in American Sign Language
03550 - Response in native language
13788 - Reverse contrast
13799 - Scaffolding
03551 - Scheduled extended time
00473 - Separate room
03552 - Separate room with other English Learners under supervision of district employee
73070 - Sign Language Video
03553 - Signer/sign language for instructions, ask questions
00474 - Signer/sign language interpreter
03554 - Simplified language
03555 - Small-group or individual administration
00475 - Special furniture
00476 - Special lighting
03558 - Specialized setting
03556 - Speech recognition system
03557 - Spell-checker
13794 - Structured masking
03559 - Student read aloud
03560 - Student-requested extended time
75012 - Supervised breaks
13806 - Tactile
03562 - Technological aid
75013 - Test administered at best time of day for student
03563 - Test administrator marked / wrote test at student's direction
03564 - Test administrator read questions aloud
03566 - Text changes in vocabulary
00477 - Track ball
03567 - Translation dictionary
09997 - Unknown
00479 - Untimed
03568 - Verbalized problem-solving
75014 - Video recordings
03570 - Visual cues
03571 - Word processor
03572 - Word processor - grammar-checker turned off
03573 - Word processor - grammar-checker enabled on essay response portion of test
75015 - Alternate assignments or goals
75016 - Behavior management program
75017 - Check for understanding
75018 - Frequent feedback
75019 - Peer support
</t>
  </si>
  <si>
    <t xml:space="preserve">01 - Materials in Braille
02 - Closed caption decoder
03 - Computer-based instruction or other assistive technological devices
04 - Listening devices
05 - Low vision readers
06 - Notetakers
07 - Readers
08 - Sign language interpreters
09 - Special housing accommodations
10 - Recorded text
11 - Telecommunication Devices (TDDs) for Hearing Impaired
12 - Telephone handset amplifiers
13 - Test assistants
14 - Test modifications
15 - Transportation services (e.g., handicapped parking spaces)
16 - Tutors
17 - Voice synthesizer speech programs, equipment
18 - Wheel chair accessibility
19 - Wheel chair
99 - Other type of accommodation
</t>
  </si>
  <si>
    <t xml:space="preserve">NAEYC - National Association for the Education of Young Children
NECPA - National Early Childhood Program Accreditation
NAC - National Accreditation Commission
COA - Council on Accreditation
NAFCC - National Association for Family Child Care
SACS - Southern Association of Colleges and Schools
NotAccredited - Not accredited
Other - Other Accreditation Agency
</t>
  </si>
  <si>
    <t>K12 -&gt; K12 School -&gt; Institution Characteristics
Postsecondary -&gt; Organization -&gt; Organization Accreditation</t>
  </si>
  <si>
    <t>Early Learning -&gt; Early Learning Organization -&gt; Accreditation
K12 -&gt; K12 School -&gt; Institution Characteristics
Postsecondary -&gt; PS Institution -&gt; Accreditation
Postsecondary -&gt; PS Program -&gt; Accreditation</t>
  </si>
  <si>
    <t xml:space="preserve">WeeklyHours - Weekly hours
YearlyWeeks - Yearly weeks
</t>
  </si>
  <si>
    <t xml:space="preserve">AdvancedPlacement - Advanced Placement
ApprenticeshipCredit - Apprenticeship Credit
CTE - Career and Technical Education
DualCredit - Dual Credit
InternationalBaccalaureate - International Baccalaureate
Other - Other
QualifiedAdmission - Qualified Admission
STEM - Science, Technology, Engineering and Mathematics
CTEAndAcademic - Simultaneous CTE and Academic Credit
StateScholarship - State Scholarship
</t>
  </si>
  <si>
    <t xml:space="preserve">ADDLTSI - Additional targeted support and improvement
NOTADDLTSI - Not additional targeted support and improvement
</t>
  </si>
  <si>
    <t xml:space="preserve">Mailing - Mailing
Physical - Physical
Shipping - Shipping
Billing - Billing address
OnCampus - On campus
OffCampus - Off-campus, temporary
PermanentStudent - Permanent, student
PermanentAdmission - Permanent, at time of admission
FatherAddress - Father's address
MotherAddress - Mother's address
GuardianAddress - Guardian's address
</t>
  </si>
  <si>
    <t>Adult Education -&gt; AE Student -&gt; Contact -&gt; Address
Career and Technical -&gt; CTE Student -&gt; Contact -&gt; Address
Early Learning -&gt; Early Learning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</si>
  <si>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 xml:space="preserve">Mailing - Mailing
Physical - Physical
OtherHome - Other home address
Employers - Employer's address
Employment - Employment address
Billing - Billing address
</t>
  </si>
  <si>
    <t>Adult Education -&gt; AE Staff -&gt; Contact -&gt; Address
Career and Technical -&gt; CTE Staff -&gt; Contact -&gt; Address
Early Learning -&gt; Early Learning Staff -&gt; Contact -&gt; Address
Early Learning -&gt; Early Learning Staff -&gt; Professional Development -&gt; Instructor
K12 -&gt; K12 Staff -&gt; Contact -&gt; Address
K12 -&gt; K12 Staff -&gt; Professional Development -&gt; Instructor
K12 -&gt; SEA -&gt; Contact -&gt; Address
Postsecondary -&gt; PS Staff -&gt; Contact -&gt; Address</t>
  </si>
  <si>
    <t xml:space="preserve">Yes - Yes
YesGrowth - Yes Growth
No - No
NA - Not applicable
</t>
  </si>
  <si>
    <t xml:space="preserve">01 - Risk management plan
02 - Financial records
03 - Program administration and plan
04 - Marketing strategy
05 - Written program policies
06 - Program self assessment
99 - Other
</t>
  </si>
  <si>
    <t xml:space="preserve">Required - Required
Recommended - Recommended
NeitherRequiredRecommended - Neither Required nor Recommended
DontKnow - Don't Know
</t>
  </si>
  <si>
    <t xml:space="preserve">SecondarySchoolGPA - Secondary school GPA
SecondarySchoolRank - Secondary school rank
SecondarySchoolRecord - Secondary school record
CompletionOfCollegePrepProgram - Completion of college-preparatory program
Recommendations - Recommendations
FormalDemonstrationOfCompetencies - Formal demonstration of competencies (e.g., portfolios, certificates of mastery, assessment instruments)
AdmissionTestScores - Admission test scores
SAT_ACT - SAT / ACT
TOEFL - Test of English as a Foreign Language
OtherTest - Other Test (ABT, Wonderlic, WISC-III, etc.)
</t>
  </si>
  <si>
    <t xml:space="preserve">Conditional - Conditional Admit
EarlyAction - Early Action
EarlyAdmit - Early Admit
EarlyDecision - Early Decision
Regular - Regular Admit
Waitlist - Waitlist Admit
Other - Other Admit
No - No
</t>
  </si>
  <si>
    <t xml:space="preserve">AdultEducationCertification - Adult Education Certification
K-12Certification - K-12 Certification
SpecialEducationCertification - Special Education Certification
TESOLCertification - Teachers of English to Speakers of Other Languages (TESOL) Certification
None - None
</t>
  </si>
  <si>
    <t>Adult Education -&gt; AE Staff -&gt; Certification
Credentials -&gt; Credential Award
Postsecondary -&gt; PS Staff -&gt; Certification</t>
  </si>
  <si>
    <t xml:space="preserve">ABE - Adult Basic Education
ASE - Adult Secondary Education
ELA - English as a Second Language/English Language Acquisition Program
IEL - Integrated English Literacy and Civics Education
</t>
  </si>
  <si>
    <t xml:space="preserve">NoInformation - No information
Enrolled - Enrolled
NotEnrolled - Not enrolled
</t>
  </si>
  <si>
    <t xml:space="preserve">1003 - Deceased
1000 - Incarceration in a correctional institution or resident of 24-hour support facility
1001 - Medical treatment
1006 - Moved out of state
1002 - National guard or other reserve active duty
1004 - Permanently incapacitated
1010 - Program completion with credential or certification
1007 - Program completion without credential or certification
1008 - Program discontinued
1009 - Unknown
1005 - Voluntary exit
1999 - Other
</t>
  </si>
  <si>
    <t xml:space="preserve">LEA - Local Education Agency
PostsecondaryInstitution - Postsecondary Institution
CommunityBasedOrganization - Community-Based Organization
Library - Library
CorrectionalInstitution - Correctional Institution
OtherInstitution - Other Institution
OtherAgency - Other state or local government agency
Other - Other
</t>
  </si>
  <si>
    <t xml:space="preserve">School - School-assigned number
ACT - College Board/ACT program code set of PK-grade 12 institutions
LEA - Local Education Agency assigned number
SEA - State Education Agency assigned number
NCES - National Center for Education Statistics assigned number
Federal - Federal identification number
DUNS - Dun and Bradstreet number
OtherFederal - Other federally assigned number
Other - Other
SAM - System for Award Management Unique Entity Identifier
</t>
  </si>
  <si>
    <t xml:space="preserve">CorrectionalEducation - Correctional education program
FamilyLiteracy - Family Literacy Program
WorkplaceLiteracy - Workplace Adult Education and Literacy Activities
Homeless - Program for the Homeless
Co-enrollment - Co-enrollment in adult education and postsecondary education
DistanceEducation - Distance Education
CommunityCorrections - Community Corrections Programs
IntegratedEducationTraining - Integrated Education and Training (IET)
OtherInstitutional - Other Institutional Programs
</t>
  </si>
  <si>
    <t xml:space="preserve">01 - State-level administrative/supervisory/ancillary services
02 - Local-level administrative/supervisory/ancillary services
03 - Local teacher
04 - Local counselor
05 - Local paraprofessional
06 - State Professional Development Staff
07 - Regional Professional Development Staff
08 - Local Professional Development Staff
</t>
  </si>
  <si>
    <t xml:space="preserve">FullTimePaid - Full-time paid
PartTimePaid - Part-time paid
FullTimeVolunteer - Full-time volunteer
PartTimeVolunteer - Part-time volunteer
</t>
  </si>
  <si>
    <t xml:space="preserve">ABEBegLit - ABE Beginning Literacy
ABEBegBasic - Beginning Basic Education
ABEIntLow - Low Intermediate Basic Education
ABEIntHigh - High Intermediate Basic Education
ASELow - Adult Secondary Education Low
ASEHigh - Adult Secondary Education High
ESLBegLit - Beginning ESL Literacy
ESLBegLow - ESL Low Beginning
ESLBegHigh - ESL High Beginning
ESLIntLow - ESL Low Intermediate
ESLIntHigh - ESL Intermediate High
ESLAdv - ESL Advanced
</t>
  </si>
  <si>
    <t xml:space="preserve">ArtHistory - Art History
Biology - Biology
CalculusAB - Calculus AB
CalculusBC - Calculus BC
Chemistry - Chemistry
ComputerScienceA - Computer Science A
ComputerScienceAB - Computer Science AB
Macroeconomics - Macroeconomics
Microeconomics - Microeconomics
EnglishLanguage - English Language
EnglishLiterature - English Literature
EnvironmentalScience - Environmental Science
EuropeanHistory - European History
FrenchLanguage - French Language
FrenchLiterature - French Literature
GermanLanguage - German Language
CompGovernmentAndPolitics - Comp Government And Politics
USGovernmentAndPolitics - US Government And Politics
HumanGeography - Human Geography
ItalianLanguageAndCulture - Italian Language And Culture
LatinLiterature - Latin Literature
LatinVergil - Latin Vergil
MusicTheory - Music Theory
PhysicsB - Physics B
PhysicsC - Physics C
Psychology - Psychology
SpanishLanguage - Spanish Language
SpanishLiterature - Spanish Literature
Statistics - Statistics
StudioArt - Studio Art
USHistory - US History
WorldHistory - World History
</t>
  </si>
  <si>
    <t>Early Learning -&gt; Early Learning Child -&gt; Health
K12 -&gt; K12 Student -&gt; Health</t>
  </si>
  <si>
    <t xml:space="preserve">Mild - Mild allergic reaction
Severe - Severe allergic reaction
</t>
  </si>
  <si>
    <t xml:space="preserve">417930000 - Allergy to adhesive
419238009 - Allergy to adhesive bandage
420140004 - Allergy to alcohol
418606003 - Allergy to almond oil
439109008 - Allergy to alpha glucoside inhibitor
402306009 - Allergy to aluminum
439405005 - Allergy to angiotensin II receptor antagonist
232347008 - Allergy to animal
300911008 - Allergy to animal hair
91929009 - Allergy to anti-infective agent
418314004 - Allergy to apple juice
419180003 - Allergy to aspartame
294314002 - Allergy to bases and inactive substances
424213003 - Allergy to bee venom
402591008 - Allergy to biocide
402590009 - Allergy to biocide in cosmetic
418344001 - Allergy to caffeine
420080006 - Allergy to carrot
232346004 - Allergy to cat dander
418051002 - Allergy to cherry
441931002 - Allergy to chloroprocaine
418397007 - Allergy to cinnamon
448438007 - Allergy to cisatracurium
418085001 - Allergy to citrus fruit
419814004 - Allergy to coconut oil
419573007 - Allergy to corn
417982003 - Allergy to cosmetic
425525006 - Allergy to dairy product
447961002 - Allergy to dietary mushroom
419271008 - Allergy to dog dander
449324007 - Allergy to doxacurium
416098002 - Allergy to drug
402592001 - Allergy to drug in contact with skin
402593006 - Allergy to drug vehicle
418545001 - Allergy to dye
91930004 - Allergy to eggs
441725009 - Allergy to ertapenem
91931000 - Allergy to erythromycin
420140004 - Allergy to ethanol
420140004 - Allergy to ethyl alcohol
417532002 - Allergy to fish
402598002 - Allergy to flavor
91932007 - Allergy to fruit
418968001 - Allergy to gauze
418689008 - Allergy to grass pollen
418689008 - Allergy to hay
419063004 - Allergy to horse dander
442408006 - Allergy to imipenem
294162002 - Allergy to inhaled corticosteroids
409136006 - Allergy to legumes
402596003 - Allergy to lichen
418626004 - Allergy to lobster
91933002 - Allergy to macrolide antibiotic
439406006 - Allergy to meglitinide
442022002 - Allergy to meropenem
419474003 - Allergy to mildew
419474003 - Allergy to mold
419474003 - Allergy to mould
445395006 - Allergy to Myroxylon pereirae
419788000 - Allergy to nickel
91934008 - Allergy to nuts
419342009 - Allergy to oats
293580007 - Allergy to over-the-counter drug
419967000 - Allergy to oyster
91935009 - Allergy to peanuts
91936005 - Allergy to penicillin
448690007 - Allergy to phosphodiesterase 5 inhibitor
402594000 - Allergy to plant
300910009 - Allergy to pollen
417918006 - Allergy to pork
419619007 - Allergy to potato
409136006 - Allergy to pulse vegetables
418561004 - Allergy to ragweed pollen
473078001 - Allergy to raloxifene
449414003 - Allergy to rapacuronium
418815008 - Allergy to red meat
441992007 - Allergy to remifentanil
419412007 - Allergy to rubber
418184004 - Allergy to rye
422921000 - Allergy to scorpion venom
91937001 - Allergy to seafood
419101002 - Allergy to seed
441954006 - Allergy to sevoflurane
419972009 - Allergy to shrimp
427487000 - Allergy to spider venom
91938006 - Allergy to strawberries
419199007 - Allergy to substance
441955007 - Allergy to sufentanil
419421008 - Allergy to sulfite based food preservative
429239002 - Allergy to sulfonamide antibiotic
91939003 - Allergy to sulfonamides
419421008 - Allergy to sulphite based food preservative
429239002 - Allergy to sulphonamide antibiotic
91939003 - Allergy to sulphonamides
258155009 - Allergy to sunlight
473077006 - Allergy to teriparatide
439954005 - Allergy to thiazolidinedione
418779002 - Allergy to tomato
450767000 - Allergy to tramadol
419263009 - Allergy to tree pollen
402597007 - Allergy to tree resin
91940001 - Allergy to walnuts
423058007 - Allergy to wasp venom
419298007 - Allergy to watermelon
419210001 - Allergy to weed pollen
420174000 - Allergy to wheat
402595004 - Allergy to wood
425605001 - Allergy to wool
</t>
  </si>
  <si>
    <t xml:space="preserve">Yes - Yes
No - No
NA - Not applicable
</t>
  </si>
  <si>
    <t xml:space="preserve">Academic - Alternative school for students with academic difficulties
Discipline - Alternative school for students with discipline problems
Both - Alternative school for students with both discipline and academic problems 
</t>
  </si>
  <si>
    <t xml:space="preserve">Yes - Yes
No - No
NotSelected - Not selected
</t>
  </si>
  <si>
    <t>Adult Education -&gt; AE Student -&gt; Demographic
Career and Technical -&gt; CTE Student -&gt; Demographic
Early Learning -&gt; Early Learning Child -&gt; Demographic
Early Learning -&gt; Early Learning Staff -&gt; Demographic
K12 -&gt; K12 Staff -&gt; Demographic
K12 -&gt; K12 Student -&gt; Demographic
Postsecondary -&gt; PS Staff -&gt; Demographic
Postsecondary -&gt; PS Student -&gt; Demographic
Workforce -&gt; Workforce Program Participant -&gt; Demographic</t>
  </si>
  <si>
    <t xml:space="preserve">Met - Met
DidNotMeet - Did not meet
NoTitleIII - No Title III
NA - Not applicable
</t>
  </si>
  <si>
    <t>Adult Education -&gt; AE Student -&gt; Program Participation
Career and Technical -&gt; CTE Student -&gt; Program Participation
Early Learning -&gt; Early Learning Child -&gt; Enrollment
Early Learning -&gt; Early Learning Child -&gt; Services -&gt; Application
K12 -&gt; K12 Student -&gt; Enrollment
K12 -&gt; K12 Student -&gt; Program
Postsecondary -&gt; PS Applicant
Postsecondary -&gt; PS Student -&gt; Application
Postsecondary -&gt; PS Student -&gt; Institution Enrollment
Postsecondary -&gt; PS Student -&gt; Program Participation</t>
  </si>
  <si>
    <t xml:space="preserve">13371 - Arts
73065 - Career and Technical Education
13372 - English
00256 - English as a second language (ESL)
00546 - Foreign Languages
73088 - History Government - US
73089 - History Government - World
00554 - Language arts
01166 - Mathematics
00560 - Reading
13373 - Reading/Language Arts
00562 - Science
73086 - Science - Life
73087 - Science - Physical
13374 - Social Sciences (History, Geography, Economics, Civics and Government)
02043 - Special education
01287 - Writing
09999 - Other
</t>
  </si>
  <si>
    <t xml:space="preserve">Scheduling - Scheduling accommodations
Setting - Settings accommodations
EquipmentOrTechnology - Student equipment/technology
TestAdministration - Test administration accommodation
TestMaterial - Test material accommodations
TestResponse - Test response accommodation
EnglishLearner - English learner accommodation
504 - 504 accommodation
Other - Other
</t>
  </si>
  <si>
    <t xml:space="preserve">Client - Assigned by the client
Publisher - Assigned by the asset owner
Internal - Provided by an internal assessment service
Other - Custom identifier
</t>
  </si>
  <si>
    <t xml:space="preserve">ReadingPassage - Reading passage
GraphicArt - Graphic art
Map - Map
FormulaSheet - Formula sheet
Table - Table
Chart - Chart
Audio - Audio
Video - Video
Scenario - Scenario
Simulation - Simulation
StoryBoard - Story board
LabSet - Lab set
PeriodicTable - Periodic table
TranslationDictionary - Translation dictionary
BasicCalculator - Basic calculator
StandardCalculator - Standard calculator
ScientificCalculator - Scientific calculator
GraphingCalculator - Graphing calculator
Protractor - Protractor
MetricRuler - Metric ruler
EnglishRuler - English ruler
UnitsRuler - Units ruler
ReadingLine - Reading line
LineDraw - Line draw
Highlighter - Highlighter
OtherInteractive - Other interactive
OtherNonInteractive - Other non-interactive
Other - Other
</t>
  </si>
  <si>
    <t xml:space="preserve">AssociationStandard - Association standard
LocalStandard - Local standard
None - None
Other - Other
OtherStandard - Other standard
RegionalStandard - Regional standard
SchoolStandard - School standard
StatewideStandard - Statewide standard
</t>
  </si>
  <si>
    <t xml:space="preserve">01 - Language and Literacy
02 - Cognition and General Knowledge
03 - Approaches Toward Learning
04 - Physical Well-being and Motor
05 - Social and Emotional Development
</t>
  </si>
  <si>
    <t>Assessments -&gt; Assessment
Assessments -&gt; Assessment Subtest
Early Learning -&gt; Early Learning Child -&gt; Developmental Assessments</t>
  </si>
  <si>
    <t xml:space="preserve">School - School-assigned number
District - District-assigned number
State - State-assigned number
Federal - Federal identification number
OtherFederal - Other federally assigned number
TestContractor - Test contractor assigned assessment number
Other - Other
</t>
  </si>
  <si>
    <t xml:space="preserve">MeanSquareFit - Mean Square Fit
WeightedMeanSquareFit - Weighted Mean Square Fit
RevisedMeanSquareFit - Revised Mean Square Fit
RevisedPointBiserial - Revised Point Biserial Measure
RaschItemScore - Rasch Item Score
ResponseCorrelation - Response Correlation
ResponseCorrelationSquared - Response Correlation Squared
ZCHISquare - Z CHI Square
Pval - Pval
PointBiserial - Point Biserial
Biserial - Biserial
DiscriminationIndex - Discrimination Index
ReliabilityCoefficient - Reliability Coefficient
CoefficientAlpha - Coefficient Alpha
ItemTestCorrelation - Item Test Correlation
ItemVariance - Item Variance
ScaleValue - Scale Value
</t>
  </si>
  <si>
    <t xml:space="preserve">CustomInteraction - Custom Interaction
DrawingInteraction - Drawing Interaction
GapMatchInteraction - Gap Match Interaction
MatchInteraction - Match Interaction
GraphicGapMatchInteraction - Graphic Gap Match Interaction
HotspotInteraction - Hotspot Interaction
GraphicOrderInteraction - Graphic Order Interaction
GraphicAssociateInteraction - Graphic Associate Interaction
ChoiceInteraction - Choice Interaction
InlineChoiceInteraction - Inline Choice Interaction
MediaInteraction - Media Interaction
HottextInteraction - Hottext Interaction
OrderInteraction - Order Interaction
PositionObjectInteraction - Position Object Interaction
TextEntryInteraction - Text Entry Interaction
ExtendedTextInteraction - Extended Text Interaction
EndAttemptInteraction - End Attempt Interaction
UploadInteraction - Upload Interaction
AssociateInteraction - Associate Interaction
</t>
  </si>
  <si>
    <t xml:space="preserve">NotScored -  Not Scored
Scored - Scored
ScoringError - Scoring error
WaitingForMachineScore - Waiting For Machine Score
</t>
  </si>
  <si>
    <t xml:space="preserve">Correct - Correct
Incorrect - Incorrect
Complete - Complete
PartialComplete - Partial Complete
Viewed - Viewed
NotViewed - Not Viewed
Attempted - Attempted
Incomplete - Incomplete
InProgress - In Progress
NotProficient - Not Yet Proficient
Proficient - Proficient
</t>
  </si>
  <si>
    <t xml:space="preserve">CohenUnweighted - Cohen's unweighted algorithm
CohenWeighted - Cohen's weighted algorithm
FleissAlgorithm - Fleiss algorithm
</t>
  </si>
  <si>
    <t xml:space="preserve">None - None: 0
VeryLow - Very low: 0.01 - 0.34
Low - Low: 0.35 - 0.64
Moderate - Moderate: 0.65 - 1.34
High - High: 1.35 - 1.69
VeryHigh - Very high: &gt; 1.70
Perfect - Perfect: + infinity
</t>
  </si>
  <si>
    <t xml:space="preserve">01 - Automated Readability Index
02 - Bormuth Index
03 - Coleman Liau Index
04 - Coh-Metrix Readability
05 - Dale-Chall Readability Formula
06 - Flesch-Kincaid Grade Level
07 - Flesch Reading Ease Formula
08 - FORCAST
09 - Fry Readability Formula
10 - Gunning-Fog Scale
11 - Hull Formula
12 - Lexile
13 - Linsear Write Formula
14 - McAlpine EFLAW
15 - Powers-Sumner-Kearl
16 - Raygor Readability Estimate
17 - SMOG Index
18 - Spache Readability Formula
19 - Strain Index
</t>
  </si>
  <si>
    <t xml:space="preserve">MultipleChoice - Multiple-choice
FillInTheBlank - Fill-in-the-blank
TrueFalse - True/False
MultipleResponse - Multiple Response
Matching - Matching
ShortAnswer - Short answer
Labeling - Labeling
VisualRepresentation - Visual representation
ShowYourWork - Show your work
OtherConstructedResponse - Other constructed response
PerformanceTask - Performance task
ExtendedResponse - Extended Response (Essay)
TechnologyEnhancedInteractive - Technology Enhanced / Interactive
Reordering - Reordering
Substitution - Substitution
Other - Other
</t>
  </si>
  <si>
    <t xml:space="preserve">Audio - Audio
Video - Video
Graphic - Graphic
Text - Text
Interactive - Interactive
</t>
  </si>
  <si>
    <t xml:space="preserve">Contracted - Contracted
Uncontracted - Uncontracted
</t>
  </si>
  <si>
    <t xml:space="preserve">Highlight - Highlight
Bold - Bold
Underline - Underline
Italic - Italic
Strikeout - Strikeout
Color - Color
</t>
  </si>
  <si>
    <t xml:space="preserve">Off - Off
Left - Left
Right - Right
</t>
  </si>
  <si>
    <t xml:space="preserve">Flashing - Flashing
Sound - Sound
Olfactory - Olfactory
MotionSimulation - Motion simulation
</t>
  </si>
  <si>
    <t xml:space="preserve">Line - Line
Word - Word
Character - Character
</t>
  </si>
  <si>
    <t xml:space="preserve">SpeakLink - Speak link
DifferentVoice - Different voice
SoundEffect - Sound effect
None - None
</t>
  </si>
  <si>
    <t xml:space="preserve">CustomMask - Custom mask
AnswerMask - Answer mask
</t>
  </si>
  <si>
    <t xml:space="preserve">6 - Six Braille Dots
8 - Eight Braille Dots
</t>
  </si>
  <si>
    <t xml:space="preserve">ASL - American Sign Language
SignedEnglish - Signed English
</t>
  </si>
  <si>
    <t xml:space="preserve">Human - Human
Synthetic - Synthetic
</t>
  </si>
  <si>
    <t xml:space="preserve">Dictionary - Dictionary
Calculator - Calculator
NoteTaking - Note taking
PeerInteraction - Peer interaction
Thesaurus - Thesaurus
Abacus - Abacus
SpellChecker - Spell checker
Homophone - Homophone checker
MindMapping - Mind mapping software
OutlineTool - Outline tool
</t>
  </si>
  <si>
    <t xml:space="preserve">Required - Required
Preferred - Preferred
OptionallyUse - Optionally  use
Prohibited - Prohibited
</t>
  </si>
  <si>
    <t xml:space="preserve">TextOnly - Text only
TextGraphics - Text and graphics
GraphicsOnly - Graphics only
NonVisual - Non-visual
</t>
  </si>
  <si>
    <t xml:space="preserve">Paper - Paper
Computer - Computer
Mobile - Mobile
Clicker - Clicker
Other - Other
Handheld - Handheld
Tablet - Tablet
</t>
  </si>
  <si>
    <t xml:space="preserve">00512 - Achievement/proficiency level
00494 - ACT score
00490 - Age score
00491 - C-scaled scores
00492 - College Board examination scores
00493 - Grade equivalent or grade-level indicator
03473 - Graduation score
03474 - Growth/value-added/indexing
03475 - International Baccalaureate score
00144 - Letter grade/mark
00513 - Mastery level
00497 - Normal curve equivalent
00498 - Normalized standard score
00499 - Number score
00500 - Pass-fail
03476 - Percentile
00502 - Percentile rank
00503 - Proficiency level
03477 - Promotion score
00504 - Ranking
00505 - Ratio IQ's
03478 - Raw score
03479 - Scale score
00506 - Standard age score
00508 - Stanine score
00509 - Sten score
00510 - T-score
03480 - Workplace readiness score
00511 - Z-score
09999 - Other
</t>
  </si>
  <si>
    <t xml:space="preserve">00050 - Admission
00051 - Assessment of student's progress
73055 - College Readiness
00063 - Course credit
00064 - Course requirement
73069 - Diagnosis
03459 - Federal accountability
73068 - Inform local or state policy
00055 - Instructional decision
03457 - Local accountability
02404 - Local graduation requirement
73042 - Obtain a state- or industry-recognized certificate or license
73043 - Obtain postsecondary credit for the course
73067 - Program eligibility
00057 - Program evaluation
00058 - Program placement
00062 - Promotion to or retention in a grade or program
00061 - Screening
03458 - State accountability
09999 - Other
00054 - State graduation requirement
</t>
  </si>
  <si>
    <t xml:space="preserve">Appeal - Appeal
Completed - Completed
Expired - Expired
Handscoring - Handscoring
Invalidated - Invalidated
Paused - Paused
Reported - Reported
Reset - Reset
Scored - Scored
Submitted - Submitted
</t>
  </si>
  <si>
    <t xml:space="preserve">Participated - Participated
DidNotParticipate - Did Not Participate
</t>
  </si>
  <si>
    <t xml:space="preserve">ParentsOptOut - Parents opt out
Absent - Absent during
Other - Did not participate for other reason
OutOfLevelTest - Participated in an out of level test
NoValidScore - No valid score
Medical - Medical emergency
Moved - Moved
LeftProgram - Person left program - unable to locate
</t>
  </si>
  <si>
    <t xml:space="preserve">Integer - Integer
Decimal - Decimal
Percentile - Percentile
String - String
</t>
  </si>
  <si>
    <t xml:space="preserve">GradeLevel - At or above Grade Level
BelowGradeLevel - Below Grade Level
NA - Not applicable
</t>
  </si>
  <si>
    <t xml:space="preserve">Initial - An initial assessment score instance.
Reliability - An assessment score instance recorded as a measure of reliability
Resolution -  An assessment score instance recorded after resolution of scoring or data issues.
Backread - An assessment score recorded to determine whether or not each individual scorer is correctly applying the scoring guide to student responses.
Final - The final assessment score instance.
</t>
  </si>
  <si>
    <t xml:space="preserve">13807 - Long-term suspension - non-special education
13808 - Short-term suspension - non-special education
13809 - Suspension - special education
13810 - Truancy - paperwork filed
13811 - Truancy - no paperwork filed
13812 - Earlier truancy
13813 - Chronic absences
13814 - Catastrophic illness or accident
13815 - Home schooled for assessed subjects
13816 - Student took this grade level assessment last year
13817 - Incarcerated at adult facility
13818 - Special treatment center
13819 - Special detention center
13820 - Parent refusal
13821 - Cheating
13822 - Psychological factors of emotional trauma
13823 - Student not showing adequate effort
13824 - Homebound
13825 - Foreign exchange student
13826 - Student refusal
13827 - Reading passage read to student (IEP)
13828 - Non-special education student used calculator on non-calculator items
13829 - Student used math journal (non-IEP)
13830 - Other reason for ineligibility
13831 - Other reason for nonparticipation
13832 - Left testing
13833 - Cross-enrolled
13834 - Only for writing
13835 - Administration or system failure
13836 - Teacher cheating or mis-admin
13837 - Fire alarm
09999 - Other
</t>
  </si>
  <si>
    <t xml:space="preserve">Teacher - Teacher
Principal - Principal
Administrator - Administrator
Proctor - Proctor
Observer - Observer
Scorer - Scorer
Registrar - Registrar
</t>
  </si>
  <si>
    <t xml:space="preserve">Standard - Standard
Accommodation - Accommodation
</t>
  </si>
  <si>
    <t xml:space="preserve">Client - Client
Publisher - Publisher
Internal - Internal
Other - Other
</t>
  </si>
  <si>
    <t xml:space="preserve">AchievementTest - Achievement test
AdvancedPlacementTest - Advanced placement test
AlternateAssessmentELL - Alternate assessment/ELL
AlternateAssessmentGradeLevelStandards - Alternate assessment/grade-level standards
AlternativeAssessmentModifiedStandards - Alternative assessment/modified standards
AptitudeTest - Aptitude Test
Benchmark - Benchmark
CognitiveAndPerceptualSkills - Cognitive and perceptual skills test
ComputerAdaptiveTest - Computer Adaptive Test
DevelopmentalObservation - Developmental observation
Diagnostic - Diagnostic
DirectAssessment - Direct Assessment
Formative - Formative
GrowthMeasure - Growth Measure
Interim - Interim
KindergartenReadiness - Kindergarten Readiness
LanguageProficiency - Language proficiency test
MentalAbility - Mental ability (intelligence) test
Observation - Observation
ParentReport - Parent Report
PerformanceAssessment - Performance assessment
PortfolioAssessment - Portfolio assessment
PrekindergartenReadiness - Prekindergarten Readiness
ReadingReadiness - Reading readiness test
Screening - Screening
TeacherReport - Teacher Report
Other - Other
</t>
  </si>
  <si>
    <t xml:space="preserve">DailyAttendance - Daily attendance
ClassSectionAttendance - Class/section attendance
ProgramAttendance - Program attendance
ExtracurricularAttendance - Extracurricular attendance
</t>
  </si>
  <si>
    <t xml:space="preserve">Staff - Staff
Student - Student
Parent/Guardian - Parent/Guardian
LEARepresentative - LEA Representative
OutsideAgencySupportRepresentative - Outside Agency Support Representative
</t>
  </si>
  <si>
    <t>Career and Technical -&gt; CTE Student -&gt; Status
Early Learning -&gt; Early Learning Child -&gt; Status
K12 -&gt; K12 Student -&gt; Status
Postsecondary -&gt; PS Student -&gt; Status</t>
  </si>
  <si>
    <t>Career and Technical -&gt; CTE Student -&gt; Disability
Early Learning -&gt; Early Learning Child -&gt; Disability
K12 -&gt; K12 Student -&gt; Disability</t>
  </si>
  <si>
    <t xml:space="preserve">Eligibility - Eligibility for homeless services
SchoolSelection - School selection
Transportation - Transportation
SchoolRecords - School records
Immunizations - Immunizations
OtherMedicalRecords - Other medical records
OtherBarriers - Other barriers
</t>
  </si>
  <si>
    <t xml:space="preserve">NotAffordable - Not Affordable
NotAvailable - Not Available
NotDesired - Not Desired
Other - Other
</t>
  </si>
  <si>
    <t xml:space="preserve">FaceToFaceContact - Face-to-Face Contact
EventBased - Event-based
TimeBased - Time-based
</t>
  </si>
  <si>
    <t>Adult Education -&gt; AE Staff -&gt; Demographic
Adult Education -&gt; AE Student -&gt; Demographic
Career and Technical -&gt; CTE Staff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</si>
  <si>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 xml:space="preserve">02986 - Administrative office/room
02747 - Attendance reception
02744 - Clerical areas
02746 - Conference room
02748 - General reception
75032 - IT center
02745 - Mail room
02742 - Principal's office
02754 - PTO/PTA spaces
02756 - Records room/vault
02753 - School bank
02752 - School store
02749 - Security/police/probation office
02755 - Site-based council office
02750 - Staff lounge
02751 - Staff work room
02759 - Storage - instructional equipment
02758 - Storage - resource materials
02757 - Storage - textbook
02743 - Vice-principal/assistant principal's office
09999 - Other
</t>
  </si>
  <si>
    <t xml:space="preserve">02497 - Air handler units
02496 - Both mechanical exhaust and supply units
02493 - Gravity ventilation units
02494 - Mechanical exhaust units
02495 - Mechanical supply units
09999 - Other units
02492 - Window ventilation units
</t>
  </si>
  <si>
    <t xml:space="preserve">02644 - 2-dimensional art classroom
02645 - 3-dimensional art classroom
02647 - Ceramic studio
02646 - Darkroom
02649 - Kiln room
02648 - Photography studio/graphic arts
09999 - Other
</t>
  </si>
  <si>
    <t xml:space="preserve">02768 - Auditorium (fixed seats)
02772 - Backstage room/green room
02769 - Control room
02770 - Costume storage area
03108 - Disaster shelter area
02773 - Multi-purpose Room
02771 - Set storage area
09999 - Other
</t>
  </si>
  <si>
    <t xml:space="preserve">01304 - Elementary
01981 - Preschool/early childhood
03495 - Resource
02403 - Secondary
14906 - Skills center
09999 - Other
</t>
  </si>
  <si>
    <t xml:space="preserve">02691 - Aeronautical technology classroom
02685 - Agricultural/natural resources shop
02682 - Automotive/avionics technology shop
02687 - Barbering and cosmetology shop
02702 - Biotechnology laboratory
02692 - Building construction technology shop
02697 - Business and administrative services/office management laboratory
02678 - Computer/information technology laboratory
02680 - Consumer science - clothing classroom
02679 - Consumer science - food classroom
02690 - Dental science classroom
02684 - Drafting room/CAD/CAM
02699 - Early childhood laboratory/child care center
02683 - Electronics/engineering technology laboratory
02681 - Family and consumer science
02695 - Financial services center/bank
02696 - Food services/hospitality laboratory
02700 - Graphic/digital arts and design studio
02686 - Greenhouse
02698 - Health occupations laboratory
02701 - Law enforcement/fire technology/protective services laboratory
02688 - Multimedia production studio/communications
02693 - Precision manufacturing laboratory/metalworking shop
02694 - Retail store/entrepreneurship laboratory
02689 - Wood shop
09999 - Other
</t>
  </si>
  <si>
    <t xml:space="preserve">13691 - Leasehold
13692 - Ownership by Charter Non-Profit Corporation
13693 - Third Party Non-Profit Ownership
14907 - Third-party public sector ownership
</t>
  </si>
  <si>
    <t xml:space="preserve">02516 - Elevator
02517 - Escalator
02774 - Hallway
13619 - Handicap Access Ramp
13593 - Lift
02776 - Lobby
13594 - Moving Walk
02775 - Stairway
09999 - Other
</t>
  </si>
  <si>
    <t xml:space="preserve">02831 - Level 1 cleaning
02832 - Level 2 cleaning
02833 - Level 3 cleaning
02834 - Level 4 cleaning
02835 - Level 5 cleaning
</t>
  </si>
  <si>
    <t xml:space="preserve">02500 - Data
14905 - Integrated (voice, data, video, etc.)
02501 - Public address system
02499 - Video
02498 - Voice
09999 - Other
</t>
  </si>
  <si>
    <t xml:space="preserve">02764 - Before- and after-school care
02760 - Before- and after-school office
02761 - Child care and development space
02765 - Community room
02767 - Family resource center
02766 - Full-service health clinic
02987 - Head Start space
02762 - Health clinic
02763 - Parent room
09999 - Other
</t>
  </si>
  <si>
    <t xml:space="preserve">02490 - Ceiling fans or ventilation fans
02486 - Central cooling system
02489 - Combination cooling systems
02488 - Individual (room) unit cooling system
02487 - Local zone cooling system
02491 - Natural systems
09998 - None
09999 - Other
</t>
  </si>
  <si>
    <t xml:space="preserve">02621 - Assembly building
02614 - Central kitchen building
02619 - Dormitory building
02616 - Field house building
02613 - Garage building
02620 - Gymnasium building
02617 - Media production center building
02618 - Natatorium
02611 - Office building
03106 - School building
02610 - Service center building
02615 - Stadium building
02612 - Warehouse building
09999 - Other
</t>
  </si>
  <si>
    <t xml:space="preserve">02476 - Circuit breakers
13570 - Communications and security
02473 - Electrical distribution
02475 - Electrical interface
13571 - Electrical service and distribution
02472 - Electrical supply
02474 - Emergency generator
13572 - Lighting and branch wiring
09999 - Other
</t>
  </si>
  <si>
    <t xml:space="preserve">13653 - Daylighting
13654 - Delamping
02848 - HVAC replacement
02847 - Installation of energy controls
14904 - Installation of solar equipment
02850 - Insulation improvements
02849 - Lighting replacement
14903 - Relamping
02846 - Window replacement
09999 - Other
</t>
  </si>
  <si>
    <t xml:space="preserve">13655 - Biomass
02858 - Coal
02854 - Electric
02853 - Gas
02857 - Geothermal
02859 - Nuclear
02842 - Oil
02855 - Solar
02843 - Water
02856 - Wind
09999 - Other
</t>
  </si>
  <si>
    <t xml:space="preserve">13620 - Climate/Emissions
13621 - Energy
13622 - Indoor Environmental Quality
13623 - Innovations in Operations/ Project/ Environmental Management
13624 - Leadership, Education and Innovation
13625 - Materials and Resources
13626 - Regional Priority
13627 - Sustainable Sites
</t>
  </si>
  <si>
    <t xml:space="preserve">02513 - Alarms
02511 - Automatic sprinkler
13579 - Fire protection specialists
02512 - Fire pump/extinguishers
02514 - Kitchen fire suppressor system
13580 - Other fire protection systems
13581 - Standpipes
09999 - Other
</t>
  </si>
  <si>
    <t xml:space="preserve">02792 - Cafeteria
02793 - Cafetorium
02797 - Convenience kitchen
03251 - Dish return area
02799 - Dry food/non-hazardous supplies storage area
02794 - Faculty dining room
02798 - Finishing/satellite kitchen
03254 - Food receiving area
02800 - Food serving area
02796 - Full-service kitchen
13629 - Kitchen garden
02988 - Multipurpose room
03253 - Recyclable materials area
03109 - Refrigerated/freezer storage area
02801 - Storage of tables and chairs
02795 - Student dining room
03252 - Trash disposal area
09999 - Other
</t>
  </si>
  <si>
    <t xml:space="preserve">03247 - Central kitchen
03250 - Non-production kitchen
03248 - Production kitchen
03249 - Self-contained kitchen
</t>
  </si>
  <si>
    <t xml:space="preserve">02482 - Central duct system
02485 - Displacement ventilation
02484 - Forced air
02479 - Heat pump
02478 - Hot water radiator
02483 - Open plenum system
02477 - Steam radiator
02481 - Unit heaters/baseboard heaters
02480 - Unit ventilators
09999 - Other
</t>
  </si>
  <si>
    <t xml:space="preserve">02415 - Ineligible
02417 - Locally designated
02412 - Locally eligible, not yet designated
75020 - Located in historic district
02419 - Nationally designated
02414 - Nationally eligible, not yet designated
02416 - Not evaluated
02418 - State designated
02413 - State eligible, not yet designated
</t>
  </si>
  <si>
    <t xml:space="preserve">13585 - Air distribution system
13586 - Controls and instrumentation
13587 - Cooling generation systems
13588 - Energy supply
13589 - Heat generating system
13590 - Other HVAC systems and equipment
13591 - Systems testing and balancing
13592 - Terminal and package units
</t>
  </si>
  <si>
    <t xml:space="preserve">02709 - Auxiliary gymnasium
02712 - Dance studio
02716 - Equipment storage
02984 - Gymnasium
02719 - Health classroom
02715 - Locker room
02718 - Multipurpose space
02720 - Playtorium (auditorium/gymnasium)
02714 - Pool/natatorium
02717 - Press box
02713 - Team room
02710 - Weight training room
02711 - Wrestling room
09999 - Other
</t>
  </si>
  <si>
    <t xml:space="preserve">02811 - Instructional space
02812 - Noninstructional space
</t>
  </si>
  <si>
    <t xml:space="preserve">13710 - Increase programs and services for students
13711 - Increase programs and services for the community
13712 - Increase utilization of under used space
13709 - Raise revenue
</t>
  </si>
  <si>
    <t xml:space="preserve">13694 - Drop-in use
13697 - Long term lease
13695 - One-time event use
13696 - Short-term lease
</t>
  </si>
  <si>
    <t xml:space="preserve">13705 - Civic groups
13704 - Individuals
13706 - Other public agencies
13708 - Private for-profit corporations
13707 - Private non-profit organizations
</t>
  </si>
  <si>
    <t xml:space="preserve">02703 - Collections room
02706 - Copy center
02705 - Distance learning lab
02704 - Reading room
13632 - Reception/checkout desk
02707 - Study room
02708 - Workroom
09999 - Other
</t>
  </si>
  <si>
    <t xml:space="preserve">02516 - Elevator
02517 - Escalator
13593 - Lift
13594 - Moving Walk
13595 - Other conveying system
</t>
  </si>
  <si>
    <t xml:space="preserve">02455 - Air distribution system
02454 - Cooling generation system
02453 - Heating generation system
09999 - Other
</t>
  </si>
  <si>
    <t xml:space="preserve">02780 - Boiler room
02784 - Communications closet
02778 - Custodial closet
02777 - Custodian office
02783 - Electrical closet
02781 - Fan room
02779 - Mechanical room
02790 - Public toilet
02785 - Server room
02791 - Staff toilet
02786 - Storage - flammable materials
02788 - Storage - hazardous materials
02787 - Storage - maintenance equipment
02789 - Student toilet
02782 - Systems control room
09999 - Other
</t>
  </si>
  <si>
    <t xml:space="preserve">02728 - Baseball field
02724 - Bleacher seating
02722 - Concessions/restrooms
02985 - Field house
02727 - Fitness trail
02730 - Football field
02721 - Multipurpose grassy play field
02732 - Other sports field
02726 - Paved outdoor basketball courts
02731 - Soccer field
02729 - Softball field
02725 - Tennis courts
02723 - Track/fields
09999 - Other
</t>
  </si>
  <si>
    <t xml:space="preserve">13629 - Kitchen garden
13635 - Natural habitat area
13633 - Outdoor classroom
13634 - Outdoor seating
02433 - Playground
03409 - Sandbox
03407 - Schoolyard Garden
13636 - Splash play area
</t>
  </si>
  <si>
    <t xml:space="preserve">02768 - Auditorium (fixed seats)
02772 - Backstage room/green room
13637 - Balcony
02650 - Band room
02654 - Blackbox theater
02652 - Choral room
02769 - Control room
02770 - Costume storage area
02653 - Drama classroom
02655 - Instrument storage
02656 - Keyboard laboratory
02659 - Multimedia production center
02658 - Multipurpose music room
02651 - Practice room
02660 - Radio/television broadcast studios
02771 - Set storage area
02657 - Television studio
09999 - Other
</t>
  </si>
  <si>
    <t xml:space="preserve">02470 - Detention ponds
13596 - Domestic water distribution
02463 - Drains
02471 - Filtration system
02467 - Parcel drainage
02468 - Piping
13597 - Plumbing fixtures
13598 - Rain water drainage
13599 - Sanitary waste
02465 - Sewage treatment
02464 - Vents
02469 - Water softeners
02466 - Water source
02462 - Water supply
09999 - Other
</t>
  </si>
  <si>
    <t xml:space="preserve">13561 - Church
13562 - Commercial office building
13563 - Commercial warehouse
13564 - Community center
13565 - Public school building
</t>
  </si>
  <si>
    <t xml:space="preserve">02608 - 6-12 school
02605 - Adult education school
02609 - Alternative school
02604 - Career-technology education center
02599 - Early childhood center
02600 - Elementary school
02602 - Junior high school
02607 - K-8 school
02601 - Middle school
13638 - Performing arts school
13639 - Science, technology, engineering and math (STEM) school
02603 - Senior high school
02606 - Special education school
09999 - Other
</t>
  </si>
  <si>
    <t xml:space="preserve">02661 - Biology laboratory
02668 - Chemical storage room
02662 - Chemistry laboratory
02663 - Environmental science laboratory
02670 - General science laboratory
02669 - Miscellaneous storage room
02435 - Outdoor classroom
02664 - Physics laboratory
02665 - Planetarium
02666 - Prep room
02667 - Science lecture room
09999 - Other
</t>
  </si>
  <si>
    <t xml:space="preserve">02508 - Card access control system
02507 - Intrusion detection system
02509 - Keypad access control system
02510 - Metal detector
02499 - Video
09999 - Other
</t>
  </si>
  <si>
    <t xml:space="preserve">02446 - Enterprise zone
02449 - Environmental contamination
02448 - Environmental protection
02447 - Historic district
02445 - Land use
02450 - Site easements
09999 - Other
</t>
  </si>
  <si>
    <t xml:space="preserve">02633 - Administration
02634 - Assembly
02631 - Athletic
02628 - Basic classroom
02635 - Corridors
02639 - Dormitory room
02638 - Food service
02630 - Library/media
02773 - Multi-purpose Room
02636 - Operational support
03017 - Restroom
02629 - Specialty classroom
02637 - Storage
02788 - Storage - hazardous materials
02632 - Student support
09999 - Other
</t>
  </si>
  <si>
    <t xml:space="preserve">02674 - IEP conference room
02675 - Itinerant staff room
02671 - Occupational therapy room
02673 - Physical therapy room
03107 - Resource room
02676 - Self-contained classroom
02672 - Speech and hearing room
09999 - Other
</t>
  </si>
  <si>
    <t xml:space="preserve">02738 - Career center
02739 - College center
02737 - Guidance/counseling room
02736 - Health room lavatory
02735 - Health suite
02733 - In-school suspension room
02740 - Internship center
02734 - Nurse's station
02741 - Student club space
09999 - Other
</t>
  </si>
  <si>
    <t xml:space="preserve">02455 - Air distribution system
02456 - Communications system
02454 - Cooling generation system
02452 - Electrical system
02459 - Fire protection system
02453 - Heating generation system
02460 - Mechanical system
02451 - Plumbing system
02458 - Security system
02457 - Technology wiring
02461 - Vertical transportation
</t>
  </si>
  <si>
    <t xml:space="preserve">02504 - Coaxial cable
02503 - Fiber optic cable
02506 - Twisted pair
02502 - Wire cable
02505 - Wireless
09999 - Other
</t>
  </si>
  <si>
    <t xml:space="preserve">13700 - Administration building
13699 - Alternative school
02621 - Assembly building
02614 - Central kitchen building
02803 - Chapel building
02619 - Dormitory building
02616 - Field house building
02613 - Garage building
13698 - Grade level school
02620 - Gymnasium building
02806 - Holding school
02804 - Investment
02617 - Media production center building
02618 - Natatorium
02805 - Not in use
02611 - Office building
02802 - Operations building
03106 - School building
02610 - Service center building
02615 - Stadium building
02612 - Warehouse building
09999 - Other
</t>
  </si>
  <si>
    <t xml:space="preserve">02516 - Elevator
02517 - Escalator
02515 - Stairs
09999 - Other
</t>
  </si>
  <si>
    <t xml:space="preserve">EmergencyDay - Emergency day
Holiday - Holiday
InstructionalDay - Instructional day
Other - Other
Strike - Strike
LateArrivalEarlyDismissal - Student late arrival/early dismissal
TeacherOnlyDay - Teacher only day
</t>
  </si>
  <si>
    <t xml:space="preserve">Administration - Administration
Education - Education
Operations - Operations
Residential - Residential
Other - Other
</t>
  </si>
  <si>
    <t xml:space="preserve">OnCampus - On campus
OffCampusWFamily - Off campus, with family
OffCampusWOFamily - Off campus, without family
Unknown - Unknown
</t>
  </si>
  <si>
    <t xml:space="preserve">75021 - In district use
75022 - Leased
75023 - Inactive
75024 - Decommissioned
75025 - Sold
</t>
  </si>
  <si>
    <t xml:space="preserve">IncludedAsGraduated - Included in computation as graduated  
NotIncludedAsGraduated - Included in computation as not graduated.
</t>
  </si>
  <si>
    <t xml:space="preserve">01 - Agriculture, Food &amp; Natural Resources
02 - Architecture &amp; Construction
03 - Arts, A/V Technology &amp; Communications
04 - Business Management &amp; Administration
05 - Education &amp; Training
06 - Finance
07 - Government &amp; Public Administration
08 - Health Science
09 - Hospitality &amp; Tourism
10 - Human Services
11 - Information Technology
12 - Law, Public Safety, Corrections &amp; Security
13 - Manufacturing
14 - Marketing
15 - Science, Technology, Engineering &amp; Mathematics
16 - Transportation, Distribution &amp; Logistics
</t>
  </si>
  <si>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K12 -&gt; Course Section
K12 -&gt; K12 Course
Learning Resources -&gt; Learning Resource
Postsecondary -&gt; PS Student -&gt; Program Participation</t>
  </si>
  <si>
    <t>Career and Technical -&gt; CTE Student -&gt; Career Education Plan
Early Learning -&gt; Early Learning Child -&gt; Individualized Program
Early Learning -&gt; Early Learning Staff -&gt; Professional Development
K12 -&gt; K12 Staff -&gt; Professional Development
K12 -&gt; K12 Student -&gt; Academic Record
K12 -&gt; K12 Student -&gt; Individualized Program
Postsecondary -&gt; PS Staff -&gt; Professional Development</t>
  </si>
  <si>
    <t xml:space="preserve">Education - Education plan
Career - Career plan
Both - Both education and career plan
Other - Other
</t>
  </si>
  <si>
    <t xml:space="preserve">Underrepresented - Members of an underrepresented gender group
NotUnderrepresented - Not members of an underrepresented gender group
</t>
  </si>
  <si>
    <t>Career and Technical -&gt; CTE Student -&gt; Status
Postsecondary -&gt; PS Student -&gt; CTE</t>
  </si>
  <si>
    <t xml:space="preserve">Assoc/Pub-R-S - Associate's--Public Rural-serving Small
Assoc/Pub-R-M - Associate's--Public Rural-serving Medium
Assoc/Pub-R-L - Associate's--Public Rural-serving Large
Assoc/Pub-S-SC - Associate's--Public Suburban-serving Single Campus
Assoc/Pub-S-MC - Associate's--Public Suburban-serving Multicampus
Assoc/Pub-U-SC - Associate's--Public Urban-serving Single Campus
Assoc/Pub-U-MC - Associate's--Public Urban-serving Multicampus
Assoc/Pub-Spec - Associate's--Public Special Use
Assoc/PrivNFP - Associate's--Private Not-for-profit
Assoc/PrivFP - Associate's--Private For-profit
Assoc/Pub2in4 - Associate's--Public 2-year Colleges under 4-year Universities
Assoc/Pub4 - Associate's--Public 4-year Primarily Associate's
Assoc/PrivNFP4 - Associate's--Private Not-for-profit 4-year Primarily Associate's
Assoc/PrivFP4 - Associate's--Private For-profit 4-year Primarily Associate's
RU/VH - Research Universities (very high research activity)
RU/H - Research Universities (high research activity)
DRU - Doctoral/Research Universities
Masters/L - Master's Colleges and Universities (larger programs)
Masters/M - Master's Colleges and Universities (medium programs)
Masters/S - Master's Colleges and Universities (smaller programs)
Bac/A&amp;S - Baccalaureate Colleges--Arts &amp; Sciences
Bac/Diverse - Baccalaureate Colleges--Diverse Fields
Bac/Assoc - Baccalaureate/Associate's Colleges
Spec/Faith - Special Focus Institutions--Theological seminaries, Bible colleges, other faith-related institutions
Spec/Med - Special Focus Institutions--Medical schools and medical centers
Spec/Health - Special Focus Institutions--Other health professions schools
Spec/Engg - Special Focus Institutions--Schools of engineering
Spec/Tech - Special Focus Institutions--Other technology-related schools
Spec/Bus - Special Focus Institutions--Schools of business and management
Spec/Arts - Special Focus Institutions--Schools of art, music, and design
Spec/Law - Special Focus Institutions--Schools of law
Spec/Other - Special Focus Institutions-Other special-focus institutions
Tribal - Tribal Colleges
</t>
  </si>
  <si>
    <t xml:space="preserve">SBE - State board of education
PCSB - Public charter school board
UNI - University
CC - Community college
LEA - Local education agency
OTH - Other
GOVTENT - Non educational government entities
NONPROFIT - Not for profit organization
SEA - State department of education
</t>
  </si>
  <si>
    <t xml:space="preserve">CMO - Charter Management Organization
EMO - Education Management Organization
SMFP - Single Management (for-profit)
SMNP - Single Management (non-profit)
</t>
  </si>
  <si>
    <t xml:space="preserve">School - School Charter
CollegeUniversity - College/University Charter
NA - Not a Charter School
</t>
  </si>
  <si>
    <t xml:space="preserve">01 - Infant/toddler
02 - Preschool
03 - Family child care home
04 - Home visitor
06 - Other
07 - Bilingual
99 - No current CDA indicated
</t>
  </si>
  <si>
    <t xml:space="preserve">FurtherEvaluationNeeded - Further evaluation needed
NoFurtherEvaluationNeeded - No further evaluation needed
NoScreeningPerformed - No Screening Performed
AssessmentToolUnavailable - Appropriate Assessment Tool Unavailable
PersonnelUnavailable - Personnel Unavailable
</t>
  </si>
  <si>
    <t xml:space="preserve">CanadianSIN - Canadian Social Insurance Number
District - District-assigned number
Family - Family unit number
Federal - Federal identification number
NationalMigrant - National migrant number
School - School-assigned number
SSN - Social Security Administration number
State - State-assigned number
StateMigrant - State migrant number
Program - Program-assigned number
</t>
  </si>
  <si>
    <t>Early Learning -&gt; Early Learning Child -&gt; Identity -&gt; Identification
Early Learning -&gt; Parent/Guardian -&gt; Relationship</t>
  </si>
  <si>
    <t xml:space="preserve">01 - Does not show functioning expected at age - does not include immediate foundational skills
02 - Occasionally uses immediate foundational skills across settings and situations
03 - Does not show functioning expected at age - uses immediate foundational skills
04 - Shows occasional age-appropriate functioning across settings and situations
05 - Shows functioning expected at age some of the time and/or in some settings and situations
06 - Functioning generally is considered appropriate for age but there are some significant concerns
07 - Shows functioning expected for age in all or almost all everyday situations
</t>
  </si>
  <si>
    <t xml:space="preserve">No - No
Not Selected - Not Selected
Yes - Yes
</t>
  </si>
  <si>
    <t>Adult Education -&gt; Course Section
Career and Technical -&gt; Course Section
Early Learning -&gt; Early Learning Class/Group
K12 -&gt; Course Section</t>
  </si>
  <si>
    <t xml:space="preserve">PrimaryEnrollment - Primary enrollment
AdditionalEnrollment - Additional enrollment
PrimaryCompletion - Primary completion
AdditionalCompletion - Additional completion
</t>
  </si>
  <si>
    <t xml:space="preserve">CIP1980 - CIP 1980
CIP1985 - CIP 1985
CIP1990 - CIP 1990
CIP2000 - CIP 2000
CIP2010 - CIP 2010
</t>
  </si>
  <si>
    <t xml:space="preserve">01 - Death
02 - Total and permanent disability
03 - Service in the armed forces
04 - Service with a foreign aid service of the federal government
05 - Service on official church missions
</t>
  </si>
  <si>
    <t xml:space="preserve">Library - Library
School - School
ChildDevelopmentCenter - Child development center
Hospital - Hospital
PublicK12School - Public K12 School
University - University
Other - Other
</t>
  </si>
  <si>
    <t>Early Learning -&gt; Early Learning Child -&gt; Program
Early Learning -&gt; Early Learning Organization -&gt; Organization Information</t>
  </si>
  <si>
    <t xml:space="preserve">Prerequisite - Prerequisite
ConformsTo - Conforms To
Defines - Defines
HasFormat - Has Format
HasPart - Has Part
HasVersion - Has Version
IsAssessedBy - Is Assessed By
IsConformedTo - Is Conformed To
IsDefinedBy - Is Defined By
FormatOf - Is Format of
IsPartOf - Is Part Of
IsPrerequisiteTo - Is Prerequisite To
ReferencedBy - Is Referenced By
ReplacedBy - Is Replaced By
RequiredBy - Is Required By
IsTaughtBy - Is Taught By
VersionOf - Is Version Of
Referenced - Referenced
Assesses - Assesses
Teaches - Teaches
Requires - Requires
ComplexityLevel - Complexity Level
ReadingLevel - Reading Level
EducationalSubject - Educational Subject
EducationLevel - Education Level
Precedes - Precedes
Follows - Follows
IsConcurrentTo - Is Concurrent To
</t>
  </si>
  <si>
    <t xml:space="preserve">Cognitive - Cognitive
Affective - Affective
Psychomotor - Psychomotor
</t>
  </si>
  <si>
    <t xml:space="preserve">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00803 - Grade 13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73085 - Doctor’s degree-research/scholarship
09999 - Other
</t>
  </si>
  <si>
    <t xml:space="preserve">Linguistic - Linguistic
Logic-mathematical - Logic-mathematical
Musical - Musical
Spatial - Spatial
BodilyKinesthetic - Bodily/kinesthetic
Interpersonal - Interpersonal
Intrapersonal - Intrapersonal
Naturalistic - Naturalistic
</t>
  </si>
  <si>
    <t xml:space="preserve">Vision - Vision
Hearing - Hearing
Communication - Communication
Mobility - Mobility
General - General
</t>
  </si>
  <si>
    <t xml:space="preserve">SingleIndicator - Single Indicator
MultipleIndicator - Multiple Indicator
MultipleCompetency - Multiple Competency
CannotBeAssessed - Cannot be assessed
</t>
  </si>
  <si>
    <t xml:space="preserve">Adopted - Adopted
Draft - Draft
Published - Published
Deprecated - Deprecated
Unknown - Unknown
</t>
  </si>
  <si>
    <t xml:space="preserve">CSI - Comprehensive support and improvement
CSIEXIT - Comprehensive support and improvement - exit status
NOTCSI - Not comprehensive support and improvement
</t>
  </si>
  <si>
    <t xml:space="preserve">01 - Providing services for the duration of the term
02 - Providing services for an additional year -comparable services are not available
03 - Serving secondary students through credit accrual programs
</t>
  </si>
  <si>
    <t xml:space="preserve">Prison - Prison, Penitentiary or Correctional Institution
Jail - Jail
JuvenileFacility - Juvenile Facility
CommunityCorrections - Community Corrections
Other - Other Institution
</t>
  </si>
  <si>
    <t xml:space="preserve">CA1 - Required implementation of a new research-based curriculum or instructional program
CA2 - Extension of the school year or school day 
CA3 - Replacement of staff members relevant to the school's low performance
CA4 - Significant decrease in management authority at the school level
CA5 - Replacement of the principal
CA6 - Restructuring of the internal organization of the school
CA7 - Appointment of an outside expert to advise the school
</t>
  </si>
  <si>
    <t xml:space="preserve">AF - AFGHANISTAN
AX - ÅLAND ISLANDS
AL - ALBANIA
DZ - ALGERIA
AS - AMERICAN SAMOA
AD - ANDORRA
AO - ANGOLA
AI - ANGUILLA
AQ - ANTARCTICA
AG - ANTIGUA AND BARBUDA
AR - ARGENTINA
AM - ARMENIA
AW - ARUBA
AU - AUSTRALIA
AT - AUSTRIA
AZ - AZERBAIJAN
BS - BAHAMAS
BH - BAHRAIN
BD - BANGLADESH
BB - BARBADOS
BY - BELARUS
BE - BELGIUM
BZ - BELIZE
BJ - BENIN
BM - BERMUDA
BT - BHUTAN
BO - BOLIVIA (PLURINATIONAL STATE OF)
BQ - BONAIRE, SINT EUSTATIUS AND SABA
BA - BOSNIA AND HERZEGOVINA
BW - BOTSWANA
BV - BOUVET ISLAND
BR - BRAZIL
IO - BRITISH INDIAN OCEAN TERRITORY
BN - BRUNEI DARUSSALAM
BG - BULGARIA
BF - BURKINA FASO
BI - BURUNDI
KH - CAMBODIA
CM - CAMEROON
CA - CANADA
CV - CABO VERDE
KY - CAYMAN ISLANDS
CF - CENTRAL AFRICAN REPUBLIC
TD - CHAD
CL - CHILE
CN - CHINA
CX - CHRISTMAS ISLAND
CC - COCOS (KEELING) ISLANDS
CO - COLOMBIA
KM - COMOROS
CG - CONGO
CD - CONGO, DEMOCRATIC REPUBLIC OF THE
CK - COOK ISLANDS
CR - COSTA RICA
CI - CÔTE D'IVOIRE
HR - CROATIA
CU - CUBA
CW - CURAÇAO
CY - CYPRUS
CZ - CZECHIA
DK - DENMARK
DJ - DJIBOUTI
DM - DOMINICA
DO - DOMINICAN REPUBLIC
EC - ECUADOR
EG - EGYPT
SV - EL SALVADOR
GQ - EQUATORIAL GUINEA
ER - ERITREA
EE - ESTONIA
ET - ETHIOPIA
FK - FALKLAND ISLANDS (MALVINAS)
FO - FAROE ISLANDS
FJ - FIJI
FI - FINLAND
FR - FRANCE
GF - FRENCH GUIANA
PF - FRENCH POLYNESIA
TF - FRENCH SOUTHERN TERRITORIES
GA - GABON
GM - GAMBIA
GE - GEORGIA
DE - GERMANY
GH - GHANA
GI - GIBRALTAR
GR - GREECE
GL - GREENLAND
GD - GRENADA
GP - GUADELOUPE
GU - GUAM
GT - GUATEMALA
GG - GUERNSEY
GN - GUINEA
GW - GUINEA-BISSAU
GY - GUYANA
HT - HAITI
HM - HEARD ISLAND AND MCDONALD ISLANDS
VA - HOLY SEE
HN - HONDURAS
HK - HONG KONG
HU - HUNGARY
IS - ICELAND
IN - INDIA
ID - INDONESIA
IR - IRAN (ISLAMIC REPUBLIC OF)
IQ - IRAQ
IE - IRELAND
IM - ISLE OF MAN
IL - ISRAEL
IT - ITALY
JM - JAMAICA
JP - JAPAN
JE - JERSEY
JO - JORDAN
KZ - KAZAKHSTAN
KE - KENYA
KI - KIRIBATI
KP - KOREA (DEMOCRATIC PEOPLE'S REPUBLIC OF)
KR - KOREA, REPUBLIC OF
KW - KUWAIT
KG - KYRGYZSTAN
LA - LAO PEOPLE'S DEMOCRATIC REPUBLIC
LV - LATVIA
LB - LEBANON
LS - LESOTHO
LR - LIBERIA
LY - LIBYA
LI - LIECHTENSTEIN
LT - LITHUANIA
LU - LUXEMBOURG
MO - MACAO
MK - NORTH MACEDONIA
MG - MADAGASCAR
MW - MALAWI
MY - MALAYSIA
MV - MALDIVES
ML - MALI
MT - MALTA
MH - MARSHALL ISLANDS
MQ - MARTINIQUE
MR - MAURITANIA
MU - MAURITIUS
YT - MAYOTTE
MX - MEXICO
FM - MICRONESIA (FEDERATED STATES OF)
MD - MOLDOVA, REPUBLIC OF
MC - MONACO
MN - MONGOLIA
ME - MONTENEGRO
MS - MONTSERRAT
MA - MOROCCO
MZ - MOZAMBIQUE
MM - MYANMAR
NA - NAMIBIA
NR - NAURU
NP - NEPAL
NL - NETHERLANDS
NC - NEW CALEDONIA
NZ - NEW ZEALAND
NI - NICARAGUA
NE - NIGER
NG - NIGERIA
NU - NIUE
NF - NORFOLK ISLAND
MP - NORTHERN MARIANA ISLANDS
NO - NORWAY
OM - OMAN
PK - PAKISTAN
PW - PALAU
PS - PALESTINE, STATE OF
PA - PANAMA
PG - PAPUA NEW GUINEA
PY - PARAGUAY
PE - PERU
PH - PHILIPPINES
PN - PITCAIRN
PL - POLAND
PT - PORTUGAL
PR - PUERTO RICO
QA - QATAR
RE - RÉUNION
RO - ROMANIA
RU - RUSSIAN FEDERATION
RW - RWANDA
BL - SAINT BARTHÉLEMY
SH - SAINT HELENA, ASCENSION AND TRISTAN DA CUNHA
KN - SAINT KITTS AND NEVIS
LC - SAINT LUCIA
MF - SAINT MARTIN (FRENCH PART)
PM - SAINT PIERRE AND MIQUELON
VC - SAINT VINCENT AND THE GRENADINES
WS - SAMOA
SM - SAN MARINO
ST - SAO TOME AND PRINCIPE
SA - SAUDI ARABIA
SN - SENEGAL
RS - SERBIA
SC - SEYCHELLES
SL - SIERRA LEONE
SG - SINGAPORE
SX - SINT MAARTEN (DUTCH PART)
SK - SLOVAKIA
SI - SLOVENIA
SB - SOLOMON ISLANDS
SO - SOMALIA
ZA - SOUTH AFRICA
GS - SOUTH GEORGIA AND THE SOUTH SANDWICH ISLANDS
SS - SOUTH SUDAN
ES - SPAIN
LK - SRI LANKA
SD - SUDAN
SR - SURINAME
SJ - SVALBARD AND JAN MAYEN
SZ - ESWATINI
SE - SWEDEN
CH - SWITZERLAND
SY - SYRIAN ARAB REPUBLIC
TW - TAIWAN
TJ - TAJIKISTAN
TZ - TANZANIA, UNITED REPUBLIC OF
TH - THAILAND
TL - TIMOR-LESTE
TG - TOGO
TK - TOKELAU
TO - TONGA
TT - TRINIDAD AND TOBAGO
TN - TUNISIA
TR - TURKEY
TM - TURKMENISTAN
TC - TURKS AND CAICOS ISLANDS
TV - TUVALU
UG - UGANDA
UA - UKRAINE
AE - UNITED ARAB EMIRATES
GB - UNITED KINGDOM OF GREAT BRITAIN AND NORTHERN IRELAND
US - UNITED STATES OF AMERICA
UM - UNITED STATES MINOR OUTLYING ISLANDS
UY - URUGUAY
UZ - UZBEKISTAN
VU - VANUATU
VE - VENEZUELA (BOLIVARIAN REPUBLIC OF)
VN - VIET NAM
VG - VIRGIN ISLANDS (BRITISH)
VI - VIRGIN ISLANDS (U.S.)
WF - WALLIS AND FUTUNA
EH - WESTERN SAHARA
YE - YEMEN
ZM - ZAMBIA
ZW - ZIMBABWE
</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</si>
  <si>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Contact -&gt; Address
Early Learning -&gt; Early Learning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</si>
  <si>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Postsecondary -&gt; PS Student -&gt; K12 Transcript
Workforce -&gt; Workforce Program Participant -&gt; Contact -&gt; Address</t>
  </si>
  <si>
    <t xml:space="preserve">AuditedCourse - Audited or visited the course
HonorsGrade - Honors grade
Incomplete - Incomplete
IncompleteNotResolvedFail - Incomplete Not Resolved Fail
InProgress - In Progress
NotYetReported - Not Yet Reported
OtherFail - Other Fail
OtherPass - Other Pass
PassFailFail - Pass-Fail : Fail
PassFailPass - Pass-Fail : Pass
TransferNoGrade - Transfer No Grade
Withdrew - Withdrew
WithdrewFailing - Withdrew failing
WithdrewNoPenalty - Withdrew No Penalty
WithdrewPassing - Withdrew passing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</si>
  <si>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AS - Associate's degree
BA - Bachelor's degree
PB - Post-baccalaureate certificate
MD - Master's degree
PM - Post-master's certificate
DO - Doctoral degree
PD - Post-doctoral certificate
AE - Adult Education
PT - Professional or technical credential
OT - Other
</t>
  </si>
  <si>
    <t xml:space="preserve">Regular - Regular/general enrollment
Major - Credit associated with the student's major
AcademicRenewal - Academic Renewal
AdultBasic - Adult Basic
AdvancedPlacement - Advanced Placement
AdvancedStanding - Advanced Standing
Correspondence - Correspondence
ContinuingEducation - Continuing Education
Exemption - Exemption
Equivalence - Equivalence
InternationalBaccalaureate - International Baccalaureate
Military - Military
Remedial - Remedial/developmental
CreditByExam - Credit granted from successful score on a standardized test of comprehension or proficiency.
HighSchoolTransferCredit - Credit from a high school course is transferred to the college.
HighSchoolCreditOnly - Credit from a college course is transferred back to high school and not counted by the college.
HighSchoolDualCredit - Credit from a college course is counted at both the college and high school.
JuniorHighSchoolCredit - Credit from a junior high school course is counted at the high school.
</t>
  </si>
  <si>
    <t xml:space="preserve">Undergraduate - Undergraduate
Ungraded - Ungraded
LowerDivision - Lower division credit (associated with first/second year)
UpperDivision - Higher or upper division credit (associated with third or fourth year)
Vocational - Vocational/technical credit
TechnicalPreparatory - Technical preparatory credit
Graduate - Graduate level credit
Professional - Professional
Dual - Dual Level
GraduateProfessional - Graduate Professional
</t>
  </si>
  <si>
    <t xml:space="preserve">NoCredit - No Credit
Quarter - Quarter 
Semester - Semester 
Units - Units 
CarnegieUnits - Carnegie Units 
ContinuingEducationUnits - Continuing Education Units 
ClockHours - Clock Hours 
Other - Other
Unreported - Unreported
</t>
  </si>
  <si>
    <t>Adult Education -&gt; Course Section -&gt; Course
Career and Technical -&gt; Course
Career and Technical -&gt; Course Section -&gt; Course
Early Learning -&gt; Early Learning Staff -&gt; Professional Development
K12 -&gt; K12 Course
Postsecondary -&gt; Course Section -&gt; Course
Postsecondary -&gt; PS Staff -&gt; Professional Development</t>
  </si>
  <si>
    <t xml:space="preserve">Applicable - Applicable in GPA
NotApplicable - Not Applicable in GPA
Weighted - Weighted in GPA
</t>
  </si>
  <si>
    <t xml:space="preserve">Honors - Honors
HonorsOption - Honors option
</t>
  </si>
  <si>
    <t xml:space="preserve">Lecture - Lecture
Laboratory - Laboratory
Seminar - Seminar
IndependentStudy - Independent Study
PrivateStudy - Private Study
PracticeTeaching - Practice Teaching
Internship - Internship
Practicum - Practicum
ApprenticeshipExternship - Apprenticeship Externship
AppliedInstruction - Applied Instruction
Residency - Residency
ClinicalRotationInstruction - Clinical Rotation Instruction
SelfPaced - Self Paced
FieldStudy - Field Study
InternetInstruction - Internet Instruction
InteractiveVideo - Interactive Video
Videotape - Videotape
Television - Television
OtherDistanceLearning - Other Distance Learning
Audiotape - Audiotape
ComputerBasedInstruction - Computer Based Instruction
CompressedVideo - Compressed Video
Correspondence - Correspondence
CooperativeEducation - Cooperative Education
WorkStudy - Work Study
</t>
  </si>
  <si>
    <t xml:space="preserve">OnCampus - On campus
OffCampus - Off campus (e.g., branch campus, etc.)
Extension - Extension center or site
StudyAbroad - Study abroad
Correctional - Correctional institution
Military - Military Base
Telecommunication - Instructional telecommunications
Auxiliary - Auxiliary
ClinicHospital - Clinic or hospital
</t>
  </si>
  <si>
    <t xml:space="preserve">Asynchronous - Asynchronous
Synchronous - Synchronous
</t>
  </si>
  <si>
    <t xml:space="preserve">00568 - Remedial course
00569 - Students with disabilities course
00570 - Basic course
00571 - General course
00572 - Honors level course
00573 - Gifted and talented course
00574 - International Baccalaureate course
00575 - Advanced placement course
00576 - College-level course
00577 - Untracked course
00578 - English Learner course
00579 - Accepted as a high school equivalent
73044 - Career and technical education general course
00741 - Completion of requirement, but no units of value awarded
73045 - Career and technical education dual-credit course
73048 - Dual enrollment
73047 - Not applicable
73046 - Pre-advanced placement
73049 - Other
</t>
  </si>
  <si>
    <t xml:space="preserve">RepeatCounted - Repeated, counted in grade point average
RepeatNotCounted - Repeated, not counted in grade point average
ReplacementCounted - Replacement counted
ReplacedNotCounted - Replacement not counted
RepeatOtherInstitution - Repeated, other institution
NotCountedOther - Other, not counted in GPA (e.g., used for academic forgiveness or clemency).
</t>
  </si>
  <si>
    <t xml:space="preserve">Pre-registered - Pre-registered
Registered - Registered
Enrolled - Enrolled
WaitListed - Wait Listed
Dropped - Dropped
Completed - Completed
</t>
  </si>
  <si>
    <t xml:space="preserve">NewEnrollment - New Enrollment
Transfer - Transfer
</t>
  </si>
  <si>
    <t xml:space="preserve">Transfer - Student transferred to another Class Section of the same course in the same educational institution.
CompletedForCredit - Class Section completed, student received credit for the course.
CompletedNoCredit - Class Section completed, student did not receive credit for the course.
Incomplete - Class Section completed, student did not complete the work required to complete the course.
</t>
  </si>
  <si>
    <t xml:space="preserve">Broadcast - Broadcast
Correspondence - Correspondence
EarlyCollege - Early College
AudioVideo - Interactive Audio/Video
Online - Online
IndependentStudy - Independent Study
FaceToFace - Face to Face
BlendedLearning - Blended Learning
</t>
  </si>
  <si>
    <t xml:space="preserve">MaleOnly - Male-only
FemaleOnly - Female-only
NotSingleSex - Not a single-sex class
</t>
  </si>
  <si>
    <t>Adult Education -&gt; Course Section -&gt; Course
Career and Technical -&gt; Course Section -&gt; Course
K12 -&gt; K12 Course
Postsecondary -&gt; Course Section -&gt; Course</t>
  </si>
  <si>
    <t xml:space="preserve">accreditedBy - Accredited By
approvedBy - Approved By
offeredBy - Offered By
ownedBy - Owned By
recognizedBy - Recognized By
regulatedBy - Regulated By
renewedBy - Renewed By
revokedBy - Revoked By
</t>
  </si>
  <si>
    <t xml:space="preserve">Artifact - Artifact
Exam - Exam
Performance - Performance
</t>
  </si>
  <si>
    <t xml:space="preserve">CTID - Credential Transparency Identifier
URI - Uniform Resource Identifier
URL - Uniform Resource Locator
URN - Uniform Resource Name
UUID - Universally Unique Identifier
ARK - Archival Resource Key
DOI - Digital Document Identifier
INFO - INFO URI Scheme
</t>
  </si>
  <si>
    <t xml:space="preserve">GeneralEducation - General Education
JobOrCareerPreparation - Job/Career Preparation
MidCareer - Mid-Career Level
PriorExperience - Prior Learning Experience
</t>
  </si>
  <si>
    <t xml:space="preserve">Active - Active
Deprecated - Deprecated
Probationary - Probationary
Superseded - Superseded
</t>
  </si>
  <si>
    <t xml:space="preserve">BadgeClaim - Badge Claim
TranscriptClaim - Transcript Claim
VerifiedClaim - Verified Claim
</t>
  </si>
  <si>
    <t>Adult Education -&gt; AE Staff -&gt; Credential
Career and Technical -&gt; CTE Staff -&gt; Credential or License
Early Learning -&gt; Early Learning Staff -&gt; Credential or License
K12 -&gt; K12 Staff -&gt; Credential or License
Postsecondary -&gt; PS Staff -&gt; Credential or License</t>
  </si>
  <si>
    <t>Early Learning -&gt; Early Learning Staff -&gt; Credential or License
K12 -&gt; K12 Staff -&gt; Credential or License</t>
  </si>
  <si>
    <t>Early Learning -&gt; Early Learning Staff -&gt; Credential or License
K12 -&gt; K12 Staff -&gt; Credential or License
Postsecondary -&gt; PS Staff -&gt; Credential or License</t>
  </si>
  <si>
    <t xml:space="preserve">Certification - Certification
Endorsement - Endorsement
Licensure - Licensure
Other - Other
Registration - Registration
</t>
  </si>
  <si>
    <t>Career and Technical -&gt; CTE Staff -&gt; Credential or License
Early Learning -&gt; Early Learning Staff -&gt; Credential or License
K12 -&gt; K12 Staff -&gt; Credential or License</t>
  </si>
  <si>
    <t xml:space="preserve">00 - None
01 - Undergraduate hours applied towards graduate degree
02 - Credit hours taken at the postbaccalaureate level
03 - Credit hours taken as unclassified student
04 - Credit hours taken as an independent student
05 - Credit hours taken as traveling scholar at another university
06 - Credit hours taken at master's level
07 - Credit hours taken as a master's student in one program, applied towards another master's program
98 - Unknown
99 - Other
</t>
  </si>
  <si>
    <t xml:space="preserve">00585 - Carnegie unit
00586 - Semester hour credit
00587 - Trimester hour credit
00588 - Quarter hour credit
00589 - Quinmester hour credit
00590 - Mini-term hour credit
00591 - Summer term hour credit
00592 - Intersession hour credit
00595 - Long session hour credit
00596 - Twelve month hour credit
00597 - Career and Technical Education credit
73062 - Adult high school credit
00599 - Credit by examination
00600 - Correspondence credit
00601 - Converted occupational experience credit
09999 - Other
75001 - Certificate credit
75002 - Degree credit
75003 - Continuing education credit
75004 - Professional development hours
</t>
  </si>
  <si>
    <t>K12 -&gt; K12 Student -&gt; Academic Record
Postsecondary -&gt; PS Student -&gt; Academic Record</t>
  </si>
  <si>
    <t xml:space="preserve">ApprenticeshipCertificate - Apprenticeship Certificate
AssociateDegree - Associate Degree
BachelorDegree - Bachelor Degree
Badge - Badge
Certificate - Certificate
Certification - Certification
ConditionProfile - Condition Profile
Credential - Credential
Degree - Degree
DigitalBadge - Digital Badge
Diploma - Diploma
DoctoralDegree - Doctoral Degree
GeneralEducationDevelopment - General Education Development
JourneymanCertificate - Journeyman Certificate
License - License
MasterCertificate - Master Certificate
MasterDegree - Master Degree
MicroCredential - Micro Credential
OpenBadge - Open Badge
ProfessionalDoctorate - Professional Doctorate
QualityAssuranceCredential - Quality Assurance Credential
ResearchDoctorate - Research Doctorate
SecondarySchoolDiploma - Secondary School Diploma
</t>
  </si>
  <si>
    <t xml:space="preserve">AssessmentBody - Assessment Body
Business - Business
BusinessAssociation - Business or Industry Association
CertificationBody - Certification Body
FourYear - Four-Year College
Government - Government Agency
HighSchool - High School
LaborUnion - Labor Union
Magnet - Magnet/Competitive Admissions School
Military - Military
NonTraditional - Alternative/Non-Traditional School
Postsecondary - Postsecondary Educational Institution
PrimarilyOnline - Primarily Online
ProfessionalAssociation - Professional Association
QualityAssurance - Quality Assurance Body
SecondarySchool - Secondary School
Technical - Career and Technical School
TrainingProvider - Education and Training Provider
TwoYear - Two-Year College
Vendor - Vendor
</t>
  </si>
  <si>
    <t xml:space="preserve">LEA - Local Education Agency (LEA) curriculum framework
NationalStandard - National curriculum standard
PrivateOrReligious - Private, religious curriculum
School - School curriculum framework
State - State curriculum framework
Other - Other
</t>
  </si>
  <si>
    <t xml:space="preserve">Certified - Certified
Decertified - Decertified
Deleted - Deleted
InProcess - In Process
Published - Published
Retired - Retired
Submitted - Submitted
</t>
  </si>
  <si>
    <t>Early Learning -&gt; Early Learning Class/Group
Early Learning -&gt; Early Learning Organization -&gt; Directory</t>
  </si>
  <si>
    <t>Adult Education -&gt; AE Staff -&gt; Education
Career and Technical -&gt; CTE Student -&gt; Academic Record
Early Learning -&gt; Early Learning Staff -&gt; Education
K12 -&gt; K12 Staff -&gt; Education
Postsecondary -&gt; PS Staff -&gt; Credential or License</t>
  </si>
  <si>
    <t xml:space="preserve">73063 - Adult education certification, endorsement, or degree
01050 - Associate's degree (two years or more)
01051 - Bachelor's (Baccalaureate) degree
01057 - Doctoral (Doctor's) degree
01053 - First-professional degree
01047 - Formal award, certificate or diploma (less than one year)
01048 - Formal award, certificate or diploma (more than or equal to one year)
01052 - Graduate certificate
01045 - High school diploma or the equivalent (e.g., GED or recognized home school)
01054 - Master's degree (e.g., M.A., M.S., M. Eng., M.Ed., M.S.W., M.B.A., M.L.S.)
01056 - Post-professional degree
01049 - Some college but no degree
01055 - Specialist's degree (e.g., Ed.S.)
00819 - Career and Technical Education certificate
09999 - Other
</t>
  </si>
  <si>
    <t xml:space="preserve">NonWorkplace - Non-workplace or personal
Workplace - Workplace
Medicaid - Medicaid
CHIP - Children's health insurance program
StateOnlyFunded - State-only funded insurance
SSI - Supplemental security income
Military - Military medical
Veteran - Veteran's medical
None - None
Other - Other
</t>
  </si>
  <si>
    <t>Early Learning -&gt; Early Learning Child -&gt; Health -&gt; Insurance
Early Learning -&gt; Parent/Guardian -&gt; Insurance
K12 -&gt; K12 Student -&gt; Health -&gt; Insurance</t>
  </si>
  <si>
    <t>Early Learning -&gt; Early Learning Child -&gt; Health -&gt; Dental
K12 -&gt; K12 Student -&gt; Health -&gt; Dental</t>
  </si>
  <si>
    <t xml:space="preserve">NoTreatmentNeeded - No Treatment Needed
TreatmentNeeded - Treatment Needed
TreatmentReceived - Treatment Received
</t>
  </si>
  <si>
    <t xml:space="preserve">Dependent - Dependent
Independent - Independent
Unknown - Unknown
</t>
  </si>
  <si>
    <t xml:space="preserve">CollegeReady - College Ready
NotCollegeReady - Not College Ready
</t>
  </si>
  <si>
    <t xml:space="preserve">DevelopmentalMath - Developmental Math
DevelopmentalEnglish - Developmental English
DevelopmentalReading - Developmental Reading
DevelopmentalEnglishReading - Developmental English/Reading
DevelopmentalOther - Developmental Other
</t>
  </si>
  <si>
    <t xml:space="preserve">Adaptive - Adaptive development delay
Cognitive - Cognitive development delay
Communication - Communication development delay
NoDelay - No delay, needs follow-up
None - None
CarnegieUnits - Carnegie Units 
Physical - Physical development delay
SocialEmotional - Social or emotional development delay
NoDelayDetected - No delay detected
EstablishedCondition - Established condition
AtRisk - At-risk of developing delay
</t>
  </si>
  <si>
    <t xml:space="preserve">Block - Block
RemoveBlock - Remove Block
</t>
  </si>
  <si>
    <t xml:space="preserve">Permanent - Disability has been confirmed as a permanent disability
Temporary - Disability has been confirmed as a temporary disability
</t>
  </si>
  <si>
    <t xml:space="preserve">00 - No disability or impairment known or reported
01 - Blindness or Visual Impairment
02 - Cerebral Palsy
03 - Chronic Illness
04 - Deafness or Hearing Impairment
05 - Drug or Alcohol Addiction
06 - Emotionally/Psychologically Disabled: e.g., schizophrenia or depression
07 - Epilepsy or Seizure Disorders
08 - Intellectual Disability
09 - Orthopedic Impairment
10 - Specific learning disability
11 - Speech or Language impairment
99 - Other type of impairment
</t>
  </si>
  <si>
    <t>Career and Technical -&gt; CTE Student -&gt; Disability
Early Learning -&gt; Early Learning Child -&gt; Disability
K12 -&gt; K12 Student -&gt; Disability
Postsecondary -&gt; PS Student -&gt; Disability</t>
  </si>
  <si>
    <t xml:space="preserve">01 - By physician
02 - By health care provider
03 - By school psychologist or other psychologist
04 - By licensed physical therapist
05 - Self-reported
06 - By social service or other type of agency
97 - Not applicable to the student
98 - Unknown or Unreported
99 - Other
</t>
  </si>
  <si>
    <t>Adult Education -&gt; AE Student -&gt; Disability
Career and Technical -&gt; CTE Student -&gt; Disability
Early Learning -&gt; Early Learning Child -&gt; Disability
K12 -&gt; K12 Student -&gt; Disability
Postsecondary -&gt; PS Student -&gt; Disability</t>
  </si>
  <si>
    <t>Adult Education -&gt; AE Student -&gt; Disability
Career and Technical -&gt; CTE Student -&gt; Disability
Early Learning -&gt; Early Learning Child -&gt; Disability
K12 -&gt; K12 Student -&gt; Disability
K12 -&gt; K12 Student -&gt; Individualized Program -&gt; Eligibility -&gt; Determination
Postsecondary -&gt; PS Student -&gt; Disability</t>
  </si>
  <si>
    <t xml:space="preserve">03071 - Bus suspension
03072 - Change of placement (long-term)
03073 - Change of placement (reassignment), pending an expulsion hearing
03074 - Change of placement (reassignment), resulting from an expulsion hearing
03075 - Change of placement (reassignment), temporary
03076 - Community service
03077 - Conference with and warning to student
03078 - Conference with and warning to student and parent/guardian
03079 - Confiscation of contraband
03080 - Conflict resolution or anger management services mandated
03081 - Corporal punishment
03082 - Counseling mandated
03083 - Demerit
03084 - Detention
03085 - Expulsion recommendation
03086 - Expulsion with services
03087 - Expulsion without services
03088 - Juvenile justice referral
03089 - Law enforcement referral
03090 - Letter of apology
03091 - Loss of privileges
13357 - Mechanical Restraint
03105 - No action
09998 - None
09999 - Other
03092 - Physical activity
13358 - Physical Restraint
03158 - Removal by a hearing officer
03093 - Reprimand
03094 - Restitution
03095 - Saturday school
03096 - School probation
13359 - Seclusion
03097 - Substance abuse counseling mandated
03098 - Substance abuse treatment mandated
03099 - Suspension after school
03100 - Suspension, in-school
03154 - Suspension, out of school, greater than 10 consecutive school days
03155 - Suspension, out of school, separate days cumulating to more than 10 school days
03101 - Suspension, out-of-school, with services
03102 - Suspension, out-of-school, without services
03157 - Unilateral removal - drug incident
03156 - Unilateral removal - weapon incident
09997 - Unknown
03103 - Unsatisfactory behavior grade
03104 - Work detail
</t>
  </si>
  <si>
    <t xml:space="preserve">01 - No Difference
02 - Term Modified By District
03 - Term Modified By Court Order
04 - Term Modified By Mutual Agreement
05 - Student Completed Term Requirements Sooner Than Expected
06 - Student Incarcerated
07 - Term Decreased Due To Extenuating Health-Related Circumstances
08 - Student Withdrew From School
09 - School Year Ended
10 - Continuation Of Previous Year's Disciplinary Action Assignment
11 - Term Modified By Placement Program Due To Student Behavior While In The Placement
12 - Other
</t>
  </si>
  <si>
    <t xml:space="preserve">EXPNOTMODNOALT - One year expulsion and no educational services
EXPMODALT - Expulsion modified to less than one year with educational services
EXPMODNOALT - Expulsion modified to less than one year without educational services
EXPALT - One year expulsion and educational services
REMOVEOTHER - Other reasons such as death, withdrawal, or incarceration
OTHERDISACTION - Another type of disciplinary action
NOACTION - No disciplinary action taken
</t>
  </si>
  <si>
    <t xml:space="preserve">OutOfSchool - Out of School Suspensions/Expulsions
InSchool - In School Suspensions
</t>
  </si>
  <si>
    <t xml:space="preserve">DrugRelated - Illicit drug related
AlcoholRelated - Alcohol related
WeaponsPossession - Weapons possession
WithPhysicalInjury - Violent Incident (with Physical Injury)
WithoutPhysicalInjury - Violent Incident (without Physical Injury)
Other - Other reasons for out of school suspensions related to drug use and violence
</t>
  </si>
  <si>
    <t xml:space="preserve">EnrolledExclusively - Enrolled exclusively in distance education courses
EnrolledInSome - Enrolled in some but not all distance education courses
NotEnrolled - Not enrolled in distance education courses
</t>
  </si>
  <si>
    <t xml:space="preserve">True - Student was admitted as a doctoral candidate
False - Student was not admitted as a doctoral candidate
</t>
  </si>
  <si>
    <t xml:space="preserve">Qualifying - Qualifying exam
OralComprehensive - Oral comprehensive exam
WrittenComprehensive - Written comprehensive exam
Candidacy - Candidacy exam
Other - Other departmental or institutional exam
</t>
  </si>
  <si>
    <t xml:space="preserve">SpecializedKnowledge - Specialized Knowledge
BroadAndIntegrativeKnowledge - Broad and Integrative Knowledge
IntellectualSkills - Intellectual Skills
AppliedAndCollaborativeLearning - Applied and Collaborative Learning
CivicAndGlobalLearning - Civic and Global Learning
</t>
  </si>
  <si>
    <t xml:space="preserve">ChildDevelopmentAssociate - Child Development Associate (CDA)
DirectorsLevelCredential - Directors Level Credential
StateInfantToddler - State Awarded Credential for Infant/Toddler
StatePreschool - State Awarded Preschool Credential
StateSchoolAge - State Awarded School-Age Credential
Other - Other
</t>
  </si>
  <si>
    <t xml:space="preserve">HeadStart - Head Start
EarlyHeadStart - Early Head Start
StatePreschool - State Preschool
PublicPreschool - Public Preschool
PrivatePreschool - Private Preschool
EarlyChildhoodSpecialEducation - Early Childhood Special Education (619)
HomeVisiting - Home Visiting
ChildCare - Child Care
EarlyInterventionPartC - Early Intervention Services Part C
Other - Other
None - None
</t>
  </si>
  <si>
    <t xml:space="preserve">01 - Assistive technology services
02 - Audiology services
03 - Family training/counseling services
04 - Health services
05 - Medical services
06 - Nursing services
07 - Nutrition services
08 - Occupational therapy
09 - Physical therapy
10 - Psychological services
11 - Sign language and cued language services
12 - Service coordination
13 - Social work services
14 - Special instruction
15 - Speech-language pathology services
16 - Vision services
17 - Behavioral health
18 - Transportation
98 - None
99 - Other
</t>
  </si>
  <si>
    <t xml:space="preserve">HomeBased - Home-based (Child's Home)
CommunityBased - Community-based (outside the child's home)
CenterBased - Center-based (including a school setting)
CenterBasedSpecial - Center-based for children with special needs
FamilyChildCare - Family Child Care Home (Provider's Home)
MultiSetting - Multi-setting
LocallyDesigned - Locally designed
</t>
  </si>
  <si>
    <t xml:space="preserve">01 - Creative curriculum infants/toddlers
02 - Creative curriculum preschool
03 - Creative curriculum family child care
04 - Highscope preschoolers
05 - Highscope infants/toddlers
06 - Montessori curriculum
07 - Locally designed curriculum
08 - Other curriculum
09 - None
</t>
  </si>
  <si>
    <t xml:space="preserve">01 - Child growth and development
02 - Health safety and nutrition
03 - Teaching and learning
04 - Observing, documenting and assessing
05 - Family and community relationships
06 - Administration and management
07 - Early childhood education profession and policy
</t>
  </si>
  <si>
    <t xml:space="preserve">Teacher - Teacher
AssistanceTeacher - Assistance Teacher
Administrator - Administrator
NonTeachingLeadership - Non-teaching Leadership
NonTeacherOther - Non-teacher Other
Audiologist - Audiologist
BCBA - Board Certified Behavior Analyst (BCBA)
BCaBA - Board Certified Assistant Behavior Analyst (BCaBA)
ABAAide - Applied Behavior Analysis (ABA) Aide
OccupationalTherapyAssistant - Certified Occupational Therapy Assistant
Nurse - Nurse (LPN, RN, NP)
LowVisionSpecialist - Certified Low Vision Specialist
OrientationMobilitySpecialist - Orientation and Mobility Specialist
VisionRehabTherapist - Vision Rehabilitation Therapist
OccupationalTherapist - Occupational Therapist
Optometrist - Optometrist
PhysicalTherapist - Physical Therapist/Physical Therapy Assistant
Pediatrician - Pediatrician
OtherPhysician - Other Physician
PhysicianAssistant - Physician Assistant
Psychologists - Psychologists
RegisteredNutritionist - Registered or Certified Dietitian/Nutritionist
SchoolPsychologist - School Psychologist
SocialWorker - Clinical and Masters Social Worker
SpecialEducationTeacher - Special Education Teacher
SpeechPathologist - Speech and Language Pathologist
TeacherOfVisuallyImpaired - Teacher of the Blind and Visually Impaired
TeacherOfHearingImpaired - Teacher of the Deaf and Hearing Impaired
TeacherOfLanguageDisabilities - Teacher of Speech and Language Disabilities
ServiceCoordinator - Service Coordinator
ContractStaff - Contract Staff
</t>
  </si>
  <si>
    <t xml:space="preserve">01391 - Change of assignment
89604 - Compensation
01404 - Death
01401 - Falsified application form
01400 - Continued absence or tardiness
01402 - Credential revoked or suspended
01399 - Misconduct
01403 - Unsatisfactory work performance
01398 - Unsuitability
01390 - Family/personal relocation
01392 - Formal study or research
01394 - Homemaking/caring for a family member
01393 - Illness/disability
01395 - Budgetary reduction
01397 - Decreased workload
01396 - Organizational restructuring
09999 - Other
01405 - Personal reason
01389 - Retirement
73201 - Termination with Cause
73202 - Leave Planning to Return
73203 - Leave Not Planning to Return
09997 - Unknown
</t>
  </si>
  <si>
    <t xml:space="preserve">Infants - Meets or exceeds standards for infants
Toddlers - Meets or exceeds standards for toddlers
Preschoolers - Meets or exceeds standards for preschoolers
School-Age - Meets or exceeds standards for school-age
</t>
  </si>
  <si>
    <t xml:space="preserve">LEA - LEA
CountyLevyTax - County Levy Tax
Foundations - Foundations
SpecialFundRaising - Special Fund Raising
LocalGovernment - Local Government
CashDonations - Cash Donations
UnitedWay - United Way
PrivateInsurance - Private Insurance
FamilyFees - Family Fees
Other - Other
</t>
  </si>
  <si>
    <t xml:space="preserve">01 - Head Start
02 - Early Head Start
03 - Office of Child Care-CCDF
04 - Early Intervention Part C
05 - Special Education Preschool Part B 619
99 - Other
</t>
  </si>
  <si>
    <t xml:space="preserve">Baseline - Baseline - at entry
AtExit - At exit
No - No
Other - Other
</t>
  </si>
  <si>
    <t xml:space="preserve">Baseline - Baseline - at entry
AtExit - At exit
NA - Not applicable
Other - Other
</t>
  </si>
  <si>
    <t xml:space="preserve">01 - Child Growth and Development
02 - Health Safety and Nutrition
03 - Teaching and Learning
04 - Observing
05 - Documenting and Assessing Family and Community Relationships
06 - Administration and Management
07 - Early Childhood Education Profession and Policy
08 - Working with Diverse Populations
99 - Other
</t>
  </si>
  <si>
    <t>Early Learning -&gt; Early Learning Class/Group
Early Learning -&gt; Early Learning Organization -&gt; Organization Information</t>
  </si>
  <si>
    <t xml:space="preserve">Age - Age
FamilyIncome - Family income
DisabilityStatus - Disability Status
SSSI - Supplemental social security income
WIC - Women, infants, and children
TANF - Temporary assistance for needy families
OtherPublicAssistance - Other public assistance
Foster - Foster
MilitaryFamily - Military family
ELL - Home language other than English
OtherFamilyRisk - Other family risk factors
OtherChildRisk - Other child risk factors
AtRisk - At-risk of having a substantial developmental delay
Other - Other
</t>
  </si>
  <si>
    <t xml:space="preserve">Pending - Pending
NotEligible - Not found eligible
Eligible - Found eligible
NotActive - Not yet active
</t>
  </si>
  <si>
    <t xml:space="preserve">Unlicensed - Unlicensed
ExemptRegulated - Exempt - regulated
ExemptUnregulated - Exempt - unregulated
Licensed - Licensed
</t>
  </si>
  <si>
    <t xml:space="preserve">ABAAide - Applied Behavior Analysis (ABA) Aide
Audiologist - Audiologist
BCaBA - Board Certified Assistant Behavior Analyst (BCaBA)
BCBA - Board Certified Behavior Analyst (BCBA)
LowVisionSpecialist - Certified Low Vision Specialist
OccupationalTherapyAssistant - Certified Occupational Therapy Assistant
SocialWorker - Clinical and Masters Social Worker
ContractStaff - Contract Staff
HomeVisitor - Home Visitor
Nurse - Nurse (LPN, RN, NP)
OccupationalTherapist - Occupational Therapist
Optometrist - Optometrist
Other - Other
OtherPhysician - Other Physician
OrientationMobilitySpecialist - Orientation and Mobility Specialist
Pediatrician - Pediatrician
PhysicalTherapist - Physical Therapist/Physical Therapy Assistant
PhysicianAssistant - Physician Assistant
Psychologists - Psychologists
RegisteredNutritionist - Registered or Certified Dietitian/Nutritionist
SchoolPsychologist - School Psychologist
ServiceCoordinator - Service Coordinator
SpecialEducationTeacher - Special Education Teacher
SpeechPathologist - Speech and Language Pathologist
TeacherOfLanguageDisabilities - Teacher of Speech and Language Disabilities
TeacherOfVisuallyImpaired - Teacher of the Blind and Visually Impaired
TeacherOfHearingImpaired - Teacher of the Deaf and Hearing Impaired
VisionRehabTherapist - Vision Rehabilitation Therapist
</t>
  </si>
  <si>
    <t xml:space="preserve">MentalHealth - Mental health
Nutritional - Nutritional
Educational - Educational
PhysicalRehabilitation - Physical rehabilitation
DentalHealth - Dental Health
Other - Other
</t>
  </si>
  <si>
    <t xml:space="preserve">StatePartCAppropriations - State Part C Appropriations
StateGeneralFunds - State General Funds
TitleVStateFunds - Title V State Funds
CSHCNStateFunds - CSHCN State Funds
StateSpecialEducationFunds - State Special Education Funds
StateChildCareFunds - State Child Care Funds
LotteryFunds - Lottery Funds
TobaccoFunds - Tobacco Funds
StateHomeVisiting - State Home Visiting
StateDevelopmentalDisabilitiesFund - State Developmental Disabilities Fund
StateMentalHealthFunds - State Mental Health Funds
DeafBlindSchools - Deaf Blind Schools
SSBGStateSupplement - SSBG State Supplement
StatePreK - State Pre-K
HeadStartStateSupplementalFund - Head Start State Supplemental Fund
StatePublicEducationFund - State Public Education Fund
OtherStateFunds - Other State Funds
</t>
  </si>
  <si>
    <t xml:space="preserve">01 - Child growth and development
02 - Health safety and nutrition
03 - Teaching and learning
04 - Observing, documenting and assessing
05 - Family and community relationships
06 - Administration and management
07 - Early childhood education profession and policy
99 - Other
</t>
  </si>
  <si>
    <t>Early Learning -&gt; Early Learning Staff -&gt; Professional Development -&gt; Instructor
Early Learning -&gt; Early Learning Staff -&gt; Professional Development Activity -&gt; Session
K12 -&gt; K12 Staff -&gt; Professional Development -&gt; Instructor</t>
  </si>
  <si>
    <t>K12 -&gt; K12 Student -&gt; Economically Disadvantaged
Postsecondary -&gt; PS Student -&gt; Economically Disadvantaged</t>
  </si>
  <si>
    <t xml:space="preserve">1 - Counties in metro areas of 1 million population or more
2 - Counties in metro areas of 250,000 to 1 million population
3 - Counties in metro areas of fewer than 250,000 population
4 - Urban population of 20,000 or more, adjacent to a metro area
5 - Urban population of 20,000 or more, not adjacent to a metro area
6 - Urban population of 2,500 to 19,999, adjacent to a metro area
7 - Urban population of 2,500 to 19,999, not adjacent to a metro area
8 - Completely rural or less than 2,500 urban population, adjacent to a metro area
9 - Completely rural or less than 2,500 urban population, not adjacent to a metro area
</t>
  </si>
  <si>
    <t xml:space="preserve">EARNGED - Earned a GED
EARNCRE - Earned high school course credits
ENROLLGED - Enrolled in a GED program
ENROLLTRAIN - Enrolled in job training courses/programs
ENROLLSCH - Enrolled in local district school
OBTAINEMP - Obtained employment
EARNDIPL - Obtained high school diploma
POSTSEC - Were accepted and/or enrolled into postsecondary education
</t>
  </si>
  <si>
    <t xml:space="preserve">EARNGED - Earned a GED
EARNCRE - Earned high school course credits
ENROLLGED - Enrolled in a GED program
ENROLLTRAIN - Enrolled in job training courses/programs
OBTAINEMP - Obtained employment
EARNDIPL - Obtained high school diploma
POSTSEC - Were accepted and/or enrolled into postsecondary education
</t>
  </si>
  <si>
    <t xml:space="preserve">TCHEXPRNCD - Experienced Teacher
TCHINEXPRNCD - Inexperienced Teacher
</t>
  </si>
  <si>
    <t xml:space="preserve">TCHOUTFLD - Not teaching in field
TCHINFLD - Teaching in field
</t>
  </si>
  <si>
    <t xml:space="preserve">OfficialTranscript - Official transcript
TranscriptCopy - Transcript copy
DegreeCopy - Degree copy
GradeReport - Grade report
Other - Other
</t>
  </si>
  <si>
    <t>Adult Education -&gt; AE Staff -&gt; Education
Early Learning -&gt; Early Learning Staff -&gt; Education
K12 -&gt; K12 Staff -&gt; Education</t>
  </si>
  <si>
    <t xml:space="preserve">MetAdditionalIndicator - Met Additional Indicator
DidNotMeet - Did Not Meet
TooFewStudents - Too Few Students
NoStudents - No Students
NA - Not applicable
</t>
  </si>
  <si>
    <t xml:space="preserve">Free - Free
FullPrice - Full price
ReducedPrice - Reduced price
Other - Other
</t>
  </si>
  <si>
    <t>Adult Education -&gt; AE Staff -&gt; Employment
Adult Education -&gt; AE Student -&gt; Employment
Early Learning -&gt; Early Learning Staff -&gt; Employment
K12 -&gt; K12 Staff -&gt; Employment
K12 -&gt; K12 Student -&gt; Employment
Postsecondary -&gt; PS Staff -&gt; Employment
Postsecondary -&gt; PS Student -&gt; Employment
Workforce -&gt; Workforce Program Participant -&gt; Employment</t>
  </si>
  <si>
    <t xml:space="preserve">Other - Other location
Multiple - Multiple locations
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t>
  </si>
  <si>
    <t xml:space="preserve">01 - State UI Wage Records
02 - Wage Record Interchange System (WRIS II)
03 - Federal Employment Data Exchange System (FEDES)
04 - Other
</t>
  </si>
  <si>
    <t xml:space="preserve">01391 - Change of assignment
89604 - Compensation
01404 - Death
01401 - Falsified application form
01400 - Continued absence or tardiness
01402 - Credential revoked or suspended
01399 - Misconduct
01403 - Unsatisfactory work performance
01398 - Unsuitability
01390 - Family/personal relocation
01392 - Formal study or research
01394 - Homemaking/caring for a family member
01393 - Illness/disability
01395 - Budgetary reduction
01397 - Decreased workload
01396 - Organizational restructuring
09999 - Other
01405 - Personal reason
01389 - Retirement
73201 - Termination with Cause
73202 - Leave Planning to Return
73203 - Leave Not Planning to Return
09997 - Unknown
73204 - Dissatisfied with teaching
73206 - End of Term (Participate Learning)
73205 - End of Term (Teach For America)
73207 - Interim contract ended -not rehired
73208 - Non-renewal (probationary contract ended)
73209 - Re-employed retired teacher resigned
73210 - Resigned due to career change
73211 - Resigned due to movement required by Military Orders
</t>
  </si>
  <si>
    <t>Adult Education -&gt; AE Staff -&gt; Employment
Career and Technical -&gt; CTE Staff -&gt; Employment
Early Learning -&gt; Early Learning Staff -&gt; Employment
K12 -&gt; K12 Staff -&gt; Employment
Postsecondary -&gt; PS Staff -&gt; Employment</t>
  </si>
  <si>
    <t xml:space="preserve">Involuntary - Involuntary separation
MutualAgreement - Mutual agreement
Other - Other
Voluntary - Voluntary separation
</t>
  </si>
  <si>
    <t>Early Learning -&gt; Early Learning Staff -&gt; Employment
K12 -&gt; K12 Staff -&gt; Employment</t>
  </si>
  <si>
    <t xml:space="preserve">01384 - Contingent upon funding
01379 - Contractual
06071 - Employed or affiliated with outside agency part-time
01383 - Employed or affiliated with outside organization
01385 - Non-contractual
09999 - Other
01378 - Probationary
06070 - Self-employed part-time
01380 - Substitute/temporary
01381 - Tenured or permanent
01382 - Volunteer/no contract
</t>
  </si>
  <si>
    <t xml:space="preserve">01 - Full-time
02 - Less than full-time but at least half-time
03 - Less than half-time
</t>
  </si>
  <si>
    <t xml:space="preserve">Promotion - Promotion
Retention - Retention
</t>
  </si>
  <si>
    <t>Adult Education -&gt; AE Student -&gt; Program Participation
Early Learning -&gt; Early Learning Child -&gt; Enrollment</t>
  </si>
  <si>
    <t>Adult Education -&gt; AE Student -&gt; Program Participation
Early Learning -&gt; Early Learning Child -&gt; Enrollment
K12 -&gt; K12 Student -&gt; Enrollment
Postsecondary -&gt; PS Student -&gt; Institution Enrollment</t>
  </si>
  <si>
    <t xml:space="preserve">01812 - Concurrently enrolled
01811 - Currently enrolled
01810 - Previously enrolled
01813 - Transferring (will enroll)
</t>
  </si>
  <si>
    <t xml:space="preserve">01821 - Transfer from a public school in the same local education agency
01822 - Transfer from a public school in a different local education agency in the same state
01823 - Transfer from a public school in a different state
01824 - Transfer from a private, non-religiously-affiliated school in the same local education agency
01825 - Transfer from a private, non-religiously-affiliated school in a different LEA in the same state
01826 - Transfer from a private, non-religiously-affiliated school in a different state
01827 - Transfer from a private, religiously-affiliated school in the same local education agency
01828 - Transfer from a private, religiously-affiliated school in a different LEA in the same state
01829 - Transfer from a private, religiously-affiliated school in a different state
01830 - Transfer from a school outside of the country
01831 - Transfer from an institution
01832 - Transfer from a charter school
01833 - Transfer from home schooling
01835 - Re-entry from the same school with no interruption of schooling
01836 - Re-entry after a voluntary withdrawal
01837 - Re-entry after an involuntary withdrawal
01838 - Original entry into a United States school
01839 - Original entry into a United States school from a foreign country with no interruption in schooling
01840 - Original entry into a United States school from a foreign country with an interruption in schooling
09999 - Other
</t>
  </si>
  <si>
    <t xml:space="preserve">01907 - Student is in a different public school in the same local education agency
01908 - Transferred to a public school in a different local education agency in the same state
01909 - Transferred to a public school in a different state
01910 - Transferred to a private, non-religiously-affiliated school within the geographic boundaries as the same local education agency
01911 - Transferred to a private, non-religiously-affiliated school within the geographic boundaries of a different LEA in the same state
01912 - Transferred to a private, non-religiously-affiliated school in a different state
01913 - Transferred to a private, religiously-affiliated school within the geographic boundaries of the same local education agency
01914 - Transferred to a private, religiously-affiliated school within the geographic boundaries of a different LEA in the same state
01915 - Transferred to a private, religiously-affiliated school in a different state
01916 - Transferred to a school outside of the country
01917 - Transferred to an institution
01918 - Transferred to home schooling
01919 - Transferred to a charter school in a different LEA in the state
01921 - Graduated with regular, advanced, International Baccalaureate, or other type of diploma
01922 - Completed school with other credentials
01924 - Withdrawn due to illness
01925 - Expelled or involuntarily withdrawn
01926 - Reached maximum age for services
01927 - Discontinued schooling
01928 - Completed grade 12, but did not meet all graduation requirements
01930 - Enrolled in a postsecondary early admission program
01931 - Not enrolled, unknown status
03499 - Student is in the same LEA, receiving education services, but is not assigned to a particular school
03502 - Not enrolled, eligible to return
03503 - Enrolled in a foreign exchange program
03505 - Exited
03508 - Student is in a charter school managed by the same local education agency
03509 - Completed with a state-recognized equivalency certificate
09999 - Other
73060 - Officially withdrew and enrolled in ABE, adult secondary education, or adult ESL program
73061 - Officially withdrew and enrolled in a workforce training program
73064 - Died
73065 - Permanently incapacitated
73062 - Student is expected to return to the same school
73063 - Transferred to a charter school in a different state
</t>
  </si>
  <si>
    <t xml:space="preserve">06262 - Attempts to contact the parent and/or child were unsuccessful
02226 - Completion of IFSP prior to reaching maximum age for Part C
01923 - Died or is permanently incapacitated
01927 - Discontinued schooling
02222 - Discontinued schooling, not special education
02221 - Discontinued schooling, special education only
02227 - Eligible for IDEA, Part B
02224 - Expulsion
02212 - Graduated with a high school diploma
02231 - Moved out of state
02216 - No longer receiving special education
73075 - Moved within the US, not known to be continuing
06261 - Not eligible for Part B, exit with no referrals
02228 - Not eligible for Part B, exit with referrals to other programs
02230 - Part B eligibility not determined
02214 - Program completion
02225 - Program discontinued
02215 - Reached maximum age
02213 - Received certificate of completion, modified diploma, or finished IEP requirements
02217 - Refused services
73076 - Student data claimed in error/never attended
73078 - Student moved to another country, may or may not be continuing
73079 - Student with disabilities remaining in school to receive transitional services
02220 - Suspended from school
02406 - Transferred to another district or school, known not to be continuing in program/service
02218 - Transferred to another district or school, known to be continuing in program/service
02219 - Transferred to another district or school, not known to be continuing in program/service
73077 - Transferred to a juvenile or adult correctional facility where educational services are not provided
02233 - Unknown reason
02232 - Withdrawal by a parent (or guardian)
09999 - Other
</t>
  </si>
  <si>
    <t>Early Learning -&gt; Early Learning Child -&gt; Enrollment
Early Learning -&gt; Early Learning Child -&gt; Program
K12 -&gt; K12 Student -&gt; Program</t>
  </si>
  <si>
    <t xml:space="preserve">02882 - Act of violence
02880 - Bomb threat
02888 - Debris flows or mudslide
02886 - Earthquake
02895 - Emergency shelter need
02892 - Extreme heat
02878 - Fire
02897 - Flood
02894 - Gas leak
02883 - Hostage
02884 - Hurricane and tropical storm
02893 - Major chemical emergency
02881 - Terrorism
02879 - Theft
02885 - Thunderstorm - severe
02896 - Tornado
02889 - Tsunami
02890 - Volcano
02891 - Wildfire - surface, ground, or crown fire
02887 - Winter storm
09999 - Other
</t>
  </si>
  <si>
    <t xml:space="preserve">13390 - District/Local
00859 - Federal
00391 - State
</t>
  </si>
  <si>
    <t xml:space="preserve">02828 - Capital improvement plan
02827 - Educational facilities master plan
02825 - Emergency response plan
02829 - Energy management plan
02830 - Hazardous materials management plan
02826 - Maintenance plan
09999 - Other
</t>
  </si>
  <si>
    <t xml:space="preserve">02584 - Americans with Disabilities Act (ADA)
02588 - Asbestos Hazardous Emergency Response Act (AHERA)
02585 - Individuals with Disabilities Education Act (IDEA)
02587 - Lead Contamination Control Act
02586 - Safe Drinking Water Act
09999 - Other
</t>
  </si>
  <si>
    <t xml:space="preserve">02979 - Building commissioning
02977 - Financial audit
02980 - Fiscal audit
02976 - Management audit
02978 - Performance audit
13688 - Post Occupancy Evaluation
02981 - Process audit
13687 - Retro-commissioning
09999 - Other
</t>
  </si>
  <si>
    <t xml:space="preserve">02432 - Nonpermanent building
02431 - Permanent building
</t>
  </si>
  <si>
    <t xml:space="preserve">02913 - District management
02824 - Nonschool public agency management
02823 - Private management
09999 - Other
</t>
  </si>
  <si>
    <t xml:space="preserve">00865 - Charter board
13652 - Federal Agency
00862 - Local (e.g., school board, city council, municipal board)
00864 - Private/Religious
00214 - Regional or intermediate educational agency
00860 - State agency
</t>
  </si>
  <si>
    <t xml:space="preserve">02570 - In compliance
02571 - Not in compliance
02572 - Planned compliance
02573 - Waived compliance
</t>
  </si>
  <si>
    <t xml:space="preserve">02420 - Actual
02421 - Estimated
</t>
  </si>
  <si>
    <t xml:space="preserve">02430 - Adobe
02428 - Aluminum
02424 - Block
02422 - Brick
02423 - Brick veneer
02426 - Concrete
02427 - Prefabricated
02429 - Steel
02425 - Wood frame
09999 - Other
</t>
  </si>
  <si>
    <t xml:space="preserve">02579 - Asbestos contamination
75026 - Child nutrition
02577 - Drinking water safety
02574 - Facility accessibility and usability for individuals with disabilities
02580 - Hazardous materials
02575 - Indoor air quality
02583 - Integrated pest control
02578 - Lead contamination
02582 - Material Safety Data Sheet (MSDS)
03264 - National School Lunch Act
02576 - Radon contamination
02581 - Underground storage tank
09999 - Other
</t>
  </si>
  <si>
    <t xml:space="preserve">13717 - Application fee
13718 - Legal fee
13719 - Origination fee
</t>
  </si>
  <si>
    <t xml:space="preserve">00103 - Administrative office
02792 - Cafeteria
03014 - Classroom
00309 - Occupational therapy
00559 - Physical education
00313 - Physical therapy
</t>
  </si>
  <si>
    <t xml:space="preserve">02898 - Asbestos
13656 - Carbon Monoxide
13657 - Chlorofluorocarbons
13658 - Concentrated animal feeding operations (CAFOs)
13659 - Criteria Air Pollutants
13660 - Drip Lines
13661 - Ground Level Ozone
13662 - Hazardous Air Pollutants
13663 - Hazardous, industrial, or municipal waste sites
13664 - Hydrochlorofluorocarbons
02899 - Lead
13665 - Mercury
13666 - Methane
02900 - Mold
13667 - Nitrogen Oxides
13668 - Particulate Matter
02903 - Pesticides
13669 - Polychlorinated biphenyls (PCBs)
13670 - Propellants
02902 - Radon
13671 - Refrigerants
13672 - Sediment, sludge, reuse material
13673 - Sulfur dioxide
02901 - Underground storage tanks (USTs)
13674 - Vapor intrusion
13675 - Volatile organic compounds
09999 - Other
</t>
  </si>
  <si>
    <t xml:space="preserve">13690 - Dedicated
13689 - Shared
</t>
  </si>
  <si>
    <t xml:space="preserve">13720 - Base rent
13721 - Credit
13722 - Escalator
</t>
  </si>
  <si>
    <t xml:space="preserve">13723 - Building lease
13724 - Ground lease
13725 - Lease build to suit
13726 - Lease shell with significant leasehold improvements
13727 - Triple-net lease
</t>
  </si>
  <si>
    <t xml:space="preserve">Regulated - Regulated
Unregulated - Unregulated
Exempt - Exempt
</t>
  </si>
  <si>
    <t xml:space="preserve">02989 - Emergency maintenance repair
02839 - Predictive
02838 - Preventive
02837 - Routine
02836 - Run to fail
</t>
  </si>
  <si>
    <t xml:space="preserve">13730 - Add-on interest
13731 - Adjustable-Rate Mortgage (ARM)
13732 - Balloon Mortgage
13733 - Deferred Interest
13734 - Fixed Payment Mortgage
13735 - Fixed-rate Mortgage
13736 - Floating Rate
13737 - Fully Amortizing Mortgage
13738 - Graduated-payment Mortgage (GPM)
13739 - Interest-only loan
13740 - Open-end Mortgage
</t>
  </si>
  <si>
    <t xml:space="preserve">13741 - Junior Mortgage
13742 - Multiple
13743 - Senior or first mortgage
</t>
  </si>
  <si>
    <t xml:space="preserve">13678 - Arsenic
13679 - Earthquake prone area
13680 - Floodplain
13681 - Liquefaction, landslide areas
13682 - Naturally Occurring Asbestos (NOA)
13683 - Sinkholes, Karst terrain
</t>
  </si>
  <si>
    <t xml:space="preserve">02821 - District and private sector management
02822 - Nonschool public sector management
02820 - Private sector management
02819 - School district management
09999 - Other
</t>
  </si>
  <si>
    <t xml:space="preserve">ForProfit - For-profit facility
NonProfit - Non-profit facility
GovernmentRun - Government run facility
</t>
  </si>
  <si>
    <t xml:space="preserve">02434 - Athletic field - Natural
02438 - Drop-off/driveway
02526 - Fencing enclosures
02437 - Hardscape game area
02436 - Hardscape play area
02443 - Landscaping
02435 - Outdoor classroom
02524 - Parking area
02433 - Playground
02440 - Retaining walls
02439 - Septic fields
02441 - Sidewalks
02442 - Stairs and ramps
02444 - Water filtration system
09999 - Other
</t>
  </si>
  <si>
    <t xml:space="preserve">13566 - Athletic field - Artificial
02434 - Athletic field - Natural
02438 - Drop-off/driveway
02526 - Fencing enclosures
02437 - Hardscape game area
02436 - Hardscape play area
02443 - Landscaping
02524 - Parking area
02433 - Playground
02440 - Retaining walls
13567 - Semi-permeable game area
02439 - Septic fields
02441 - Sidewalks
13568 - Softscape game area
13569 - Softscape play area
02442 - Stairs and ramps
02444 - Water filtration system
</t>
  </si>
  <si>
    <t xml:space="preserve">02633 - Administration
02634 - Assembly
02631 - Athletic
02628 - Basic classroom
02635 - Corridors
02639 - Dormitory room
02638 - Food service
02630 - Library/media
02773 - Multi-purpose room
02636 - Operational support
03017 - Restroom
02629 - Specialty classroom
02637 - Storage
02788 - Storage - hazardous materials
02632 - Student support
09999 - Other
</t>
  </si>
  <si>
    <t xml:space="preserve">02622 - Design guidelines
02626 - Energy performance standards
13628 - Environmental Standards
02625 - Health and safety standards
02624 - Master construction specifications
02627 - Site selection guidelines
02623 - Space standards
09999 - Other
</t>
  </si>
  <si>
    <t xml:space="preserve">02594 - Acreage standards
02589 - Building code
02593 - Design standards
02598 - Earthquake standards
02590 - Fire code
02592 - Flood control
03265 - Food safety standards
02591 - Health code
02596 - Historic preservation requirements
02597 - Occupational health and safety code
02595 - Standard educational specifications
09999 - Other
</t>
  </si>
  <si>
    <t xml:space="preserve">02563 - Adequate system or component condition
02567 - Emergency system or component condition
02561 - Excellent System or Component Condition
02564 - Fair System or Component Condition
02562 - Good System or Component Condition
02983 - Nonoperable system or component condition
02565 - Poor System or Component Condition
02566 - Urgent building system or component condition
</t>
  </si>
  <si>
    <t xml:space="preserve">02852 - Purchased
02851 - Self-generated
</t>
  </si>
  <si>
    <t xml:space="preserve">02840 - Electricity
02990 - Internet service
02841 - Natural gas
02842 - Oil
13685 - Recycling
02844 - Sewer
02845 - Telephone
13686 - Waste
02843 - Water
09999 - Other
</t>
  </si>
  <si>
    <t xml:space="preserve">FAL1 - Level 1 (lowest level)
FAL2 - Level 2
FAL3 - Level 3
FAL4 - Level 4
FAL5 - Level 5
FAL6 - Level 6 (highest level)
EVALNR - Evaluated, not ranked
</t>
  </si>
  <si>
    <t xml:space="preserve">RETAINED - Retained by SEA for program administration, etc.
TRANSFER - Transferred to another state agency
DISTNONLEA - Distributed to entities other  than LEAs
UNALLOC - Unallocated or returned funds
</t>
  </si>
  <si>
    <t xml:space="preserve">FAFSA - Free Application for Federal Student Aid (FAFSA)
StateApplication - State Application
InstitutionApplication - Institution Application
Other - Other
None - None
</t>
  </si>
  <si>
    <t xml:space="preserve">Awarded - Awarded
Accepted - Accepted
Disbursed - Disbursed
Declined - Declined
</t>
  </si>
  <si>
    <t xml:space="preserve">PellGrants - Pell grants
OtherFederalGrants - Other federal grants
StateAndLocalGrants - State and local grants
InstitutionalGrants - Institutional grants
PrivateGrants - Private grants
OtherGrants - Other grants
Assistantships - Assistantships
FederalScholarships - Federal scholarships
StateAndLocalScholarships - State and local scholarships
InstitutionalScholarships - Institutional scholarships
PrivateScholarships - Private scholarships
OtherScholarships - Other scholarships
FederalSubsidizedLoans - Federal subsidized loans
FederalUnsubsidizedLoans - Federal unsubsidized loans
PrivateLoans - Private loans
StateLoans - State loans
InstitutionalLoans - Institutional loans
ParentPLUSLoans - Parent PLUS loans
OtherLoans - Other loans
StateWork - State work
FederalWorkStudy - Federal work study
OtherOnCampusWork - Other on-campus work
</t>
  </si>
  <si>
    <t xml:space="preserve">VeteranReceivingBenefits - Veteran receiving  benefits
VeteranDoesNotReceiveBenefits - Veteran does not receive benefits
DependentReceivingBenefits - Dependent receiving benefits
</t>
  </si>
  <si>
    <t xml:space="preserve">Post911GIBill - Post-9/11 GI Bill
DODTuitionAssistance - Department of Defense Tuition Assistance
</t>
  </si>
  <si>
    <t xml:space="preserve">Federal - Federal
Institutional - Institutional
</t>
  </si>
  <si>
    <t xml:space="preserve">Handguns - Handguns
RiflesShotguns - Rifles / Shotguns
Multiple - More than one type of weapon or firearm
Other - Other
</t>
  </si>
  <si>
    <t>Adult Education -&gt; AE Staff -&gt; Demographic
Adult Education -&gt; AE Student -&gt; Demographic
Career and Technical -&gt; CTE Staff -&gt; Demographic
Career and Technical -&gt; CTE Student -&gt; Demographic
Early Learning -&gt; Early Learning Staff -&gt; Demographic
K12 -&gt; K12 Staff -&gt; Demographic
K12 -&gt; K12 Student -&gt; Demographic
Postsecondary -&gt; PS Staff -&gt; Demographic
Postsecondary -&gt; PS Student -&gt; Demographic
Workforce -&gt; Workforce Program Participant -&gt; Demographic</t>
  </si>
  <si>
    <t>Adult Education -&gt; AE Staff -&gt; Identity -&gt; Name
Adult Education -&gt; AE Student -&gt; Identity -&gt; Name
Assessments -&gt; Assessment Result -&gt; Scorer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</si>
  <si>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 xml:space="preserve">01 - Health insurance
02 - Dental insurance
03 - Vision
04 - Disability insurance
05 - Retirement
06 - Professional membership fees paid
07 - Sick leave
08 - Leave
09 - Vacation
10 - Holiday
11 - Personal leave
12 - Family leave
13 - Bereavement leave
14 - Jury duty leave
15 - Life insurance
16 - Maternity leave
17 - Paternity leave
18 - Family medical leave
19 - Flex plan-dependent care
20 - Flex plan-medical (MSA/HSA)
21 - Transportation
22 - Parking
23 - Flex schedule/time
24 - Employee Assistance Program (EAP)
25 - Paid training
26 - Tuition reimbursement
27 - Child care fee assistance
28 - Bonus
</t>
  </si>
  <si>
    <t>Early Learning -&gt; Early Learning Organization -&gt; Organization Information
K12 -&gt; Organization -&gt; Organization Information
Postsecondary -&gt; Organization -&gt; Organization Information</t>
  </si>
  <si>
    <t>Adult Education -&gt; AE Staff -&gt; Identity -&gt; Name
Adult Education -&gt; AE Student -&gt; Identity -&gt; Name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</si>
  <si>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Assessments -&gt; Goal
Early Learning -&gt; Early Learning Child -&gt; Individualized Program -&gt; Goal
K12 -&gt; K12 Student -&gt; Individualized Program -&gt; Goal
K12 -&gt; K12 Student -&gt; Individualized Program -&gt; Progress Report -&gt; Goal</t>
  </si>
  <si>
    <t xml:space="preserve">Observationlog - Observation log
Datacharts - Data charts
Tests - Tests
Other - Other
</t>
  </si>
  <si>
    <t xml:space="preserve">SatisfactoryProgress - Satisfactory Progress
UnsatisfactoryProgress - Unsatisfactory Progress
Completed - Completed
Other - Other
</t>
  </si>
  <si>
    <t xml:space="preserve">01 - Obtain a job
02 - Retain current job
03 - Earn a secondary school diploma or achieve GED certificate
04 - Enter postsecondary education or job training
05 - Improve basic literacy skills
06 - Improve English language skills
07 - Obtain citizenship skills
08 - Achieve work-based project learner goals
09 - Other personal goals
</t>
  </si>
  <si>
    <t xml:space="preserve">HighSchool - High School
PSUndergraduate - Postsecondary Undergraduate
PSTransfer - Postsecondary Transfer Institution
PSGraduate - Postsecondary Graduate
</t>
  </si>
  <si>
    <t xml:space="preserve">Weighted - Weighted
Unweighted - Unweighted
</t>
  </si>
  <si>
    <t xml:space="preserve">01 - Teaching
02 - Research
03 - Management Occupations
04 - Business and Financial Occupations
05 - Computer, Engineering and Science Occupations
06 - Community Service, Legal, Arts and Media Occupations
07 - Library and Non-postsecondary Teaching
08 - Healthcare Practitioners and Technical Occupations
</t>
  </si>
  <si>
    <t xml:space="preserve">NotRequired - Exam not required
NotTaken - Exam required but not taken
Waived - Exam waived
Passed - Exam taken and passed
Failed - Exam taken and failed
</t>
  </si>
  <si>
    <t xml:space="preserve">YesReportingOffenses - Yes, with reporting of one or more students for an offense
YesNoReportedOffenses - Yes, with no reported offenses
No - No
NA - Not applicable
</t>
  </si>
  <si>
    <t>Early Learning -&gt; Early Learning Child -&gt; Health -&gt; Hearing
K12 -&gt; K12 Student -&gt; Health -&gt; Hearing</t>
  </si>
  <si>
    <t xml:space="preserve">Passed - Passed
FurtherEvaluation - Further Evaluation Needed
</t>
  </si>
  <si>
    <t xml:space="preserve">Minimum - Minimum
Recommended - Recommended
Distinguished - Distinguished
OpenEnrollment - Open Enrollment
MagnaCumLaude - Magna cum laude
SummaCumLaude - Summa cum laude
</t>
  </si>
  <si>
    <t xml:space="preserve">00806 - Regular diploma
00807 - Endorsed/advanced diploma
00808 - Regents diploma
00809 - International Baccalaureate
00810 - Modified diploma
00811 - Other diploma
00812 - Alternative credential
00813 - Certificate of attendance
00814 - Certificate of completion
00815 - High school equivalency credential, other than GED
00816 - General Educational Development (GED) credential
00818 - Post graduate certificate (grade 13)
00819 - Career and Technical Education certificate
</t>
  </si>
  <si>
    <t xml:space="preserve">MetGoal - Met (Goal)
MetTarget - Met (Target)
DidNotMeet - Did Not Meet
TooFewStudents - Too Few Students
NoStudents - There are no students in a student subgroup. 
NA - Not applicable
</t>
  </si>
  <si>
    <t xml:space="preserve">Regional - Regionally accredited
Programmatic - Programmatic accreditation
National - Nationally accredited
Faith - Faith
CareerRelated - Career related
NotAccredited - Not accredited
</t>
  </si>
  <si>
    <t>Adult Education -&gt; AE Staff -&gt; Education
Early Learning -&gt; Early Learning Staff -&gt; Education
K12 -&gt; K12 Staff -&gt; Education
Postsecondary -&gt; PS Staff -&gt; Education</t>
  </si>
  <si>
    <t>Adult Education -&gt; AE Staff -&gt; Credential
Adult Education -&gt; AE Staff -&gt; Education
Adult Education -&gt; AE Student -&gt; Academic Record
Early Learning -&gt; Early Learning Staff -&gt; Education
Early Learning -&gt; Parent/Guardian -&gt; Education
K12 -&gt; K12 Staff -&gt; Credential or License
K12 -&gt; K12 Staff -&gt; Education
K12 -&gt; Parent/Guardian -&gt; Education
Postsecondary -&gt; PS Staff -&gt; Education</t>
  </si>
  <si>
    <t xml:space="preserve">HighlyQualitifed - Highly qualified
NotHighlyQualified - Not highly qualified
</t>
  </si>
  <si>
    <t>Adult Education -&gt; AE Staff -&gt; Employment
Early Learning -&gt; Early Learning Staff -&gt; Employment
K12 -&gt; K12 Staff -&gt; Employment
Postsecondary -&gt; PS Staff -&gt; Employment</t>
  </si>
  <si>
    <t xml:space="preserve">DoubledUp - Doubled Up
Unsheltered - Unsheltered
HotelMotel - Hotels/Motels
Shelter - Shelter
SheltersTransitionalHousing - Shelters Transitional Housing
TransitionalHousing - Transitional Housing
</t>
  </si>
  <si>
    <t>Early Learning -&gt; Early Learning Child -&gt; Homeless
K12 -&gt; K12 Student -&gt; Homeless</t>
  </si>
  <si>
    <t>Early Learning -&gt; Early Learning Child -&gt; Demographic
K12 -&gt; K12 Student -&gt; Homeless
Postsecondary -&gt; PS Student -&gt; Homeless</t>
  </si>
  <si>
    <t xml:space="preserve">Autism - Autism
Deafblindness - Deaf-blindness
Deafness - Deafness
Developmentaldelay - Developmental delay
Emotionaldisturbance - Emotional disturbance
Hearingimpairment - Hearing impairment
Intellectualdisability - Intellectual disability
Multipledisabilities - Multiple disabilities
Orthopedicimpairment - Orthopedic impairment
Otherhealthimpairment - Other health impairment
Specificlearningdisability - Specific learning disability
Speechlanguageimpairment - Speech or language impairment
Traumaticbraininjury - Traumatic brain injury
Visualimpairment - Visual impairment
</t>
  </si>
  <si>
    <t xml:space="preserve">EXPMOD - Expulsion modified to less than one year with educational services under IDEA
EXPNOTMOD - One year expulsion with educational services under IDEA
REMOVEOTHER - Other reasons such as death, withdrawal, or incarceration
OTHERDISACTION - Another type of disciplinary action
NOACTION - No disciplinary action taken
</t>
  </si>
  <si>
    <t xml:space="preserve">REC09YOTHLOC - Other location regular early childhood program (less than 10 hours)
REC10YOTHLOC - Other location regular early childhood program (at least 10 hours)
REC09YSVCS - Services regular early childhood program (less than 10 hours)
REC10YSVCS - Services regular early childhood program (at least10 hours)
SC - Separate special education class
SS - Separate school
RF - Residential Facility
H - Home
SPL - Service provider or other location not in any other category
</t>
  </si>
  <si>
    <t>Early Learning -&gt; Early Learning Child -&gt; Disability
Early Learning -&gt; Early Learning Child -&gt; Enrollment
K12 -&gt; K12 Student -&gt; Individualized Program
K12 -&gt; K12 Student -&gt; Individualized Program -&gt; IDEA Placement</t>
  </si>
  <si>
    <t xml:space="preserve">RC80 - Inside regular class 80% or more of the day
RC79TO40 - Inside regular class 40% through 79% of the day
RC39 - Inside regular class less than 40% of the day
SS - Separate school
RF - Residential facility
HH - Homebound/hospital
CF - Correctional facility
PPPS - Parentally placed in private school
</t>
  </si>
  <si>
    <t xml:space="preserve">AcademicAchievement - Academic Achievement
Developmental - Developmental
Motor - Motor
FunctionalBehavior - Functional Behavior
AdaptiveBehavior - Adaptive Behavior
Transition - Transition
Vocational - Vocational
Communication - Communication
Hearing - Hearing
Vision - Vision
O&amp;M - Orientation and Mobility
Medical - Medical
Language - Language
Speech - Speech
Cognitive - Cognitive
Social/Emotional - Social/Emotional
Other - Other
</t>
  </si>
  <si>
    <t xml:space="preserve">Active - Active
Inactive - Inactive
NotSelected - Not Selected
</t>
  </si>
  <si>
    <t xml:space="preserve">REMDW - Removal for drugs, weapons, or serious bodily injury
REMHO - Removed based on a Hearing Officer finding
</t>
  </si>
  <si>
    <t xml:space="preserve">Drugs - Drugs
Weapons - Weapons
SeriousBodilyInjury - Serious bodily injury
</t>
  </si>
  <si>
    <t xml:space="preserve">DevelopmentalDelay - Developmental Delay
DiagnosedCondition - Diagnosed Condition
AtRisk - At-risk
</t>
  </si>
  <si>
    <t xml:space="preserve">Placement - Placement
Amendment - Amendment
AnnualGoal - Annual Goal
MeasurableObjective - Measurable Objective
IEP - IEP
Revoke - Revoke
</t>
  </si>
  <si>
    <t xml:space="preserve">Initial - Initial
Reevaluation - Reevaluation
</t>
  </si>
  <si>
    <t xml:space="preserve">Academic - Academic
Functional - Functional
Transitional - Transitional
</t>
  </si>
  <si>
    <t>Early Learning -&gt; Early Learning Child -&gt; Health -&gt; Immunization
K12 -&gt; K12 Student -&gt; Health -&gt; Immunization</t>
  </si>
  <si>
    <t xml:space="preserve">Diphtheria - Diphtheria
HaemophilusInfluenzae - Haemophilus Influenzae
HepatitisA - Hepatitis A
HepatitisB - Hepatitis B
InactivatedPoliovirus - Inactivated Poliovirus
Influenza - Influenza
Meningococcal - Meningococcal
Mumps - Mumps
Pertussis - Pertussis (Whooping Cough)
Pneumococcal - Pneumococcal
RhImmuneGlobulin - Rh. Immune Globulin
Rotavirus - Rotavirus
Rubella - Rubella (German measles)
Rubeola - Rubeola (Measles)
Smallpox - Smallpox
Tetanus - Tetanus
Tuberculosis - Tuberculosis (BCG)
Varicella - Varicella
ParentOptOut - Parent opt-out
</t>
  </si>
  <si>
    <t xml:space="preserve">04618 - Alcohol
04625 - Arson
04626 - Attendance Policy Violation
04632 - Battery
04633 - Burglary/Breaking and Entering
04634 - Disorderly Conduct
04635 - Drugs Excluding Alcohol and Tobacco
04645 - Fighting
13354 - Harassment or bullying on the basis of disability
13355 - Harassment or bullying on the basis of race, color, or national origin
13356 - Harassment or bullying on the basis of sex
04646 - Harassment, Nonsexual
04650 - Harassment, Sexual
04651 - Homicide
04652 - Inappropriate Use of Medication
04659 - Insubordination
04660 - Kidnapping
04661 - Obscene Behavior
04669 - Physical Altercation, Minor
04670 - Robbery
04671 - School Threat
04677 - Sexual Battery (sexual assault)
04678 - Sexual Offenses, Other (lewd behavior, indecent exposure)
04682 - Theft
04686 - Threat/Intimidation
04692 - Tobacco Possession or Use
04699 - Trespassing
04700 - Vandalism
04704 - Violation of School Rules
04705 - Weapons Possession
</t>
  </si>
  <si>
    <t xml:space="preserve">MajorInjury - Major injury
MinorInjury - Minor injury
NoInjury - No injury
SeriousBodilyInjury - Serious bodily injury
FatalInjury - Fatal injury
</t>
  </si>
  <si>
    <t xml:space="preserve">03011 - On campus
03012 - Administrative offices area
03013 - Cafeteria area
03014 - Classroom
03015 - Hallway or stairs
03016 - Locker room or gym areas
03017 - Restroom
03018 - Library/media center
03019 - Computer lab
03020 - Auditorium
03021 - On-campus other inside area
03022 - Athletic field or playground
03023 - Stadium
03024 - Parking lot
03025 - On-campus other outside area
03026 - Off campus
03027 - Bus stop
03028 - School bus
03029 - Walking to or from school
03030 - Off-campus at other school
03031 - Off-campus at other school district facility
03413 - Online
13773 - Off-campus at a school sponsored activity
13774 - Off-campus at another location unrelated to school
09997 - Unknown
</t>
  </si>
  <si>
    <t xml:space="preserve">Primary - Primary
Secondary - Secondary
</t>
  </si>
  <si>
    <t xml:space="preserve">03041 - Administrator
13342 - All Other Support Staff
04723 - Athletic coach
04708 - Board of education/school board/board of trustees member
04864 - Bus driver
04877 - Cook/food preparer (food service staff)
04725 - Counselor
04878 - Custodian
04710 - Dean/dean of instructions/dean of students/dean of boys/dean of girls/dean of student activities
04712 - Deputy/associate/assistant superintendent/ commissioner
04711 - Deputy/associate/vice /assistant principal
03168 - Former student
03054 - Law enforcement officer
13335 - Librarians/Media Specialist
03055 - Municipal law enforcement officer assigned to the school
03056 - Municipal law enforcement officer not assigned to the school
03059 - Nonschool personnel
03061 - Other adult
03062 - Other nonstudent youth
13403 - Other Professional Staff
13333 - Paraprofessionals/Instructional Aide
00850 - Parent/guardian
04718 - Principal/headmaster/headmistress/head of school
03035 - Professional educational staff
04783 - Registered nurse
03060 - Representative of visiting school
13340 - School Administrative Support Staff
13334 - School Counselor
03057 - School district police officer assigned to the school
03058 - School district police officer not assigned to the school
04885 - Security guard
04788 - Social worker
03422 - Staff member
00126 - Student
04730 - Student activity advisor/non athletic coach
03033 - Student enrolled in another school
03032 - Student enrolled in the school where the incident occurred
03034 - Student expelled or involuntarily withdrawn
13782 - Substitute teacher
04721 - Superintendent/commissioner
04732 - Teacher
09997 - Unknown
</t>
  </si>
  <si>
    <t xml:space="preserve">Victim - Victim
Perpetrator - Perpetrator
Witness - Witness
Reporter - Reporter
</t>
  </si>
  <si>
    <t xml:space="preserve">00126 - Student
03032 - Student enrolled in the school where the incident occurred
03033 - Student enrolled in another school
03034 - Student expelled or involuntarily withdrawn
03422 - Staff member
03035 - Professional educational staff
04732 - Teacher
13782 - Substitute teacher
13335 - Librarians/Media Specialist
04725 - Counselor
13334 - School Counselor
04723 - Athletic coach
04730 - Student activity advisor/non athletic coach
13403 - Other Professional Staff
04783 - Registered nurse
04788 - Social worker
03041 - Administrator
04718 - Principal/headmaster/headmistress/head of school
04711 - Deputy/associate/vice /assistant principal
04710 - Dean/dean of instructions/dean of students/dean of boys/dean of girls/dean of student activities
04721 - Superintendent/commissioner
04712 - Deputy/associate/assistant superintendent/ commissioner
04708 - Board of education/school board/board of trustees member
13342 - All Other Support Staff
04864 - Bus driver
13340 - School Administrative Support Staff
04878 - Custodian
04877 - Cook/food preparer (food service staff)
13333 - Paraprofessionals/Instructional Aide
04885 - Security guard
03054 - Law enforcement officer
03055 - Municipal law enforcement officer assigned to the school
03056 - Municipal law enforcement officer not assigned to the school
03057 - School district police officer assigned to the school
03058 - School district police officer not assigned to the school
03059 - Nonschool personnel
00850 - Parent/guardian
03060 - Representative of visiting school
03061 - Other adult
03168 - Former student
03062 - Other nonstudent youth
09997 - Unknown
</t>
  </si>
  <si>
    <t xml:space="preserve">13765 - After classes
13761 - Before classes
13762 - During class
13764 - During lunch/recess
13763 - During passing
13770 - Nonschool-sponsored activity
13768 - On the way from school
13767 - On the way to school
13766 - Other time during school hours
13771 - Other time outside school hours
13769 - School-sponsored activity
13772 - Unknown
</t>
  </si>
  <si>
    <t>Early Learning -&gt; Early Learning Family -&gt; Family/Household Information
Early Learning -&gt; Parent/Guardian
Early Learning -&gt; Parent/Guardian -&gt; Relationship</t>
  </si>
  <si>
    <t>Early Learning -&gt; Early Learning Child -&gt; Program
Early Learning -&gt; Early Learning Organization -&gt; Organization Information
K12 -&gt; K12 Student -&gt; Individualized Program
K12 -&gt; K12 Student -&gt; Individualized Program -&gt; IDEA Placement</t>
  </si>
  <si>
    <t xml:space="preserve">HeadStart - Head Start calculation
StateSpecific - State-specific calculation
</t>
  </si>
  <si>
    <t xml:space="preserve">LongerSchoolYear - Longer School Year
LongerSchoolDay - Longer School Day
BeforeOrAfterSchool - Before or After School
SummerSchool - Summer School
WeekendSchool - Weekend School
Other - Other
AfterSchool - After School
BeforeSchool - Before School
NightSchool - Night School
</t>
  </si>
  <si>
    <t>K12 -&gt; K12 School -&gt; Institution Characteristics
Postsecondary -&gt; PS Institution -&gt; Institution Characteristics</t>
  </si>
  <si>
    <t>Early Learning -&gt; Early Learning Child -&gt; Individualized Program
K12 -&gt; K12 Student -&gt; Individualized Program</t>
  </si>
  <si>
    <t xml:space="preserve">Daily - Daily
Weekly - Weekly
Biweekly - Biweekly
Monthly - Monthly
Bimonthly - Bimonthly
Quarterly - Quarterly
Semiannually - Semiannually
Annually - Annually
Other - Other
</t>
  </si>
  <si>
    <t xml:space="preserve">01 - Assistive technology services
02 - Audiology services
03 - Family training/counseling services
04 - Health services
05 - Medical services
06 - Nursing services
07 - Nutrition services
08 - Occupational therapy
09 - Physical therapy
10 - Psychological services
11 - Sign language and cued language services
12 - Service coordination
13 - Social work services
14 - Special instruction
15 - Speech-language pathology services
16 - Vision services
99 - Other
</t>
  </si>
  <si>
    <t xml:space="preserve">Development - Development date
Implementation - Implementation date
TentativeRevision - Tentative revision date
Revision - Revision date
Other - Other
</t>
  </si>
  <si>
    <t xml:space="preserve">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</si>
  <si>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 xml:space="preserve">Daily - Daily
Weekly - Weekly
Monthly - Monthly
Quarterly - Quarterly
Term - Term
Other - Other
</t>
  </si>
  <si>
    <t xml:space="preserve">Reportcard - Report card
Progressreports - Progress reports
Parentconference - Parent conference
Other - Other
</t>
  </si>
  <si>
    <t xml:space="preserve">03426 - Postsecondary education or training
00518 - Work
09998 - None
</t>
  </si>
  <si>
    <t xml:space="preserve">05978 - 504 plan
89600 - College and Career Ready Learning Plan
05980 - GIEP - Individualized education program for gifted student
02196 - Individualized education program (IEP)
02198 - Individualized family service plan (IFSP)
02197 - Individualized learning program (ILP)
05982 - Individualized transition plan
02349 - English learner
05981 - Literacy plan
05979 - Student intervention/support plan
09999 - Other
</t>
  </si>
  <si>
    <t>Early Learning -&gt; Early Learning Child -&gt; Individualized Program
Early Learning -&gt; Early Learning Child -&gt; Services
K12 -&gt; K12 Student -&gt; Individualized Program</t>
  </si>
  <si>
    <t xml:space="preserve">Main - Main phone number
Administrative - Administrative phone number
HealthClinic - Health clinic phone number
Attendance - Attendance line
Fax - Fax number
FoodServices - Cafeteria/Food Services
Other - Other
</t>
  </si>
  <si>
    <t>Early Learning -&gt; Early Learning Organization -&gt; Telephone
K12 -&gt; K12 School -&gt; Telephone
K12 -&gt; LEA -&gt; Telephone
K12 -&gt; Organization -&gt; Telephone
Postsecondary -&gt; Organization -&gt; Telephone</t>
  </si>
  <si>
    <t xml:space="preserve">ExclusivelyCredit - Exclusively credit
ExclusivelyNotForCredit - Exclusively not-for-credit
Combined - Combined credit/not-for-credit
</t>
  </si>
  <si>
    <t xml:space="preserve">Credit - Credit
Contact - Contact
</t>
  </si>
  <si>
    <t xml:space="preserve">Tenured - Tenured
OnTenureTrack - On tenure track
NotOnTenureTrack - Not on tenure track
WithoutFacultyStatus - Without faculty status
</t>
  </si>
  <si>
    <t xml:space="preserve">Developing - Developing
Approaching - Approaching
Meets - Meets
FullyIntegrated - Fully integrated
NotRequired - Not required to report
</t>
  </si>
  <si>
    <t xml:space="preserve">CellularNetwork - Cellular Network
CommunityProvidedWi-Fi - Community Provided Wi-Fi
Dialup - Dial-up
HotSpot - Hot Spot
None - None
ResidentialBroadband - Residential Broadband
Satellite - Satellite
Unknown - Unknown
Other - Other
</t>
  </si>
  <si>
    <t>Adult Education -&gt; AE Student -&gt; Digital Access -&gt; Internet Speed Test
Career and Technical -&gt; CTE Student -&gt; Digital Access -&gt; Internet Speed Test
Early Learning -&gt; Early Learning Child -&gt; Digital Access -&gt; Internet Speed Test
K12 -&gt; K12 Student -&gt; Digital Access -&gt; Internet Speed Test
Postsecondary -&gt; PS Student -&gt; Digital Access -&gt; Internet Speed Test
Workforce -&gt; Workforce Program Participant -&gt; Digital Access -&gt; Internet Speed Test</t>
  </si>
  <si>
    <t xml:space="preserve">No - No
Sometimes - Sometimes
Yes - Yes
</t>
  </si>
  <si>
    <t xml:space="preserve">Longterminvestments - Long-term investments
PropertyPlantEquipmentnetofaccumulateddepreciation - Property, Plant, and Equipment, net of accumulated depreciation
IntangibleAssetsnetofaccumulatedamortization - Intangible Assets, net of accumulated amortization
AssetsCashcashequivalentstemporaryinvestments - Assets: Cash, cash equivalents, and temporary investments
AssetsReceivablesnetofallowancefor - Assets: Receivables (net of allowance for uncollectible amounts)
AssetsInventoriesprepaidexpensesdeferredcharges - Assets: Inventories, prepaid expenses, and deferred charges
AssetsAmountsheldbytrusteesfor - Assets: Amounts held by trustees for construction and debt service
AssetsOtherassets - Assets: Other assets
LiabilitiesAccountspayable - Liabilities: Accounts payable
LiabilitiesDeferredrevenuesrefundableadvances - Liabilities: Deferred revenues and refundable advances
LiabilitiesPostretirementpostemploymentobligations - Liabilities: Post-retirement and post-employment obligations
LiabilitiesOtheraccruedliabilities - Liabilities: Other accrued liabilities
LiabilitiesAnnuitylifeincomeobligationsother - Liabilities: Annuity and life income obligations and other amounts held for the benefit of others
LiabilitiesBondsnotescapitalleases - Liabilities: Bonds, notes, and capital leases payable and other long-term debt, including current portion
LiabilitiesGovernmentgrantsrefundableunder - Liabilities: Government grants refundable under student loan programs
LiabilitiesOtherliabilities - Liabilities: Other liabilities
DebtrelatedtoPropertyPlantEquipment - Debt related to Property, Plant, and Equipment
Totalunrestrictednetassets - Total unrestricted net assets
Permanentlyrestrictednetassets - Permanently restricted net assets
Temporarilyrestrictednetassets - Temporarily restricted net assets
GrossPropertyPlantEquipmentLandlandimprovements - Gross Property Plant Equipment: Land and land improvements
GrossPropertyPlantEquipmentBuildings - Gross Property Plant Equipment: Buildings
GrossPropertyPlantEquipmentEquipment - Gross Property Plant Equipment: Equipment, including art and library collections
GrossPropertyPlantEquipmentConstructioninProgress - Gross Property Plant Equipment: Construction in Progress
GrossPropertyPlantEquipmentOther - Gross Property Plant Equipment: Other
Accumulateddepreciation - Accumulated depreciation
</t>
  </si>
  <si>
    <t xml:space="preserve">Instruction - Instruction
Research - Research
Publicservice - Public service
Academicsupport - Academic support
Studentservices - Student services
Institutionalsupport - Institutional support
Auxiliaryenterprises - Auxiliary enterprises
Netgrantaidtostudents - Net grant aid to students
Hospitalservices - Hospital services
Independentoperations - Independent operations
Other - Other
</t>
  </si>
  <si>
    <t xml:space="preserve">Passthrough - Pass through
Federalgrantrevenue - Federal grant revenue
DoesnotawardPellgrants - Does not award Pell grants
</t>
  </si>
  <si>
    <t xml:space="preserve">Tuitionfeesnetofallowance - Tuition and fees (net of allowance)
Federalappropriations - Federal appropriations
Stateappropriations - State appropriations
Localappropriations - Local appropriations
Federalgrantscontracts - Federal grants and contracts
Stategrantscontracts - State grants and contracts
Localgrantscontracts - Local grants and contracts
Privategifts - Private gifts
Privategrantscontracts - Private grants and contracts
Contributionsfromaffiliatedentities - Contributions from affiliated entities
Investmentreturn - Investment return
Salesservicesofeducationalactivities - Sales and services of educational activities
Salesservicesofauxiliaryenterprisesnetofallowance - Sales and services of auxiliary enterprises (net of allowance)
Hospitalrevenuenottobereportedby - Hospital revenue (not to be reported by less-than-4-year institutions)
Independentoperationsrevenuenottobe - Independent operations revenue (not to be reported by less-than-4-year institutions)
Otherrevenue - Other revenue
Netassetsreleasedfromrestriction - Net assets released from restriction
</t>
  </si>
  <si>
    <t xml:space="preserve">Unrestricted - Unrestricted
TemporarilyRestricted - Temporarily Restricted
PermanentlyRestricted - Permanently Restricted
</t>
  </si>
  <si>
    <t xml:space="preserve">Pellgrants - Pell grants
Otherfederalgrants - Other federal grants
Grantsbystategovernment - Grants by state government
Grantsbylocalgovernment - Grants by local government
Institutionalgrantsrestricted - Institutional grants (restricted)
Institutionalgrantsunrestricted - Institutional grants (unrestricted)
Discountsallowancesappliedtotuitionfees - Discounts and allowances applied to tuition and fees
Discountsallowancesappliedtoauxiliary - Discounts and allowances applied to auxiliary enterprise revenues
</t>
  </si>
  <si>
    <t xml:space="preserve">Totalcurrentassets - Total current assets
Depreciablecapitalassetsnetofdepreciation - Depreciable capital assets, net of depreciation
Othernoncurrentassets - Other noncurrent assets
Deferredoutflowsofresources - Deferred outflows of resources
Longtermdebtcurrentportion - Long-term debt, current portion
Othercurrentliabilities - Other current liabilities
Longtermdebt - Long-term debt
Othernoncurrentliabilities - Other non-current liabilities
Deferredinflowsofresources - Deferred inflows of resources
Netassetsinvestedincapitalassetsnetofrelateddebt - Net assets invested in capital assets, net of related debt
Restrictedexpendablenetassets - Restricted expendable net assets
Restrictednonexpendablenetassets - Restricted non-expendable net assets
Unrestrictednetassets - Unrestricted net assets
CapitalAssetsLandlandimprovements - Capital Assets: Land and land improvements
CapitalAssetsInfrastructure - Capital Assets: Infrastructure
CapitalAssetsBuildings - Capital Assets: Buildings
CapitalAssetsEquipmentincludingartlibrary - Capital Assets: Equipment, including art and library collections
CapitalAssetsConstructioninprogress - Capital Assets: Construction in progress
CapitalAssetsAccumulateddepreciation - Capital Assets: Accumulated depreciation
CapitalAssetsIntangibleassetsnetof - Capital Assets: Intangible assets, net of accumulated amortization
CapitalAssetsOthercapitalassets - Capital Assets: Other capital assets
</t>
  </si>
  <si>
    <t xml:space="preserve">Instruction - Instruction
Research - Research
Publicservice - Public service
Academicsupport - Academic support
Studentservices - Student services
Institutionalsupport - Institutional support
Auxiliaryenterprises - Auxiliary enterprises
Scholarshipsfellowships - Scholarships and fellowships
Hospitalservices - Hospital services
Independentoperations - Independent operations
Other - Other
</t>
  </si>
  <si>
    <t xml:space="preserve">Tuitionfeesnetofdiscountsallowances - Tuition and fees (net discounts and allowances)
Federaloperatinggrantscontracts - Federal operating grants and contracts
Stateoperatinggrantscontracts - State operating grants and contracts
Localgovernmentoperatinggrantscontracts - Local government operating grants and contracts
Privateoperatinggrantscontracts - Private operating grants and contracts
Salesservicesofauxiliaryenterprisesnetofdiscounts - Sales and services of auxiliary enterprises (net discounts and allowances)
Salesservicesofhospitalsafterdeducting - Sales and services of hospitals (after deducting patient contractual allowances)
Salesservicesofeducationalactivities - Sales &amp; services of educational activities
Independentoperations - Independent operations
Otheroperatingrevenue - Other operating revenue
Federalappropriations - Federal appropriations
Stateappropriations - State appropriations
Localappropriationseducationdistrict - Local appropriations, education district taxes, and similar support
Federalnonoperatinggrants - Federal nonoperating grants
Statenonoperatinggrants - State nonoperating grants
Localgovernmentnonoperatinggrants - Local government nonoperating grants
Giftsincludingcontributionsfromaffiliated - Gifts, including contributions from affiliated organizations
Investmentincome - Investment income
Othernonoperatingrevenues - Other nonoperating revenues
Capitalappropriations - Capital appropriations
Capitalgrantsgifts - Capital grants and gifts
Additionstopermanentendowments - Additions to permanent endowments
Otherrevenuesadditions - Other revenues and additions
</t>
  </si>
  <si>
    <t xml:space="preserve">Pellgrants - Pell grants
Otherfederalgrants - Other federal grants
Grantsbystategovernment - Grants by state government
Grantsbylocalgovernment - Grants by local government
Institutionalgrantsfromrestrictedresources - Institutional grants from restricted resources
Institutionalgrantsfromunrestrictedresources - Institutional grants from unrestricted resources
Discountsallowancesappliedtotuitionfees - Discounts &amp; allowances applied to tuition &amp; fees
Discountsallowancesappliedtosalesservices - Discounts &amp; allowances applied to sales &amp; services of auxiliary enterprises
</t>
  </si>
  <si>
    <t xml:space="preserve">Auxiliaryenterprises - Auxiliary enterprises
Studentservices - Student services
Doesnotparticipateinintercollegiateathletics - Does not participate in intercollegiate athletics
Other - Other
</t>
  </si>
  <si>
    <t xml:space="preserve">Salarieswages - Salaries and wages
Benefits - Benefits
Operationmaintenanceofplant - Operation and maintenance of plant
Depreciation - Depreciation
Interest - Interest
Other - Other
</t>
  </si>
  <si>
    <t xml:space="preserve">aav - Austro-Asiatic languages
afa - Afro-Asiatic languages
alg - Algonquian languages
alv - Atlantic-Congo languages
apa - Apache languages
aqa - Alacalufan languages
aql - Algic languages
art - Artificial languages
ath - Athapascan languages
auf - Arauan languages
aus - Australian languages
awd - Arawakan languages
azc - Uto-Aztecan languages
bad - Banda languages
bai - Bamileke languages
bat - Baltic languages
ber - Berber languages
bih - Bihari languages
bnt - Bantu languages
btk - Batak languages
cai - Central American Indian languages
cau - Caucasian languages
cba - Chibchan languages
ccn - North Caucasian languages
ccs - South Caucasian languages
cdc - Chadic languages
cdd - Caddoan languages
cel - Celtic languages
cmc - Chamic languages
cpe - Creoles and pidgins, Englishâ€‘based
cpf - Creoles and pidgins, Frenchâ€‘based
cpp - Creoles and pidgins, Portuguese-based
crp - Creoles and pidgins
csu - Central Sudanic languages
cus - Cushitic languages
day - Land Dayak languages
dmn - Mande languages
dra - Dravidian languages
egx - Egyptian languages
esx - Eskimo-Aleut languages
euq - Basque (family)
fiu - Finno-Ugrian languages
fox - Formosan languages
gem - Germanic languages
gme - East Germanic languages
gmq - North Germanic languages
gmw - West Germanic languages
grk - Greek languages
hmx - Hmong-Mien languages
hok - Hokan languages
hyx - Armenian (family)
iir - Indo-Iranian languages
ijo - Ijo languages
inc - Indic languages
ine - Indo-European languages
ira - Iranian languages
iro - Iroquoian languages
itc - Italic languages
jpx - Japanese (family)
kar - Karen languages
kdo - Kordofanian languages
khi - Khoisan languages
kro - Kru languages
map - Austronesian languages
mkh - Mon-Khmer languages
mno - Manobo languages
mun - Munda languages
myn - Mayan languages
nah - Nahuatl languages
nai - North American Indian languages
ngf - Trans-New Guinea languages
nic - Niger-Kordofanian languages
nub - Nubian languages
omq - Oto-Manguean languages
omv - Omotic languages
oto - Otomian languages
paa - Papuan languages
phi - Philippine languages
plf - Central Malayo-Polynesian languages
poz - Malayo-Polynesian languages
pqe - Eastern Malayo-Polynesian languages
pqw - Western Malayo-Polynesian languages
pra - Prakrit languages
qwe - Quechuan (family)
roa - Romance languages
sai - South American Indian languages
sal - Salishan languages
sdv - Eastern Sudanic languages
sem - Semitic languages
sgn - sign languages
sio - Siouan languages
sit - Sino-Tibetan languages
sla - Slavic languages
smi - Sami languages
son - Songhai languages
sqj - Albanian languages
ssa - Nilo-Saharan languages
syd - Samoyedic languages
tai - Tai languages
tbq - Tibeto-Burman languages
trk - Turkic languages
tup - Tupi languages
tut - Altaic languages
tuw - Tungus languages
urj - Uralic languages
wak - Wakashan languages
wen - Sorbian languages
xgn - Mongolian languages
xnd - Na-Dene languages
ypk - Yupik languages
zhx - Chinese (family)
zle - East Slavic languages
zls - South Slavic languages
zlw - West Slavic languages
znd - Zande languages
</t>
  </si>
  <si>
    <t xml:space="preserve">LEAOnly - LEA only
SEAOnly - SEA only
Both - LEA and SEA
Neither - Neither LEA or SEA
</t>
  </si>
  <si>
    <t xml:space="preserve">FullDay - Full-day
Part-day - Part-day
NotProvided - Not provided
</t>
  </si>
  <si>
    <t xml:space="preserve">FullDayKindergarten - Full-Day kindergarten
PartDayKindergarten - Part-Day kindergarten
ExtendedDayKindergarten - Extended day kindergarten
</t>
  </si>
  <si>
    <t>Early Learning -&gt; Early Learning Class/Group
Early Learning -&gt; Early Learning Organization -&gt; Cultural and Linguistic Diversity</t>
  </si>
  <si>
    <t xml:space="preserve">Correspondence - Correspondence   
Dominant - Dominant language
Home - Home language
Native - Native language
OtherLanguageProficiency - Other language proficiency
Other - Other
Spoken - Spoken Correspondence
Written - Written Correspondence
</t>
  </si>
  <si>
    <t>Adult Education -&gt; AE Staff -&gt; Language
Adult Education -&gt; AE Student -&gt; Language
Career and Technical -&gt; CTE Staff -&gt; Language
Career and Technical -&gt; CTE Student -&gt; Language
Early Learning -&gt; Early Learning Child -&gt; Language
Early Learning -&gt; Early Learning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</si>
  <si>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</si>
  <si>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 xml:space="preserve">abandoned - Abandoned
answered - Answered
asked - Asked
attempted - Attempted
attended - Attended
commented - Commented
completed - Completed
exited - Exited
experienced - Experienced
failed - Failed
imported - Imported
initialized - Initialized
interacted - Interacted
launched - Launched
logged-in - Logged-In
logged-out - Logged-Out
mastered - Mastered
passed - Passed
preferred - Preferred
progressed - Progressed
registered - Registered
responded - Responded
resumed - Resumed
satisfied - Satisfied
scored - Scored
shared - Shared
suspended - Suspended
terminated - Terminated
voided - Voided
waived - Waived
</t>
  </si>
  <si>
    <t xml:space="preserve">Week - Week
Day - Day
Hour - Hour
Minute - Minute
Second - Second
</t>
  </si>
  <si>
    <t xml:space="preserve">Assignment - Assignment
LearningResource - Learning Resource
Activity - Activity
Lesson - Lesson
</t>
  </si>
  <si>
    <t xml:space="preserve">AndroidAccessibility - Android Accessibility
ARIA - ARIA
ATK - ATK
AT-SPI - AT-SPI
BlackberryAccessibility - Blackberry Accessibility
iAccessible2 - I Accessible2
iOSAccessibility - iOS Accessibility
JavaAccessibility - Java Accessibility
MacOSXAccessibility - Mac OSX Accessibility
MSAA - MSAA
UIAutomation - UI Automation
</t>
  </si>
  <si>
    <t xml:space="preserve">Flashing - Flashing
MotionSimulation - Motion simulation
Sound - Sound
</t>
  </si>
  <si>
    <t xml:space="preserve">auditory - Auditory
colorDependent - Color Dependent
tactile - Tactile
textOnImage - Text On Image
textual - Textual
visual - Visual
</t>
  </si>
  <si>
    <t xml:space="preserve">FreeAccess - Free Access
FreeAccessWithRegistration - Free Access with Registration
LimitedFreeAccess - Limited Free Access
AvailableForPurchase - Available for Purchase
AvailableBySubscription - Available by Subscription
PublisherDefined - Publisher Defined
</t>
  </si>
  <si>
    <t xml:space="preserve">Organization - Organization
Person - Person
</t>
  </si>
  <si>
    <t xml:space="preserve">Ebook - Ebook
Hardcover - Hardcover
Paperback - Paperback
DAISY202 - DAISY202
DAISY3 - DAISY3
EPUB2 - EPUB2
EPUB3 - EPUB3
Other - Other
</t>
  </si>
  <si>
    <t xml:space="preserve">Assesses - Assesses
Teaches - Teaches
Requires - Requires
TextComplexity - Text Complexity
ReadingLevel - Reading Level
EducationalSubject - Educational Subject
EducationLevel - Education Level
</t>
  </si>
  <si>
    <t xml:space="preserve">fullAudioControl - Full Audio Control
fullKeyboardControl - Full Keyboard Control
fullMouseControl - Full Mouse Control
fullTouchControl - Full Touch Control
fullVideoControl - Full Video Control
</t>
  </si>
  <si>
    <t xml:space="preserve">application - Application
audio - Audio
example - Example
image - Image
message - Message
model - Model
multipart - Multipart
text - Text
video - Video
</t>
  </si>
  <si>
    <t xml:space="preserve">CurriculumInstruction - Curriculum/Instruction
Assessment - Assessment
ProfessionalDevelopment - Professional Development
Other - Other
</t>
  </si>
  <si>
    <t xml:space="preserve">Administrator - Administrator
Mentor - Mentor
Parent - Parent
Peer-Tutor - Peer- Tutor
Specialist - Specialist
Student - Student
Teacher - Teacher
Team - Team
Other - Other
</t>
  </si>
  <si>
    <t xml:space="preserve">Asynchronous - Student-oriented teaching and learning which is not organized around participants interacting at the same time and in the same space.
Synchronous - Group-oriented teaching and learning organized around participants interacting at the same time and in the same space.
</t>
  </si>
  <si>
    <t xml:space="preserve">Active - Active
Expositive - Expositive
Mixed - Mixed
</t>
  </si>
  <si>
    <t xml:space="preserve">alternativeText - Alternative Text
audioDescription - Audio Description
braille - Braille
captions - Captions
ChemML - Chem M L
describedMath - Described Math
displayTransformability - Display Transformability
haptic - Haptic
highContrast - High Contrast
largePrint - Large Print
latex - Latex
longDescription - Long Description
MathML - Math M L
musicBraille - Music Braille
nemethBraille - Nemeth Braille
signLanguage - Sign Language
structuralNavigation - Structural Navigation
tactileGraphics - Tactile Graphics
tactileObject - Tactile Object
transcript - Transcript
</t>
  </si>
  <si>
    <t xml:space="preserve">AudioCD - Audio CD
Audiotape - Audiotape
Calculator - Calculator
CD-I - CD-I
CD-ROM - CD-ROM
Diskette - Diskette
DuplicationMaster - Duplication Master
DVD - DVD/ Blu-ray
E-Mail - E-Mail
ElectronicSlides - Electronic Slides
FieldTrip - Field Trip
Filmstrip - Filmstrip
Flash - Flash
Image - Image
In-Person - In-Person/Speaker
InteractiveWhiteboard - Interactive Whiteboard
Manipulative - Manipulative
MBL - MBL (Microcomputer Based)
Microfiche - Microfiche
Overhead - Overhead
Pamphlet - Pamphlet
PDF - PDF
Person-to-Person - Person-to-Person
PhonographRecord - Phonograph Record
Photo - Photo
Podcast - Podcast
Printed - Printed
Radio - Radio
Robotics - Robotics
Satellite - Satellite
Slides - Slides
Television - Television
Transparency - Transparency
VideoConference - Video Conference
Videodisc - Videodisc
</t>
  </si>
  <si>
    <t xml:space="preserve">AlternateAssessment - Alternate Assessment
AssessmentItem - Assessment Item
Course - Course
DemonstrationSimulation - Demonstration/Simulation
EducatorCurriculumGuide - Educator/Curriculum Guide
FormativeAssessment - Formative assessment
ImagesVisuals - Images/Visuals
InterimSummativeAssessment - Interim/Summative Assessment
LearningActivity - Learning Activity
Lesson - Lesson
PrimarySource - Primary Source
RubricScoringGuide - Rubric/Scoring Guide
SelfAssessment - Self Assessment
Text - Text
Textbook - Textbook
Unit - Unit
Other - Other
</t>
  </si>
  <si>
    <t xml:space="preserve">FourYear - Four or more years
TwoToFour - At least 2 but less than 4 years
LessThanTwo - Less than 2 years (below associate)
</t>
  </si>
  <si>
    <t xml:space="preserve">Major - Major
Minor - Minor
AreaOfEmphasis - Area of emphasis or concentration
PostDegreeStudy - Post-degree study
AreaOfInterest - Area of Interest
</t>
  </si>
  <si>
    <t xml:space="preserve">Yes - Currently meets standard for limited English proficiency
No - Currently does not meet standard for limited English proficiency
Ever - Ever met standard for limited English proficiency
</t>
  </si>
  <si>
    <t xml:space="preserve">TABE - TABE
CASAS - CASAS
BEST - BEST
BESTPlus - BESTPlus
BESTLiteracy - BEST Literacy
PPVT-III - PPVT-III
PPVT-IV - PPVT-IV
TVIP - TVIP
PALSPreKUpperCase - PALS PreK Upper Case
PEPScaleI - PEP Scale I
PEPScaleII - PEP Scale II
PEPScaleIII - PEP Scale III
PEPScaleIV - PEP Scale IV
Other - Other
</t>
  </si>
  <si>
    <t xml:space="preserve">FromEligibleProgram - From Eligible Program
ToEligibleProgram - To Eligible Program
</t>
  </si>
  <si>
    <t xml:space="preserve">CorrectiveAction - Corrective action
Year1 - Improvement status Year 1
Year2 - Improvement status Year 2
NotIdentified - Not identified for improvement
</t>
  </si>
  <si>
    <t xml:space="preserve">All - All students participate
None - No students participate
Some - Some, but not all, students participate
</t>
  </si>
  <si>
    <t xml:space="preserve">Divorced - Divorced
Married - Married
NeverMarried - Never Married
Separated - Separated
Widowed - Widowed
</t>
  </si>
  <si>
    <t>Early Learning -&gt; Early Learning Family -&gt; Family/Household Information
Postsecondary -&gt; PS Student -&gt; Demographic</t>
  </si>
  <si>
    <t xml:space="preserve">01 - Less than high school
02 - High school diploma or equivalent
03 - Some college but no formal award
04 - Certificate, less than an Associate's degree
05 - Associate's degree
06 - Baccalaureate degree
07 - Master's degree
08 - Doctoral/Professional degree
09 - Unknown
</t>
  </si>
  <si>
    <t xml:space="preserve">Chronic - Chronic
Acute - Acute
None - None
</t>
  </si>
  <si>
    <t xml:space="preserve">Individual - Individual
Group - Group
</t>
  </si>
  <si>
    <t>Adult Education -&gt; AE Staff -&gt; Identity -&gt; Name
Adult Education -&gt; AE Student -&gt; Identity -&gt; Name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</si>
  <si>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 xml:space="preserve">01 - Basic School Program
02 - Regular Term MEP-Funded Project
03 - Summer/Intersession MEP-Funded Project
04 - Year Round MEP-Funded Project
05 - Basic School Program and Regular-Term MEP-Funded Project
06 - Residency Only (none of the above)
</t>
  </si>
  <si>
    <t xml:space="preserve">SchoolBased - School-based MEP Project
NonSchoolBased - Non-school-based MEP project
</t>
  </si>
  <si>
    <t xml:space="preserve">SchoolDay - Regular school year - school day only
ExtendedDay - Regular school year - school day/extended day
SummerIntersession - Summer/intersession only
YearRound - Year round
</t>
  </si>
  <si>
    <t xml:space="preserve">CounselingServices - Counseling Services
HighSchoolAccrual - High School Accrual
InstructionalServices - Instructional Services
MathematicsInstruction - Mathematics Instruction
ReadingInstruction - Reading Instruction
ReferralServices - Referral Services
SupportServices - Support Services
</t>
  </si>
  <si>
    <t xml:space="preserve">RegularSchoolYear - Regular School Year
SummerTerm - Summer Term or Intersession
</t>
  </si>
  <si>
    <t xml:space="preserve">Teachers - Teachers
Paraprofessionals - Paraprofessionals
Counselors - Counselors
Administrators - Administrators
Recruiters - Recruiters
RecordsTransferStaff - Records Transfer Staff
</t>
  </si>
  <si>
    <t>Early Learning -&gt; Early Learning Child -&gt; Demographic
K12 -&gt; K12 Student -&gt; Migrant
Postsecondary -&gt; PS Student -&gt; Migrant</t>
  </si>
  <si>
    <t xml:space="preserve">NotActive - Not Active
Active - Active
Unknown - Unknown
</t>
  </si>
  <si>
    <t xml:space="preserve">Army - Army
MarineCorps - Marine Corps
Navy - Navy
AirForce - Air Force
SpaceForce - Space Force
CoastGuard - Coast Guard
</t>
  </si>
  <si>
    <t>Adult Education -&gt; AE Staff -&gt; Demographic
Adult Education -&gt; AE Student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</si>
  <si>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 xml:space="preserve">NotVeteran - Not a Veteran
Veteran - Veteran
Unknown - Unknown
</t>
  </si>
  <si>
    <t xml:space="preserve">DevelopingInterpretation - Developing Interpretation
MakingReaderTextConnections - Making reader/text connections
ExaminingContentAndStructure - Examining content and structure
</t>
  </si>
  <si>
    <t xml:space="preserve">LowComplexity - Low complexity
ModerateComplexity - Moderate complexity
HighComplexity - High complexity
</t>
  </si>
  <si>
    <t xml:space="preserve">NeglectedPrograms - Neglected programs
JuvenileDetention - Juvenile Detention
JuvenileCorrection - Juvenile Correction
AdultCorrection - Adult Correction
AtRiskPrograms - At-risk programs
OtherPrograms - Other Programs
</t>
  </si>
  <si>
    <t xml:space="preserve">FailedTestingRequirements - Failed to meet testing requirements
Illness - Illness
Immaturity - Immaturity
InadequatePerformance - Inadequate performance
InsufficientCredits - Insufficient credits
Other - Other
ProlongedAbsence - Prolonged absence
</t>
  </si>
  <si>
    <t xml:space="preserve">Hours - Hours
Weeks - Weeks
Quarters - Quarters
Semesters - Semesters
Years - Years
</t>
  </si>
  <si>
    <t>Credentials -&gt; Credential Award
K12 -&gt; Course Section -&gt; Enrollment
K12 -&gt; K12 Student -&gt; Academic Record
Postsecondary -&gt; Course Section -&gt; Enrollment
Postsecondary -&gt; PS Student -&gt; Academic Record</t>
  </si>
  <si>
    <t>Adult Education -&gt; AE Student -&gt; Academic Record
Adult Education -&gt; Course Section -&gt; Enrollment
Career and Technical -&gt; Course Section -&gt; Enrollment
Career and Technical -&gt; CTE Student -&gt; Academic Record
Credentials -&gt; Credential Award
Early Learning -&gt; Early Learning Staff -&gt; Professional Development
K12 -&gt; Course Section -&gt; Enrollment
K12 -&gt; K12 Student -&gt; Academic Record
Postsecondary -&gt; Course Section -&gt; Enrollment
Postsecondary -&gt; PS Staff -&gt; Professional Development
Postsecondary -&gt; PS Student -&gt; Academic Record
Workforce -&gt; Workforce Program Participant -&gt; Academic Record</t>
  </si>
  <si>
    <t>K12 -&gt; Course Section -&gt; Enrollment
K12 -&gt; K12 Student -&gt; Attendance</t>
  </si>
  <si>
    <t xml:space="preserve">All - All
Children - Children
PersonOtherThanChildrenOrSpouse - Person other than children or spouse
Spouse - Spouse
</t>
  </si>
  <si>
    <t>Early Learning -&gt; Early Learning Family -&gt; Family/Household Information
Postsecondary -&gt; PS Student -&gt; Family/Household Information</t>
  </si>
  <si>
    <t>Adult Education -&gt; AE Staff -&gt; Education
Early Learning -&gt; Early Learning Staff -&gt; Education
K12 -&gt; K12 Staff -&gt; Education
Postsecondary -&gt; PS Student -&gt; Teacher Education/Preparation</t>
  </si>
  <si>
    <t>Early Learning -&gt; Early Learning Organization
K12 -&gt; K12 School
K12 -&gt; LEA
K12 -&gt; Organization
K12 -&gt; SEA
Postsecondary -&gt; Organization
Postsecondary -&gt; PS Institution</t>
  </si>
  <si>
    <t xml:space="preserve">Announced - Announced
Unannounced - Unannounced
</t>
  </si>
  <si>
    <t>Early Learning -&gt; Early Learning Organization
Facilities -&gt; Facility
K12 -&gt; K12 School
K12 -&gt; LEA
K12 -&gt; Organization
K12 -&gt; SEA
Postsecondary -&gt; Organization
Postsecondary -&gt; PS Institution</t>
  </si>
  <si>
    <t>Early Learning -&gt; Early Learning Organization -&gt; Accreditation
Postsecondary -&gt; Organization -&gt; Organization Accreditation</t>
  </si>
  <si>
    <t>Adult Education -&gt; AE Staff -&gt; Identity -&gt; Other Name
Adult Education -&gt; AE Student -&gt; Identity -&gt; Other Name
Career and Technical -&gt; CTE Staff -&gt; Identity -&gt; Other Name
Career and Technical -&gt; CTE Student -&gt; Identity -&gt; Other Name
Early Learning -&gt; Early Learning Child -&gt; Identity -&gt; Other Name
Early Learning -&gt; Early Learning Organization -&gt; Contact -&gt; Other Name
Early Learning -&gt; Early Learning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</si>
  <si>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 xml:space="preserve">Alias - Alias
Nickname - Nickname
OtherName - Other name
PreviousLegalName - Previous legal name
PreferredFamilyName - Preferred Family Name
PreferredGivenName - Preferred Given Name
FullName - Full Name
</t>
  </si>
  <si>
    <t>Adult Education -&gt; AE Staff -&gt; Identity -&gt; Other Name
Adult Education -&gt; AE Student -&gt; Identity -&gt; Other Name
Career and Technical -&gt; CTE Staff -&gt; Identity -&gt; Other Name
Career and Technical -&gt; CTE Student -&gt; Identity -&gt; Other Name
Early Learning -&gt; Early Learning Child -&gt; Identity -&gt; Other Name
Early Learning -&gt; Early Learning Organization -&gt; Contact -&gt; Other Name
Early Learning -&gt; Early Learning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</si>
  <si>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 xml:space="preserve">Qualified - Qualified
NotQualified - Not Qualified
</t>
  </si>
  <si>
    <t xml:space="preserve">InPerson - In-person
Phone - Phone
Website - Website
Email - Email
Newsletter - Newsletter
BulletinBoard - Bulletin board
HomeVisit - Home visit
Fax - Fax
Other - Other
</t>
  </si>
  <si>
    <t xml:space="preserve">FreeBreakfast - Free breakfast
FreeLunch - Free lunch
FreeMilk - Free milk
FreeSnack - Free snack
FreeSupper - Free supper
FullPriceBreakfast - Full price breakfast
FullPriceLunch - Full price lunch
FullPriceMilk - Full price milk
FullPriceSnack - Full price snack
FullPriceSupper - Full price supper
ReducedPriceBreakfast - Reduced price breakfast
ReducedPriceLunch - Reduced price lunch
ReducedPriceSnack - Reduced price snack
ReducedPriceSupper - Reduced price supper
Other - Other
</t>
  </si>
  <si>
    <t>Early Learning -&gt; Early Learning Child -&gt; Enrollment
K12 -&gt; K12 Student -&gt; Economically Disadvantaged</t>
  </si>
  <si>
    <t xml:space="preserve">Met - Met 95%
DidNotMeet - Did not Meet 95%
TooFewStudents - Too Few Students for Reliability
NoStudents - No Students in the subgroup
NA - Not applicable
</t>
  </si>
  <si>
    <t xml:space="preserve">Aunt - Aunt
Brother - Brother
BrotherInLaw - Brother-in-law
CourtAppointedGuardian - Court appointed guardian
Daughter - Daughter
DaughterInLaw - Daughter-in-law
Employer - Employer
Father - Father
FathersSignificantOther - Father's significant other
FathersCivilPartner - Father's civil partner
FatherInLaw - Father-in-law
Fiance - Fiance
Fiancee - Fiancee
Friend - Friend
Grandfather - Grandfather
Grandmother - Grandmother
Husband - Husband
MothersSignificantOther - Mother's significant other
Mother - Mother
MothersCivilPartner - Mother's civil partner
Nephew - Nephew
Niece - Niece
Other - Other
SignificantOther - Significant other
Sister - Sister
Son - Son
Unknown - Unknown
Uncle - Uncle
Ward - Ward
Wife - Wife
AdoptedDaughter - Adopted Daughter
AdoptedSon - Adopted son
AdoptiveParent - Adoptive parent
Advisor - Advisor
AgencyRepresentative - Agency representative
Cousin - Cousin
Dependent - Dependent
FamilyMember - Family member
FormerHusband - Former husband
FormerWife - Former wife
FosterDaughter - Foster daughter
FosterFather - Foster father
FosterMother - Foster mother
FosterParent - Foster Parent
FosterSon - Foster son
Godparent - Godparent
Granddaughter - Granddaughter
Grandparent - Grandparent
Grandson - Grandson
GreatAunt - Great aunt
GreatGrandparent - Great grandparent
GreatUncle - Great uncle
HalfBrother - Half-brother
HalfSister - Half-sister
LifePartner - Life partner
LifePartnerOfParent - Life partner of parent
MotherInLaw - Mother-in-law
Neighbor - Neighbor
Parent - Parent
Partner - Partner
PartnerOfParent - Partner of parent
ProbationOfficer - Probation officer
Relative - Relative
Sibling - Sibling
SisterInLaw - Sister-in-law
SonInLaw - Son-in-law
Spouse - Spouse
Stepbrother - Stepbrother
Stepdaughter - Stepdaughter
Stepfather - Stepfather
Stepmother - Stepmother
Stepparent - Stepparent
Stepsister - Stepsister
Stepson - Stepson
</t>
  </si>
  <si>
    <t>Adult Education -&gt; AE Staff -&gt; Relationship
Adult Education -&gt; AE Student -&gt; Relationship
Career and Technical -&gt; CTE Staff -&gt; Relationship
Career and Technical -&gt; CTE Student -&gt; Relationship
Early Learning -&gt; Early Learning Child -&gt; Relationship
Early Learning -&gt; Early Learning Staff -&gt; Relationship
Early Learning -&gt; Parent/Guardian -&gt; Relationship
K12 -&gt; K12 Staff -&gt; Relationship
K12 -&gt; K12 Student -&gt; Relationship
K12 -&gt; Parent/Guardian -&gt; Relationship
Postsecondary -&gt; Parent/Guardian -&gt; Relationship
Postsecondary -&gt; PS Student -&gt; Relationship
Workforce -&gt; Workforce Program Participant -&gt; Relationship</t>
  </si>
  <si>
    <t>Adult Education -&gt; AE Staff -&gt; Identity -&gt; Name
Adult Education -&gt; AE Student -&gt; Identity -&gt; Name
Career and Technical -&gt; CTE Staff -&gt; Identity -&gt; Name
Career and Technical -&gt; CTE Student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</si>
  <si>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 xml:space="preserve">01 - Staff feedback
02 - Staff meetings
03 - Annual performance evaluation
04 - Personal  development plans
05 - New staff orientation
</t>
  </si>
  <si>
    <t xml:space="preserve">B17 - Did not complete secondary school
B18 - Standard High School Diploma which may or may not include an exit test
B19 - Advanced or honors diploma
B20 - Vocational diploma
B21 - Special Education Diploma normally for students with a disability
B22 - Certificate of completion or attendance
B23 - Special certificate of completion or attendance
B24 - General Education Development Test Diploma (GED)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IPEDS1 - Postsecondary award, certificate, or diploma of less than one academic year (less than 900 contact or clock hours)
IPEDS2 - Postsecondary award, certificate, or diploma of at least one but less than two academic years (at least 900 but less than 1800 contact or clock hours)
IPEDS3 - Associate's Degree
IPEDS4 - Postsecondary award, certificate, or diploma of at least two but less than four academic years (at least 1800 contact or clock hours)
IPEDS5 - Bachelor's Degree or equivalent
IPEDS6 - Postbaccalaureate Certificate
IPEDS7 - Master's Degree
IPEDS8 - Post Masters Certificate
IPEDS9 - Doctor's Degree
IPEDS10 - First-Professional Degree
IPEDS11 - First-Professional Certificate (Post-Degree)
IPEDS17 - Doctor's degree - research/scholarship
IPEDS18 - Doctor's degree - professional practice
IPEDS19 - Doctor's degree - other Award Levels
CEGEP - CEGEP (an award made by Canadian secondary schools that is typically equivalent to a high school diploma plus one year of college level courses)
FrenchBaccalaureate - French Baccalaureate (award made to high school students that allows French and international students to obtain a standardized qualification)
4.0 - Graduate non-degree - value to represent an award from graduate coursework that is not a certificate or degree
3.3 - Graduate Professional - value to represent an award from graduate coursework in a professional program
0.0 - Other - value to represent an award that does not otherwise fit existing enumerations
1.5 - Statement of achievement
1.4 - Statement of completion
1.3 - Statement of participation
2.8 - Undergraduate non-degree - value to represent an award from undergraduate coursework that is not a certificate or degree
</t>
  </si>
  <si>
    <t xml:space="preserve">01 - Full-time
02 - Less than full-time but at least half-time
03 - Less than half-time
04 - Less than full-time but at least three quarter-time
05 - Less than three quarter-time but at least half-time
</t>
  </si>
  <si>
    <t xml:space="preserve">FirstTime - First time at institution, non-transfer in
Continuing - Continuing
Re-admit - Re-admit
TransferIn - Transfer in
</t>
  </si>
  <si>
    <t xml:space="preserve">Withdrawn - Withdrawn
Graduated - Graduated
ApprovedLeaveOfAbsence - Approved Leave of Absence
Deceased - Deceased
Unknown - Unknown
</t>
  </si>
  <si>
    <t xml:space="preserve">Major - Major
Minor - Minor
Certificate - Certificate
Other - Other
</t>
  </si>
  <si>
    <t xml:space="preserve">PreAndPostTest - The student took both a pre-test and post-test
DidNotTakeBoth - The student did not take both a pre-test and a post-test
</t>
  </si>
  <si>
    <t xml:space="preserve">All - All students
IDEA - Students with disabilities (IDEA)
TitleI - Students in Title I schools
LowIncome - Students from low income families
Other - Other
</t>
  </si>
  <si>
    <t xml:space="preserve">Age0-2 - Students aged 0-2
Age3 - Students aged 3
Age4 - Students aged 4
NoPreK - No pre-kindergarten or only for IDEA students
</t>
  </si>
  <si>
    <t xml:space="preserve">13290 - Present - Disciplinary action, receiving instruction
13288 - Present - In school, regular instructional program
13289 - Present - Nontraditional school setting, regular instructional program
13291 - Present - Out of school, regular instructional program activity
13292 - Present - Out of school, school-approved extracurricular or cocurricular activity
</t>
  </si>
  <si>
    <t>Early Learning -&gt; Early Learning Organization -&gt; Contact
Early Learning -&gt; Parent/Guardian -&gt; Relationship
K12 -&gt; Organization -&gt; Contact
K12 -&gt; Parent/Guardian -&gt; Relationship
K12 -&gt; SEA -&gt; Contact
Postsecondary -&gt; Organization -&gt; Contact</t>
  </si>
  <si>
    <t xml:space="preserve">AUT - Autism
DB - Deaf-blindness
DD - Developmental delay
EMN - Emotional disturbance
HI - Hearing impairment
ID - Intellectual Disability
MD - Multiple disabilities
OI - Orthopedic impairment
OHI - Other health impairment
SLD - Specific learning disability
SLI - Speech or language impairment
TBI - Traumatic brain injury
VI - Visual impairment
</t>
  </si>
  <si>
    <t>Career and Technical -&gt; CTE Student -&gt; Disability
Early Learning -&gt; Early Learning Child -&gt; Disability
K12 -&gt; K12 Student -&gt; Disability
K12 -&gt; K12 Student -&gt; Individualized Program -&gt; Eligibility -&gt; Determination
Postsecondary -&gt; PS Student -&gt; Disability</t>
  </si>
  <si>
    <t xml:space="preserve">NotShared - Not Shared
Shared - Shared
Unknown - Unknown
</t>
  </si>
  <si>
    <t xml:space="preserve">Chromebook - Chromebook
DesktopComputer - Desktop Computer
LaptopComputer - Laptop Computer
None - None
Smartphone - Smartphone
Tablet - Tablet
Other - Other
</t>
  </si>
  <si>
    <t xml:space="preserve">Personal - Personal
School - School
Other - Other
</t>
  </si>
  <si>
    <t>Adult Education -&gt; AE Staff -&gt; Contact -&gt; Telephone
Adult Education -&gt; AE Student -&gt; Contact -&gt; Telephone
Career and Technical -&gt; CTE Staff -&gt; Contact -&gt; Telephone
Career and Technical -&gt; CTE Student -&gt; Contact -&gt; Telephone
Early Learning -&gt; Early Learning Child -&gt; Contact -&gt; Telephone
Early Learning -&gt; Early Learning Organization -&gt; Contact -&gt; Telephone
Early Learning -&gt; Early Learning Organization -&gt; Telephone
Early Learning -&gt; Early Learning Staff -&gt; Contact -&gt; Telephone
Early Learning -&gt; Early Learning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</si>
  <si>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Early Learning -&gt; Early Learning Staff -&gt; Professional Development
Postsecondary -&gt; PS Staff -&gt; Status</t>
  </si>
  <si>
    <t>Credentials -&gt; Credential Award
Early Learning -&gt; Early Learning Staff -&gt; Credential or License</t>
  </si>
  <si>
    <t>Early Learning -&gt; Early Learning Staff -&gt; Professional Development Activity
K12 -&gt; K12 Staff -&gt; Professional Development Activity</t>
  </si>
  <si>
    <t xml:space="preserve">QRIS - Quality Rating and Improvement System
Licensing - Licensing
StateStandard - State standard
Other - Other
</t>
  </si>
  <si>
    <t>Early Learning -&gt; Early Learning Staff -&gt; Professional Development Activity
K12 -&gt; K12 Staff -&gt; Professional Development Activity
Postsecondary -&gt; PS Staff -&gt; Professional Development Activity
Postsecondary -&gt; PS Staff -&gt; Status</t>
  </si>
  <si>
    <t xml:space="preserve">Hours - Hours
CEUs - Continuing Education Units
QuarterCredits - Quarter credits
SemesterCredits - Semester credits
</t>
  </si>
  <si>
    <t>Early Learning -&gt; Early Learning Staff -&gt; Professional Development Activity
K12 -&gt; K12 Staff -&gt; Professional Development Activity
Postsecondary -&gt; PS Staff -&gt; Professional Development Activity</t>
  </si>
  <si>
    <t xml:space="preserve">IN - Infant
TO - 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AS - Associate's degree
BA - Bachelor's degree
PB - Post-baccalaureate certificate
MD - Master's degree
PM - Post-master's certificate
DO - Doctoral degree
PD - Post-doctoral certificate
AE - Adult education
OT - Other
</t>
  </si>
  <si>
    <t xml:space="preserve">Beginner - Beginner
Intermediate - Intermediate
Advanced - Advanced
</t>
  </si>
  <si>
    <t>Early Learning -&gt; Early Learning Staff -&gt; Professional Development Activity
Postsecondary -&gt; PS Staff -&gt; Professional Development Activity</t>
  </si>
  <si>
    <t xml:space="preserve">AdministrativeSupportStaff - Administrative Support Staff
Administrators - Administrators
AllOtherSupportStaff - All Other Support Staff 
BehavioralSpecialists - Behavioral Specialists
ELAssistantTeachers - Early Leaning Assistant Teachers
ELTeachers - Early Learning Teachers
ElementaryTeachers - Elementary Teachers
FamilyServiceWorkers - Family Service Workers
HealthSpecialists - Health Specialists
HomeVisitors - Home Visitors
InstructionalCoordinators - Instructional Coordinators
KindergartenTeachers - Kindergarten Teachers
LibraryMediaSpecialists - Librarians/Media Specialists
LibraryMediaSupportStaff - Library/Media Support Staff
MentalHealthSpecialists - Mental Health Specialists
NutritionSpecialists - Nutrition Specialists
Paraprofessionals - Paraprofessionals
PartCEarlyInterventionists - Part C Early Interventionists
PartCServiceCoordinators - Part C Service Coordinators
SchoolCounselors - School Counselors
SecondaryTeachers - Secondary Teachers
SocialWorkers - Social Workers
SpecialEducationTeachers - Special Education Teachers
SpecialNeedsSpecialists - Special Needs Specialists
StudentSupportServicesStaff - Student Support Services Staff
UngradedTeachers - Ungraded Teachers
Other - Other
</t>
  </si>
  <si>
    <t xml:space="preserve">CollegeCourse - College Course
Coaching - Coaching
Mentoring - Mentoring
Consultation - Consultation
P2P - Person-to-Person
TechnicalAssistance - Technical Assistance
Advisement - Advisement
OneTimeWorkshopTraining - One-time Workshop Training
SeriesOfWorkshopsTraining - Series of Workshops Training
Other - Other
</t>
  </si>
  <si>
    <t>Early Learning -&gt; Early Learning Staff -&gt; Professional Development
Postsecondary -&gt; PS Staff -&gt; Professional Development Activity</t>
  </si>
  <si>
    <t>Early Learning -&gt; Early Learning Staff -&gt; Professional Development Activity -&gt; Session
K12 -&gt; K12 Staff -&gt; Professional Development Activity -&gt; Session
Postsecondary -&gt; PS Staff -&gt; Professional Development Activity
Postsecondary -&gt; PS Staff -&gt; Professional Development Activity -&gt; Session</t>
  </si>
  <si>
    <t xml:space="preserve">01 - One time non-credit
02 - One time credit paid
03 - On-going non-credit paid
04 - On-going credit paid
05 - Salary bonus
06 - Wage enhancement
07 - Tuition reimbursement
08 - Travel child care
09 - Release time
10 - Scholarship
11 - Loan
</t>
  </si>
  <si>
    <t>Early Learning -&gt; Early Learning Staff -&gt; Professional Development
Postsecondary -&gt; PS Staff -&gt; Professional Development
Postsecondary -&gt; PS Staff -&gt; Professional Development Activity
Postsecondary -&gt; PS Staff -&gt; Professional Development Activity -&gt; Session</t>
  </si>
  <si>
    <t>Early Learning -&gt; Early Learning Staff -&gt; Professional Development Activity -&gt; Session
K12 -&gt; K12 Staff -&gt; Professional Development Activity -&gt; Session</t>
  </si>
  <si>
    <t xml:space="preserve">Broadcast - Broadcast
Correspondence - Correspondence
EarlyCollege - Early College
AudioVideo - Interactive Audio/Video
Conference - Conference
Online - Online
IndependentStudy - Independent Study
FaceToFace - Face To Face
BlendedLearning - Blended Learning
Other - Other
</t>
  </si>
  <si>
    <t>Early Learning -&gt; Early Learning Staff -&gt; Professional Development Activity -&gt; Session
K12 -&gt; K12 Staff -&gt; Professional Development Activity -&gt; Session
Postsecondary -&gt; PS Staff -&gt; Professional Development
Postsecondary -&gt; PS Staff -&gt; Professional Development Activity
Postsecondary -&gt; PS Staff -&gt; Professional Development Activity -&gt; Session</t>
  </si>
  <si>
    <t>Early Learning -&gt; Early Learning Staff -&gt; Professional Development Activity -&gt; Session - Location
K12 -&gt; K12 Staff -&gt; Professional Development Activity -&gt; Session - Location</t>
  </si>
  <si>
    <t xml:space="preserve">Registering - Registering
Completed - Completed
Cancelled - Cancelled
</t>
  </si>
  <si>
    <t xml:space="preserve">OccupationalLicense - Occupational License
IndustryCertification - Industry-recognized Certification
ApprenticeshipCertificate - Apprenticeship Certificate
EmployerCertification - Employer certification
PreEmploymentTraining - Pre-employment training certificate
OtherOccupational - Other recognized occupational skills credential
</t>
  </si>
  <si>
    <t xml:space="preserve">Proficient - Proficient
NotProficient - Not proficient
</t>
  </si>
  <si>
    <t xml:space="preserve">Met - Met: Regular Determination
MetGrowthModel - Met: Growth Model 
MetBecauseSafeHarbor - Met Because of Safe Harbor
DidNotMeetTarget - Did Not Meet Target
TooFewStudents - Too Few Students for Reliability
NoStudents - No Students in the Sub-group
NA - Not applicable
</t>
  </si>
  <si>
    <t>Adult Education -&gt; AE Student -&gt; Program Participation
Career and Technical -&gt; CTE Student -&gt; Program Participation
Early Learning -&gt; Early Learning Child -&gt; Program
K12 -&gt; K12 Student -&gt; Program
Postsecondary -&gt; PS Student -&gt; Program Participation</t>
  </si>
  <si>
    <t xml:space="preserve">13452 - General Intellectual Aptitude only
13453 - Specific Academic Aptitude only
13454 - Visual/Performing Arts only
13456 - General Intellectual Aptitude &amp; Specific Academic Aptitude
13457 - General Intellectual Aptitude &amp; Visual/Performing Arts
13458 - General Intellectual Aptitude &amp; Technical/Practical Arts
13459 - Specific Academic Aptitude &amp; Visual/Performing Arts
13460 - Specific Academic Aptitude &amp; Technical/Practical Arts
13461 - Visual/Performing Arts &amp; Technical/Practical Arts
13462 - General Intellectual Aptitude, Specific Academic Aptitude, and Visual Performing Arts
13463 - General Intellectual Aptitude, Specific Academic Aptitude, &amp; Technical/Practical Arts
13464 - Specific Academic Aptitude, Visual/Performing Arts, &amp; Technical/Practical Arts
13465 - General Intellectual &amp; Specific Academic Aptitude, Visual/Performing Arts &amp; Technical/Practical Arts
06002 - Not specified
09999 - Other
</t>
  </si>
  <si>
    <t>Career and Technical -&gt; CTE Student -&gt; Program Participation
Early Learning -&gt; Early Learning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</si>
  <si>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 xml:space="preserve">Referred - Referred to program
Eligible - Eligible for program
NotEligible - Not eligible for program
Active - Active in program
Exited - Exited program
Withdrew - Withdrew/refused program
Other - Other
</t>
  </si>
  <si>
    <t>Early Learning -&gt; Early Learning Child -&gt; Program
K12 -&gt; K12 Student -&gt; Program
Postsecondary -&gt; PS Student -&gt; Institution Enrollment -&gt; Program</t>
  </si>
  <si>
    <t>Early Learning -&gt; Early Learning Organization -&gt; Parental/Family Involvement
Postsecondary -&gt; PS Institution -&gt; Program -&gt; Parental/Family Involvement</t>
  </si>
  <si>
    <t xml:space="preserve">NOSTUDENTS - No students in the subgroup
STTDEF - State defined status
TOOFEW - Too few students
</t>
  </si>
  <si>
    <t xml:space="preserve">NEGGRADE - Negative grade level change
NOCHANGE - No change
UPHALFGRADE - Improvement of up to one half grade level
UPONEGRADE - Improvement from one half grade level up to one full grade level
UPGTONE - Improvement of more than one full grade level
</t>
  </si>
  <si>
    <t xml:space="preserve">AcceleratedPromotion - Accelerated promotion
ContinuousPromotion - Continuous promotion
Other - Other
ProbationaryPromotion - Probationary promotion
RegularPromotion - Regular promotion
VariableProgress - Variable progress
</t>
  </si>
  <si>
    <t xml:space="preserve">BankStatement - Bank statement
UtilityBill - Utility bill
Lease - Lease
Other - Other
</t>
  </si>
  <si>
    <t>Adult Education -&gt; AE Staff -&gt; Status
Adult Education -&gt; AE Student -&gt; Status
Career and Technical -&gt; CTE Staff -&gt; Status
Career and Technical -&gt; CTE Student -&gt; Status
Early Learning -&gt; Early Learning Child -&gt; Status
Early Learning -&gt; Early Learning Staff -&gt; Status
Early Learning -&gt; Parent/Guardian -&gt; Status
K12 -&gt; K12 Staff -&gt; Status
K12 -&gt; K12 Student -&gt; Status
K12 -&gt; Parent/Guardian -&gt; Status
Postsecondary -&gt; Parent/Guardian -&gt; Status
Postsecondary -&gt; PS Student -&gt; Status
Workforce -&gt; Workforce Program Participant -&gt; Status</t>
  </si>
  <si>
    <t xml:space="preserve">ImplementedAllGrades - Implemented at all grade levels
ImplementedSomeGrades - Implemented at some but not all grade levels
UnableToImplement - Unable to implement at any grades levels
NotRequiredToImplement - Not required to implement public school choice
</t>
  </si>
  <si>
    <t xml:space="preserve">LicensingVisits - Licensing Visits
HeathSafety - Health and Safety
Renewal - Renewal
Review - Review
Other - Other
</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</si>
  <si>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AA - Armed Forces America
AE - Armed Forces Africa, Canada, Europe, and Mideast
AP - Armed Forces Pacific
</t>
  </si>
  <si>
    <t xml:space="preserve">Yes - Yes
No - No
NotEligible - Not Eligible
NoOperatingQRIS - No Operating QRIS
InformationUnavailable - Information Unavailable
</t>
  </si>
  <si>
    <t xml:space="preserve">AmericanIndianOrAlaskaNative - American Indian or Alaska Native
Asian - Asian
BlackOrAfricanAmerican - Black or African American
DemographicRaceTwoOrMoreRaces - Demographic Race Two or More Races
NativeHawaiianOrOtherPacificIslander - Native Hawaiian or Other Pacific Islander
RaceAndEthnicityUnknown - Race and Ethnicity Unknown
White - White
</t>
  </si>
  <si>
    <t>Early Learning -&gt; Early Learning Child -&gt; Services
K12 -&gt; K12 Student -&gt; Individualized Program -&gt; Services</t>
  </si>
  <si>
    <t xml:space="preserve">Family - Family
Program - Program
BeyondProgramControl - Other beyond the control of the program
Promotion - Promotion or advancement
</t>
  </si>
  <si>
    <t xml:space="preserve">03451 - Absent
03455 - Disruptive behavior
03454 - Medical waiver
03456 - Previously passed the examination
03452 - Refusal by parent
03453 - Refusal by student
09999 - Other
</t>
  </si>
  <si>
    <t xml:space="preserve">00737 - Athletic awards
00738 - Awarding of units of value
00740 - Citizenship award/recognition
00741 - Completion of requirement, but no units of value awarded
00742 - Certificate
00743 - Honor award
02048 - Letter of commendation
00745 - Medals
00746 - Monogram/letter
00747 - Points
00748 - Promotion or advancement
09999 - Other
</t>
  </si>
  <si>
    <t xml:space="preserve">Yes - Reconstituted school
No - Not a reconstituted school
</t>
  </si>
  <si>
    <t>Implementation Variables -&gt; Report
Postsecondary -&gt; PS Student -&gt; Contact -&gt; Address</t>
  </si>
  <si>
    <t>Early Learning -&gt; Early Learning Child -&gt; Referral
K12 -&gt; K12 Student -&gt; Individualized Program -&gt; Eligibility -&gt; Referral
K12 -&gt; K12 Student -&gt; Referral</t>
  </si>
  <si>
    <t xml:space="preserve">WaitingList - Waiting list
ParentDeclined - Parent declined service
Enrolled - Enrolled
Unreachable - Unable to contact parent/family/guardian
NotEligible - Not eligible
Other - Other
</t>
  </si>
  <si>
    <t xml:space="preserve">FeeForService - Fee for Service
CapitatedRate - Capitated Rate
GrantContract - Grant/contract
Subsidy - Subsidy
Other - Other
</t>
  </si>
  <si>
    <t>Early Learning -&gt; Early Learning Child -&gt; Enrollment
Early Learning -&gt; Early Learning Child -&gt; Program
K12 -&gt; K12 Student -&gt; Enrollment</t>
  </si>
  <si>
    <t xml:space="preserve">Accountability - Accountability
Attendance - Attendance
Funding - Funding
Graduation - Graduation
IndividualizedEducationProgram - Individualized education program (IEP)
Transportation - Transportation
</t>
  </si>
  <si>
    <t xml:space="preserve">RA1 - Replacement of all or most of the school staff (which may include the principal)
RA2 - Reopening the school as a public charter school
RA3 - Entering into a contract with a private entity to operate the school
RA4 - Take of the school by the state
RA5 - Other major restructuring of the school governance
</t>
  </si>
  <si>
    <t xml:space="preserve">Newborn - Newborn well child visit
3To5Days - 3 to 5 days well child visit
1Month - 1 month well child visit
2Months - 2 months well child visit
4Months - 4 months well child visit
6Months - 6 months well child visit
9Months - 9 months well child visit
12Months - 12 months well child visit
15Months - 15 months well child visit
18Months - 18 months well child visit
24Months - 24 months well child visit
30Months - 30 months well child visit
36Months - 36 months well child visit
48Months - 48 months well child visit
60Months - 60 months well child visit
</t>
  </si>
  <si>
    <t xml:space="preserve">Turnaround - Turnaround model
Restart - Restart model
Closure - School closure model
Transformation - Transformation model
</t>
  </si>
  <si>
    <t xml:space="preserve">CorrectiveAction - Corrective action
Year1 - Improvement status Year 1
Year2 - Improvement status Year 2
Planning - Planning for restructuring
Restructuring - Restructuring
NA - Not applicable
</t>
  </si>
  <si>
    <t xml:space="preserve">Regular - Regular School
Special - Special Education School
CareerAndTechnical - Career and Technical Education School
Alternative - Alternative Education School
Reportable - Reportable Program
</t>
  </si>
  <si>
    <t xml:space="preserve">03066 - Alcohol-related
03067 - Drug-related
03068 - Gang-related
13778 - Hate-related (Disability)
13777 - Hate-related (Other)
13779 - Hate-related (Race, Color, or National Origin)
13780 - Hate-related (Sex)
03070 - Weapon-related
</t>
  </si>
  <si>
    <t xml:space="preserve">FullDayFullYear - Full-day/full-year
FullDayPartYear - Full-day/part-year
PartDayFullYear - Part-day/full-year
PartDayPartYear - Part-day/part-year
HomeBased - Home based
NA - Not applicable
</t>
  </si>
  <si>
    <t>Early Learning -&gt; Early Learning Child -&gt; Services -&gt; Service Partners
Early Learning -&gt; Early Learning Organization -&gt; Service Partners</t>
  </si>
  <si>
    <t xml:space="preserve">FullSchoolYear - Full School Year
Intersession - Intersession
LongSession - Long Session
MiniTerm - Mini Term
Quarter - Quarter
Quinmester - Quinmester
Semester - Semester
SummerTerm - Summer Term
Trimester - Trimester
TwelveMonth - Twelve Month
Other - Other
</t>
  </si>
  <si>
    <t xml:space="preserve">Male - Male
Female - Female
NotSelected - Not selected
</t>
  </si>
  <si>
    <t>Adult Education -&gt; AE Student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</si>
  <si>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 xml:space="preserve">Wages - Wages
Alimony - Alimony
ChildSupport - Child support
WorkersComp - Worker's compensation
Unemployment - Unemployment
SSI - Supplemental security income
TANF - Temporary assistance for needy families
Agricultural - Agricultural
Other - Other
</t>
  </si>
  <si>
    <t xml:space="preserve">ELL - English language learners
CWD - Children with disabilities
Homeless - Homeless
MentalHealth - Mental health
SpecialHealthNeeds - Special health needs
Foster - Foster
Other - Other
</t>
  </si>
  <si>
    <t>Early Learning -&gt; Early Learning Organization -&gt; Directory
Postsecondary -&gt; Organization -&gt; Organization Information</t>
  </si>
  <si>
    <t xml:space="preserve">HighSchoolDiploma - Graduated with regular high school diploma
ReceivedCertificate - Received a certificate
ReachedMaximumAge - Reached maximum age
Died - Died
MovedAndContinuing - Moved, known to be continuing
DroppedOut - Dropped out
Transferred - Transferred to regular education
PartCNoLongerEligible - No longer eligible for Part C prior to reaching age three.
PartBEligibleExitingPartC - Part B eligible, exiting Part C.
PartBEligibleContinuingPartC - Part B eligible, continuing in Part C.
NotPartBEligibleExitingPartCWithReferrrals - Not eligible for Part B, exit with referrals to other programs.
NotPartBEligibleExitingPartCWithoutReferrrals - Not eligible for Part B, exit with no referrals.
PartBEligibilityNotDeterminedExitingPartC - Part B eligibility not determined.
WithdrawalByParent - Withdrawal by parent (or guardian).
MovedOutOfState - Moved out of State
Unreachable - Attempts to contact the parent and/or child were unsuccessful.
GraduatedAlternateDiploma - Graduated with an alternate diploma
</t>
  </si>
  <si>
    <t>Early Learning -&gt; Early Learning Child -&gt; Services
K12 -&gt; K12 Student -&gt; IDEA</t>
  </si>
  <si>
    <t xml:space="preserve">K12School - K12 School
LEA - Local Education Agency
State - State
</t>
  </si>
  <si>
    <t>Career and Technical -&gt; CTE Staff -&gt; Employment
Career and Technical -&gt; CTE Student -&gt; Demographic
Early Learning -&gt; Early Learning Staff -&gt; Employment
Early Learning -&gt; Parent/Guardian -&gt; Demographic
K12 -&gt; K12 Staff -&gt; Employment
K12 -&gt; K12 Student -&gt; Demographic
K12 -&gt; Parent/Guardian -&gt; Demographic
Postsecondary -&gt; Parent/Guardian -&gt; Demographic
Postsecondary -&gt; PS Staff -&gt; Employment
Postsecondary -&gt; PS Student -&gt; Demographic
Workforce -&gt; Workforce Program Participant -&gt; Employment</t>
  </si>
  <si>
    <t xml:space="preserve">SAT_Reading - SAT Reading
SAT_Writing - SAT Writing
SAT_Math - SAT Math
SAT_Total - SAT Total
ACT_English - ACT English
ACT_Math - ACT Math
ACT_Reading - ACT Reading
ACT_Science - ACT Science
ACT_Composite - ACT Composite
COMPASS_reading - COMPASS reading
COMPASS_writing - COMPASS writing
COMPASS_math - COMPASS math
Accuplacer_reading - Accuplacer reading
Accuplacer_writing - Accuplacer writing
Accuplacer_math - Accuplacer math
Other - Other
</t>
  </si>
  <si>
    <t>Credentials -&gt; Credential Award -&gt; Credential Issuer
Early Learning -&gt; Early Learning Staff -&gt; Credential or License
K12 -&gt; K12 Staff -&gt; Credential or License</t>
  </si>
  <si>
    <t>K12 -&gt; K12 Student -&gt; Economically Disadvantaged
K12 -&gt; K12 Student -&gt; Homeless
K12 -&gt; K12 Student -&gt; Immigrant
Postsecondary -&gt; PS Student -&gt; Economically Disadvantaged
Postsecondary -&gt; PS Student -&gt; Homeless</t>
  </si>
  <si>
    <t xml:space="preserve">75027 - Feeder school rights
75028 - Geographic right
75029 - Lottery
75030 - Policy preference
75031 - Selective admissions
</t>
  </si>
  <si>
    <t xml:space="preserve">Undergraduate - Undergraduate
Graduate - Graduate
</t>
  </si>
  <si>
    <t xml:space="preserve">NOTTSI - Not targeted support and improvement
TSI - Targeted support and improvement
TSIEXIT - Targeted support and improvement - exit status
</t>
  </si>
  <si>
    <t xml:space="preserve">1 - Educational Testing Service (ETS)
2 - Evaluation Systems Group of Pearson
3 - College Board
4 - American Board for Certification of Teacher Excellence (ABCTE)
5 - American Council on the Teaching of Foreign Languages (ACTFL)
98 - State
99 - Other
</t>
  </si>
  <si>
    <t xml:space="preserve">No - No
SeekingCandidacy - Seeking Candidacy
Enrolled - Enrolled
</t>
  </si>
  <si>
    <t xml:space="preserve">01050 - Associate's degree (two years or more) 
01235 - 4-year bachelor's degree
01236 - 5-year bachelor's degree
73205 - Post-baccalaureate certificate
01237 - Master's degree
73081 - Post-master’s certificate
01238 - Doctoral degree
73206 - Post-doctoral certificate
01239 - Met state testing requirement
01240 - Special/alternative program completion
01241 - Relevant experience
01242 - Credentials based on reciprocation with another state
</t>
  </si>
  <si>
    <t xml:space="preserve">Emergency - Emergency
Intern - Intern
Master - Master
Nonrenewable - Nonrenewable
Probationary - Probationary/initial
Professional - Professional
Provisional - Provisional
Regular - Regular/standard
Retired - Retired
Specialist - Specialist
Substitute - Substitute
TeacherAssistant - Teacher assistant
Temporary - Temporary
09999 - Other
</t>
  </si>
  <si>
    <t>K12 -&gt; K12 Staff -&gt; Credential or License
Postsecondary -&gt; PS Staff -&gt; Credential or License
Postsecondary -&gt; PS Student -&gt; Teacher Education/Preparation</t>
  </si>
  <si>
    <t xml:space="preserve">01 - Core Knowledge Area
02 - Health Safety Technical Assistance
03 - Inclusion Technical Assistance
04 - Infant Toddler Care Technical Assistance
05 - Mental Health Technical Assistance
06 - Program Administration and Management Practices Technical Assistance
07 - School Age Technical Assistance
08 - Understanding Developmental Screening Technical Assistance
09 - Dual Language Learner Technical Assistance
10 - Language and Literacy Development
11 - Cognition and General Knowledge (including early mathematics and early scientific development)
12 - Approaches Toward Learning
13 - Physical Well-being and Motor Development (including adaptive skills)
14 - Social and Emotional Development
</t>
  </si>
  <si>
    <t>Early Learning -&gt; Early Learning Organization -&gt; Professional Development
K12 -&gt; K12 School -&gt; Technical Assistance
K12 -&gt; K12 Staff -&gt; Technical Assistance
K12 -&gt; LEA -&gt; Technical Assistance</t>
  </si>
  <si>
    <t xml:space="preserve">TechnologyLiterate - Technology literate
NotTechnologyLiterate - Not technology literate
</t>
  </si>
  <si>
    <t>K12 -&gt; K12 Staff -&gt; Professional Development
Postsecondary -&gt; PS Staff -&gt; Professional Development</t>
  </si>
  <si>
    <t>Adult Education -&gt; AE Staff -&gt; Contact -&gt; Telephone
Adult Education -&gt; AE Student -&gt; Contact -&gt; Telephone
Career and Technical -&gt; CTE Staff -&gt; Contact -&gt; Telephone
Career and Technical -&gt; CTE Student -&gt; Contact -&gt; Telephone
Early Learning -&gt; Early Learning Child -&gt; Contact -&gt; Telephone
Early Learning -&gt; Early Learning Organization -&gt; Contact -&gt; Telephone
Early Learning -&gt; Early Learning Organization -&gt; Telephone
Early Learning -&gt; Early Learning Staff -&gt; Contact -&gt; Telephone
Early Learning -&gt; Early Learning Staff -&gt; Professional Development -&gt; Instructor
Early Learning -&gt; Early Learning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</si>
  <si>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 xml:space="preserve">Listed - Listed
Unknown - Unknown
Unlisted - Unlisted
</t>
  </si>
  <si>
    <t xml:space="preserve">Home - Home phone number
Work - Work phone number
Mobile - Mobile phone number
Fax - Fax number
Other - Other
</t>
  </si>
  <si>
    <t>Adult Education -&gt; AE Staff -&gt; Contact -&gt; Telephone
Adult Education -&gt; AE Student -&gt; Contact -&gt; Telephone
Career and Technical -&gt; CTE Staff -&gt; Contact -&gt; Telephone
Career and Technical -&gt; CTE Student -&gt; Contact -&gt; Telephone
Early Learning -&gt; Early Learning Child -&gt; Contact -&gt; Telephone
Early Learning -&gt; Early Learning Organization -&gt; Contact -&gt; Telephone
Early Learning -&gt; Early Learning Staff -&gt; Contact -&gt; Telephone
Early Learning -&gt; Early Learning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Postsecondary -&gt; PS Student -&gt; Contact -&gt; Telephone
Workforce -&gt; Workforce Program Participant -&gt; Contact -&gt; Telephone</t>
  </si>
  <si>
    <t xml:space="preserve">01 - Public Targeted Assistance Program
02 - Public Schoolwide Program
03 - Private school students participating
04 - Local Neglected Program
05 - Was not served
</t>
  </si>
  <si>
    <t xml:space="preserve">ReadingLanguageArts - Reading/Language Arts
Mathematics - Mathematics
Science - Science
SocialSciences - Social Sciences
CareerAndTechnical - Career and Technical Education
Other - Other
</t>
  </si>
  <si>
    <t xml:space="preserve">TGELGBNOPROG - Title I Targeted Assistance Eligible School- No Program
TGELGBTGPROG - Title I Targeted Assistance School
SWELIGTGPROG - Title I, Schoolwide eligible-Title I Targeted Assistance Program
SWELIGNOPROG - Title I Schoolwide Eligible School - No Program
SWELIGSWPROG - Title I Schoolwide School
NOTTITLE1ELIG - Not a Title I School
</t>
  </si>
  <si>
    <t xml:space="preserve">HealthDentalEyeCare - Health, Dental and Eye Care
GuidanceAdvocacy - Supporting Guidance/Advocacy
Other - Other
</t>
  </si>
  <si>
    <t xml:space="preserve">PROGRESS - Making progress
NOPROGRESS - Did not make progress
PROFICIENT - Attained proficiency
</t>
  </si>
  <si>
    <t xml:space="preserve">DualLanguage - Dual language
TwoWayImmersion - Two-way immersion
TransitionalBilingual - Transitional bilingual
DevelopmentalBilingual - Developmental bilingual
HeritageLanguage - Heritage language
ShelteredEnglishInstruction - Sheltered English instruction
StructuredEnglishImmersion - Structured English immersion
SDAIE - Specially designed academic instruction delivered in English (SDAIE)
ContentBasedESL - Content-based ESL
PullOutESL - Pull-out ESL
NewcomerPrograms - Newcomer Programs
Other - Other
</t>
  </si>
  <si>
    <t xml:space="preserve">InstructionalStrategies - Instructional strategies
Assessment - Assessment
ELPContentStandards - ELP and content standards
CurriculumAlignmentELP - Curriculum alignment to ELP standards
SubjectMatter - Subject matter
Other - Other
</t>
  </si>
  <si>
    <t xml:space="preserve">YesStateDefined - Yes, state defined
YesInstitutionDefined - Yes, institution defined
</t>
  </si>
  <si>
    <t>Adult Education -&gt; AE Staff -&gt; Demographic
Adult Education -&gt; AE Student -&gt; Demographic
Career and Technical -&gt; CTE Staff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t>
  </si>
  <si>
    <t xml:space="preserve">FirstTrimester - First trimester
SecondTrimester - Second trimester
ThirdTrimester - Third trimester
NoPrenatalHealthCare - No prenatal health care
</t>
  </si>
  <si>
    <t>Adult Education -&gt; Course Section
Career and Technical -&gt; Course Section
Early Learning -&gt; Early Learning Staff -&gt; Professional Development
K12 -&gt; Course Section
K12 -&gt; K12 Course
K12 -&gt; K12 Staff -&gt; Professional Development
Postsecondary -&gt; PS Staff -&gt; Professional Development</t>
  </si>
  <si>
    <t xml:space="preserve">InDistrict - In-district
InState - In-state
OutOfState - Out-of-state
NoDifferential - No differential tuition based on residency
</t>
  </si>
  <si>
    <t xml:space="preserve">PerTerm - Per Term
PerYear - Per Year
PerProgram - Per Program
PerCourse - Per Course
PerCredit - Per Credit
</t>
  </si>
  <si>
    <t xml:space="preserve">01 - Teacher recruitment and retention
02 - Teacher professional development
03 - Educational technology
04 - Parental involvement activities
05 - Activities authorized under the Safe and Drug-Free Schools Program (Title IV, Part A)
06 - Activities authorized under Title I, Part A
07 - Activities authorized under Title III (Language instruction for English Learner and immigrant students)
</t>
  </si>
  <si>
    <t xml:space="preserve">F1 - Foreign Student Visa
M1 - Foreign Student pursuing vocational or non-academic studies Visa
H1 - Employment Visa
B1 - Business Visa
B2 - Tourist Visa
J1 - Exchange Scholar Visa
OV - Other Visa
</t>
  </si>
  <si>
    <t>Early Learning -&gt; Early Learning Child -&gt; Health -&gt; Vision
K12 -&gt; K12 Student -&gt; Health -&gt; Vision</t>
  </si>
  <si>
    <t xml:space="preserve">01 - Collected as an hourly wage amount
02 - Collected as salary and converted to an hourly wage amount
03 - Collected in both methods but method not tracked on an individual record
99 - Wage data not present
</t>
  </si>
  <si>
    <t xml:space="preserve">01 - Verified
02 - Not verified
03 - Wage data not present
</t>
  </si>
  <si>
    <t xml:space="preserve">Firearm - Firearm
Handgun - Handgun
Shotgun - Shotgun
Rifle - Rifle
OtherFirearm - Other Firearm
Knife - Knife
KnifeLessThanTwoPointFiveInches - Knife Less Than 2.5 Inches
KnifeLessThanThreeInches - Knife Less Than Three Inches
KnifeGreaterThanThreeInches - Knife Greater Than Three Inches
OtherSharpObject - Other sharp object
OtherObject - Other object
Substance - Substance used as weapon
OtherWeapon - Other weapon
None - None
Unknown - Unknown weapon
</t>
  </si>
  <si>
    <t xml:space="preserve">805 - Cultural barriers
807 - Displaced homemaker
803 - English language learner
601 - Exhausting Temporary Assistance for Needy Families (TANF) within 2 years
801 - Ex-offender
800 - Homeless or runaway youth
202 - Individual with disabilities
402 - Long-term unemployed
804 - Low literacy level
802 - Low-income
808 - Migrant and seasonal farmworker
806 - Single parent
704 - Youth in foster care or who has aged out of system
</t>
  </si>
  <si>
    <t xml:space="preserve">Apprenticeship - Apprenticeship
ClinicalWork - Clinical work experience
CooperativeEducation - Cooperative education
JobShadowing - Job shadowing
Mentorship - Mentorship
NonPaidInternship - Non-Paid Internship
OnTheJob - On-the-Job
PaidInternship - Paid internship
ServiceLearning - Service learning
SupervisedAgricultural - Supervised agricultural experience
UnpaidInternship - Unpaid internship
Other - Other
</t>
  </si>
  <si>
    <t xml:space="preserve">01 - Labor Exchange Services
02 - Adult Workforce Investment Act Program
03 - Dislocated Worker Workforce Investment Act Program
04 - Youth Workforce Investment Act Program
05 - Job Corps
06 - Adult Education and Literacy
07 - National Farmworker Jobs Program
08 - Indian and Native American Programs
09 - Veteran's Programs
10 - Trade Adjustment Assistance Program
11 - YouthBuild Program
12 - Title V Older Worker Program
13 - Registered Apprenticeship
14 - Non-traditional Apprenticeship
15 - Vocational Rehabilitation
16 - Food Stamp Employment and Training Program
17 - TANF Employment and Training Program
18 - Other On-The-Job training Program
19 - Other Workforce Related Employment and Training Program
99 - No identified services
</t>
  </si>
  <si>
    <t>Adult Education -&gt; AE Staff -&gt; Experience
Postsecondary -&gt; PS Staff -&gt; Employment</t>
  </si>
  <si>
    <t>Early Learning Organization</t>
  </si>
  <si>
    <t>Early Learning Child</t>
  </si>
  <si>
    <t>Early Learning Family</t>
  </si>
  <si>
    <t>Early Learning Staff</t>
  </si>
  <si>
    <t>Early Learning Class/Group</t>
  </si>
  <si>
    <t>Implementation</t>
  </si>
  <si>
    <t>System</t>
  </si>
  <si>
    <t>Element Number</t>
  </si>
  <si>
    <t>Element Type</t>
  </si>
  <si>
    <t>Field Length</t>
  </si>
  <si>
    <t>Ed-Fi</t>
  </si>
  <si>
    <t>AcademicWeek--&gt;BeginDate</t>
  </si>
  <si>
    <t>The start date for the academic week.</t>
  </si>
  <si>
    <t>AcademicWeek--&gt;EndDate</t>
  </si>
  <si>
    <t>The end date for the academic week.</t>
  </si>
  <si>
    <t>AcademicWeek--&gt;WeekIdentifier</t>
  </si>
  <si>
    <t>The school label for the week.</t>
  </si>
  <si>
    <t>Account--&gt;AccountCode</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</si>
  <si>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</si>
  <si>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</si>
  <si>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</si>
  <si>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</si>
  <si>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</si>
  <si>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</si>
  <si>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</si>
  <si>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</si>
  <si>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</si>
  <si>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</si>
  <si>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</si>
  <si>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</si>
  <si>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</si>
  <si>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AssessmentFamily--&gt;AssessmentFamilyIdentificationCode--&gt;IdentificationCode</t>
  </si>
  <si>
    <t>A unique number or alphanumeric code assigned to an assessment by a school, school system, state or other agency or entity.</t>
  </si>
  <si>
    <t>AssessmentFamily--&gt;Nomenclature</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</si>
  <si>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</si>
  <si>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</si>
  <si>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</si>
  <si>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</si>
  <si>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</si>
  <si>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AssessmentItem.</t>
  </si>
  <si>
    <t>AssessmentItem--&gt;Nomenclature</t>
  </si>
  <si>
    <t>Reflects the specific nomenclature used for AssessmentItem.</t>
  </si>
  <si>
    <t>AttendanceEvent--&gt;EducationalEnvironment</t>
  </si>
  <si>
    <t>BellSchedule--&gt;BellScheduleName</t>
  </si>
  <si>
    <t>Name or title of the BellSchedule.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</si>
  <si>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</si>
  <si>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</si>
  <si>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</si>
  <si>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</si>
  <si>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</si>
  <si>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</si>
  <si>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</si>
  <si>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</si>
  <si>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</si>
  <si>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</si>
  <si>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</si>
  <si>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</si>
  <si>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</si>
  <si>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</si>
  <si>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t>
  </si>
  <si>
    <t>The competency levels defined to rate the student for the course.</t>
  </si>
  <si>
    <t>Course--&gt;DateCourseAdopted</t>
  </si>
  <si>
    <t>Date the course was adopted by the education agency.</t>
  </si>
  <si>
    <t>Course--&gt;MinimumAvailableCredits--&gt;Credits</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</si>
  <si>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</si>
  <si>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</si>
  <si>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</si>
  <si>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</si>
  <si>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</si>
  <si>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</si>
  <si>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(e.g., Classroom, Examination, Transfer).</t>
  </si>
  <si>
    <t>Education Organization--&gt;AccountabilityRating--&gt;Rating</t>
  </si>
  <si>
    <t>An accountability rating level, designation, or assessment.</t>
  </si>
  <si>
    <t>EducationContent--&gt;AdditionalAuthorsIndicator</t>
  </si>
  <si>
    <t>EducationContent--&gt;AppropriateSex</t>
  </si>
  <si>
    <t>Sexes for which this education content is applicable-if omitted, considered generally applicable.</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</si>
  <si>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</si>
  <si>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</si>
  <si>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</si>
  <si>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</si>
  <si>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</si>
  <si>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</si>
  <si>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EducationOrganization--&gt;AccountabilityRating--&gt;RatingDate</t>
  </si>
  <si>
    <t>The date the rating was awarded.</t>
  </si>
  <si>
    <t>EducationOrganization--&gt;AccountabilityRating--&gt;RatingOrganization</t>
  </si>
  <si>
    <t>The organization that assessed the rating.</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</si>
  <si>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</si>
  <si>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</si>
  <si>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</si>
  <si>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</si>
  <si>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EducationOrganization--&gt;Address--&gt;BeginDate</t>
  </si>
  <si>
    <t>EducationOrganization--&gt;Address--&gt;EndDate</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</si>
  <si>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</si>
  <si>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</si>
  <si>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</si>
  <si>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</si>
  <si>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</si>
  <si>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</si>
  <si>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</si>
  <si>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</si>
  <si>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</si>
  <si>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EducationOrganizationNetwork--&gt;NetworkPurpose</t>
  </si>
  <si>
    <t>The purpose(s) of the network (e.g., shared services, collective procurement).</t>
  </si>
  <si>
    <t>EducationOrganizationNetworkAssociation--&gt;BeginDate</t>
  </si>
  <si>
    <t>The date on which the EducationOrganization joined this network.</t>
  </si>
  <si>
    <t>EducationOrganizationNetworkAssociation--&gt;EndDate</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</si>
  <si>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</si>
  <si>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</si>
  <si>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</si>
  <si>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</si>
  <si>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</si>
  <si>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</si>
  <si>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EducationServiceCenter--&gt;Address--&gt;BeginDate</t>
  </si>
  <si>
    <t>EducationServiceCenter--&gt;Address--&gt;EndDate</t>
  </si>
  <si>
    <t>FeederSchoolAssociation--&gt;BeginDate</t>
  </si>
  <si>
    <t>The month, day, and year of the first day of the feeder school association.</t>
  </si>
  <si>
    <t>FeederSchoolAssociation--&gt;EndDate</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</si>
  <si>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</si>
  <si>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</si>
  <si>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</si>
  <si>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name or title of the activity to be recorded in the gradebook entry.</t>
  </si>
  <si>
    <t>GradingPeriod--&gt;BeginDate</t>
  </si>
  <si>
    <t>Month, day, and year of the first day of the GradingPeriod.</t>
  </si>
  <si>
    <t>GradingPeriod--&gt;PeriodSequence</t>
  </si>
  <si>
    <t>The sequential order of this period relative to other periods.</t>
  </si>
  <si>
    <t>GraduationPlan--&gt;CreditsByCourse--&gt;Credits--&gt;Credits</t>
  </si>
  <si>
    <t>GraduationPlan--&gt;CreditsByCourse--&gt;WhenTakenGradeLevel</t>
  </si>
  <si>
    <t>The grade level when the student is planned to take the course.</t>
  </si>
  <si>
    <t>GraduationPlan--&gt;GraduationPlanType</t>
  </si>
  <si>
    <t>The type of academic plan the student is following for graduation: for example, Minimum, Recommended, Distinguished or Standard.</t>
  </si>
  <si>
    <t>Intervention--&gt;GradeLevelAppropriateness</t>
  </si>
  <si>
    <t>Grade levels for the prescribed intervention. If omitted, considered generally applicable.</t>
  </si>
  <si>
    <t>Intervention--&gt;MeetingTime--&gt;OfficialAttendancePeriod</t>
  </si>
  <si>
    <t>Intervention--&gt;SexAppropriateness</t>
  </si>
  <si>
    <t>Sexes for the InterventionPrescription. If omitted, considered generally applicable.</t>
  </si>
  <si>
    <t>InterventionPrescription--&gt;AppropriateGradeLevel</t>
  </si>
  <si>
    <t>InterventionPrescription--&gt;AppropriateSex</t>
  </si>
  <si>
    <t>InterventionPrescription--&gt;DeliveryMethod</t>
  </si>
  <si>
    <t>The way in which an intervention was implemented: individual, small group, whole class, or whole school.</t>
  </si>
  <si>
    <t>InterventionPrescription--&gt;Diagnosis</t>
  </si>
  <si>
    <t>Targeted purpose of the InterventionPrescription (e.g., attendance issue, dropout risk).</t>
  </si>
  <si>
    <t>InterventionPrescription--&gt;InterventionClass</t>
  </si>
  <si>
    <t>The way in which an intervention is used: curriculum, supplement, or practice.</t>
  </si>
  <si>
    <t>InterventionPrescription--&gt;PopulationServed</t>
  </si>
  <si>
    <t>A subset of students that are the focus of the InterventionPrescription.</t>
  </si>
  <si>
    <t>InterventionStudy--&gt;AppropriateSex</t>
  </si>
  <si>
    <t>Sexes participating in this study. If omitted, considered generally applicable.</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</si>
  <si>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</si>
  <si>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</si>
  <si>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</si>
  <si>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</si>
  <si>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</si>
  <si>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</si>
  <si>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</si>
  <si>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</si>
  <si>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</si>
  <si>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</si>
  <si>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</si>
  <si>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</si>
  <si>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</si>
  <si>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A subset of students that are the focus of the InterventionStudy.</t>
  </si>
  <si>
    <t>LearningObjective--&gt;AcademicSubject</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</si>
  <si>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</si>
  <si>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</si>
  <si>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</si>
  <si>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</si>
  <si>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</si>
  <si>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LearningObjective.</t>
  </si>
  <si>
    <t>LearningStandard--&gt;AcademicSubject</t>
  </si>
  <si>
    <t>Subject area for the LearningStandard.</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</si>
  <si>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</si>
  <si>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</si>
  <si>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</si>
  <si>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</si>
  <si>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</si>
  <si>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</si>
  <si>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</si>
  <si>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</si>
  <si>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</si>
  <si>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</si>
  <si>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</si>
  <si>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</si>
  <si>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LocalEducationAgency--&gt;AccountabilityRating--&gt;RatingDate</t>
  </si>
  <si>
    <t>LocalEducationAgency--&gt;AccountabilityRating--&gt;RatingOrganization</t>
  </si>
  <si>
    <t>LocalEducationAgency--&gt;Address--&gt;BeginDate</t>
  </si>
  <si>
    <t>LocalEducationAgency--&gt;Address--&gt;EndDate</t>
  </si>
  <si>
    <t>LocalEducationAgency--&gt;LocalEducationAgencyFederalFunds--&gt;FiscalYear</t>
  </si>
  <si>
    <t>The school year for which the accountability is reported.</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</si>
  <si>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</si>
  <si>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</si>
  <si>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</si>
  <si>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</si>
  <si>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</si>
  <si>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percentage of the Assessment that tests this objective.</t>
  </si>
  <si>
    <t>OpenStaffPosition--&gt;AcademicSubject</t>
  </si>
  <si>
    <t>The teaching field required for the OpenStaffPosition, for example English/Language Arts, Reading, Mathematics, Science, Social Sciences, etc.</t>
  </si>
  <si>
    <t>OpenStaffPosition--&gt;DatePosted</t>
  </si>
  <si>
    <t>Date the OpenStaffPosition was posted.</t>
  </si>
  <si>
    <t>OpenStaffPosition--&gt;DatePostingRemoved</t>
  </si>
  <si>
    <t>The date the posting was removed or filled.</t>
  </si>
  <si>
    <t>OpenStaffPosition--&gt;InstructionalGradeLevel</t>
  </si>
  <si>
    <t>The set of grade levels for which the position's assignment is responsible.</t>
  </si>
  <si>
    <t>OpenStaffPosition--&gt;PostingResult</t>
  </si>
  <si>
    <t>Indication of whether the OpenStaffPosition was filled or retired without filling.</t>
  </si>
  <si>
    <t>OpenStaffPosition--&gt;ProgramAssignment</t>
  </si>
  <si>
    <t>The name of the program for which the OpenStaffPosition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</si>
  <si>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</si>
  <si>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</si>
  <si>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Parent--&gt;Address--&gt;BeginDate</t>
  </si>
  <si>
    <t>Parent--&gt;Address--&gt;BuildingSiteNumber</t>
  </si>
  <si>
    <t>Parent--&gt;Address--&gt;EndDate</t>
  </si>
  <si>
    <t>Parent--&gt;LoginId</t>
  </si>
  <si>
    <t>The login ID for the user; used for security access control interface.</t>
  </si>
  <si>
    <t>Parent--&gt;Name--&gt;PersonalIdentificationDocument--&gt;DocumentExpirationDate</t>
  </si>
  <si>
    <t>Parent--&gt;Name--&gt;PersonalIdentificationDocument--&gt;DocumentTitle</t>
  </si>
  <si>
    <t>The title of the document given by the issuer.</t>
  </si>
  <si>
    <t>Parent--&gt;Name--&gt;PersonalIdentificationDocument--&gt;IssuerCountry</t>
  </si>
  <si>
    <t>Country of origin of the document.</t>
  </si>
  <si>
    <t>Parent--&gt;Name--&gt;PersonalIdentificationDocument--&gt;IssuerDocumentIdentificationCode</t>
  </si>
  <si>
    <t>The unique identifier on the issuer's identification system.</t>
  </si>
  <si>
    <t>Parent--&gt;Name--&gt;PersonalIdentificationDocument--&gt;IssuerName</t>
  </si>
  <si>
    <t>Name of the entity or institution that issued the document.</t>
  </si>
  <si>
    <t>Parent--&gt;ParentUniqueId</t>
  </si>
  <si>
    <t>A unique alphanumeric code assigned to a parent.</t>
  </si>
  <si>
    <t>Payroll--&gt;AsOfDate</t>
  </si>
  <si>
    <t>The date of the reported payroll element.</t>
  </si>
  <si>
    <t>PostSecondaryEvent--&gt;PostSecondaryInstitution--&gt;MediumOfInstruction</t>
  </si>
  <si>
    <t>The categories in which an institution serves the students.</t>
  </si>
  <si>
    <t>Program--&gt;ProgramCharacteristic</t>
  </si>
  <si>
    <t>Reflects important characteristics of the Program, such as categories or particular indications.</t>
  </si>
  <si>
    <t>Program--&gt;Service</t>
  </si>
  <si>
    <t>Defines the services this program provides to students.</t>
  </si>
  <si>
    <t>RestraintEvent--&gt;EducationalEnvironment</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</si>
  <si>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</si>
  <si>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</si>
  <si>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</si>
  <si>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</si>
  <si>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</si>
  <si>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School--&gt;Address--&gt;BeginDate</t>
  </si>
  <si>
    <t>School--&gt;Address--&gt;EndDate</t>
  </si>
  <si>
    <t>Section--&gt;SectionCharacteristic</t>
  </si>
  <si>
    <t>Reflects important characteristics of the Section, such as whether or not attendance is taken and the Section is graded.</t>
  </si>
  <si>
    <t>Staff--&gt;Address--&gt;BeginDate</t>
  </si>
  <si>
    <t>Staff--&gt;Address--&gt;BuildingSiteNumber</t>
  </si>
  <si>
    <t>Staff--&gt;Address--&gt;EndDate</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</si>
  <si>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</si>
  <si>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</si>
  <si>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</si>
  <si>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</si>
  <si>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</si>
  <si>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</si>
  <si>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</si>
  <si>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</si>
  <si>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</si>
  <si>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</si>
  <si>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</si>
  <si>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The field of certification for the certificate (e.g., Mathematics, Music)</t>
  </si>
  <si>
    <t>Staff--&gt;Credential--&gt;Level</t>
  </si>
  <si>
    <t>The grade level(s) certified for teaching.</t>
  </si>
  <si>
    <t>Staff--&gt;LoginId</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</si>
  <si>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</si>
  <si>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</si>
  <si>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</si>
  <si>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</si>
  <si>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</si>
  <si>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</si>
  <si>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</si>
  <si>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StaffCohortAssociation--&gt;BeginDate</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</si>
  <si>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</si>
  <si>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</si>
  <si>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</si>
  <si>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</si>
  <si>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StaffEducationOrganizationEmploymentAssociation--&gt;Department</t>
  </si>
  <si>
    <t>The department or suborganization the employee/contractor is associated with in the EducationOrganization.</t>
  </si>
  <si>
    <t>StaffEducationOrganizationEmploymentAssociation--&gt;OfferDate</t>
  </si>
  <si>
    <t>Date at which the staff member was made an official offer for this employment.</t>
  </si>
  <si>
    <t>StaffProgramAssociation--&gt;BeginDate</t>
  </si>
  <si>
    <t>Start date for the association of staff to this program.</t>
  </si>
  <si>
    <t>StaffProgramAssociation--&gt;EndDate</t>
  </si>
  <si>
    <t>End date for the association of staff to this program.</t>
  </si>
  <si>
    <t>StaffProgramAssociation--&gt;StudentRecordAccess</t>
  </si>
  <si>
    <t>Indicator of whether the staff has access to the student records of the program per district interpretation of FERPA and other privacy laws, regulations and policies.</t>
  </si>
  <si>
    <t>StateEducationAgency--&gt;AccountabilityRating--&gt;RatingDate</t>
  </si>
  <si>
    <t>StateEducationAgency--&gt;AccountabilityRating--&gt;RatingOrganization</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</si>
  <si>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</si>
  <si>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</si>
  <si>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</si>
  <si>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</si>
  <si>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</si>
  <si>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</si>
  <si>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</si>
  <si>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</si>
  <si>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</si>
  <si>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</si>
  <si>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</si>
  <si>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</si>
  <si>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</si>
  <si>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</si>
  <si>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</si>
  <si>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</si>
  <si>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</si>
  <si>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</si>
  <si>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A description of the disability diagnosis.</t>
  </si>
  <si>
    <t>Student--&gt;LearningStyle--&gt;AuditoryLearning</t>
  </si>
  <si>
    <t>The student's relative preference expressed as a percent to auditory learning.</t>
  </si>
  <si>
    <t>Student--&gt;LearningStyle--&gt;TactileLearning</t>
  </si>
  <si>
    <t>The student's relative preference expressed as a percent to kinesthetic or tactile learning.</t>
  </si>
  <si>
    <t>Student--&gt;LearningStyle--&gt;VisualLearning</t>
  </si>
  <si>
    <t>The student's relative preference expressed as a percent to visual learning.</t>
  </si>
  <si>
    <t>Student--&gt;LoginId</t>
  </si>
  <si>
    <t>Student--&gt;Name--&gt;MaidenName</t>
  </si>
  <si>
    <t>The person's maiden name.</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</si>
  <si>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</si>
  <si>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</si>
  <si>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</si>
  <si>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</si>
  <si>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</si>
  <si>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</si>
  <si>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The person, organization, or department that designated the program association.</t>
  </si>
  <si>
    <t>Student--&gt;ProgramParticipation--&gt;ProgramCharacteristic</t>
  </si>
  <si>
    <t>Student--&gt;StudentCharacteristic--&gt;DesignatedBy</t>
  </si>
  <si>
    <t>The person, organization, or department that designated the characteristic.</t>
  </si>
  <si>
    <t>Student--&gt;StudentIndicator--&gt;BeginDate</t>
  </si>
  <si>
    <t>The date when the indicator was assigned or computed.</t>
  </si>
  <si>
    <t>Student--&gt;StudentIndicator--&gt;DesignatedBy</t>
  </si>
  <si>
    <t>Student--&gt;StudentIndicator--&gt;EndDate</t>
  </si>
  <si>
    <t>The date the indicator or metric was sunset or removed.</t>
  </si>
  <si>
    <t>Student--&gt;StudentIndicator--&gt;IndicatorGroup</t>
  </si>
  <si>
    <t>The name for a group of indicators.</t>
  </si>
  <si>
    <t>StudentAcademicRecord--&gt;AcademicHonor--&gt;Achievement--&gt;AcheivementCategory</t>
  </si>
  <si>
    <t>The category of achievement attributed to the learner.</t>
  </si>
  <si>
    <t>StudentAcademicRecord--&gt;ClassRanking--&gt;PercentageRanking</t>
  </si>
  <si>
    <t>The academic percentage rank of a student in relation to his or her graduating class (e.g., 95%, 80%, 50%).</t>
  </si>
  <si>
    <t>StudentAcademicRecord--&gt;Diploma--&gt;Achievement--&gt;AcheivementCategory</t>
  </si>
  <si>
    <t>StudentAcademicRecord--&gt;Diploma--&gt;Achievement--&gt;AchievementCategorySystem</t>
  </si>
  <si>
    <t>The system that defines the categories by which an achievement is attributed to the learner.</t>
  </si>
  <si>
    <t>StudentAcademicRecord--&gt;Diploma--&gt;Achievement--&gt;IssuerName</t>
  </si>
  <si>
    <t>The name of the agent, entity or institution issuing the element.</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</si>
  <si>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</si>
  <si>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</si>
  <si>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</si>
  <si>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</si>
  <si>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The date the recognition was awarded or earned.</t>
  </si>
  <si>
    <t>StudentAcademicRecord--&gt;Recognition--&gt;RecognitionDescription</t>
  </si>
  <si>
    <t>A description of the type of academic distinctions earned by or awarded to the individual.</t>
  </si>
  <si>
    <t>StudentAcademicRecord--&gt;SessionAttemptedCredits--&gt;Credits</t>
  </si>
  <si>
    <t>The value of credits or units of value awarded for the completion of a course</t>
  </si>
  <si>
    <t>StudentAcademicRecord--&gt;SessionGradePointsEarned</t>
  </si>
  <si>
    <t>The number of grade points an individual earned for this session.</t>
  </si>
  <si>
    <t>StudentCompetencyObjective--&gt;CompetencyLevel</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</si>
  <si>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</si>
  <si>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</si>
  <si>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</si>
  <si>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</si>
  <si>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</si>
  <si>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t>
  </si>
  <si>
    <t>Indicates the Service(s) being provided to the student by the program.</t>
  </si>
  <si>
    <t>StudentDisciplineIncidentAssociation--&gt;Behavior--&gt;BehaviorDetailedDescription</t>
  </si>
  <si>
    <t>Specifies a more granular level of detail of a behavior involved in the incident.</t>
  </si>
  <si>
    <t>StudentGradebookEntry--&gt;CompetencyLevel</t>
  </si>
  <si>
    <t>The competency level assessed for the student for the referenced LearningObjective.</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</si>
  <si>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</si>
  <si>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</si>
  <si>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</si>
  <si>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</si>
  <si>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</si>
  <si>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</si>
  <si>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StudentInterventionAssociation--&gt;InterventionEffectiveness--&gt;InterventionEffectivenessRating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</si>
  <si>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</si>
  <si>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</si>
  <si>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</si>
  <si>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</si>
  <si>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</si>
  <si>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</si>
  <si>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</si>
  <si>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</si>
  <si>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</si>
  <si>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</si>
  <si>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t>
  </si>
  <si>
    <t>StudentSchoolAssociation--&gt;ResidencyStatus</t>
  </si>
  <si>
    <t>StudentSpecialEdProgramAssociation--&gt;Service</t>
  </si>
  <si>
    <t>StudentTitleIPartAProgramAssociation--&gt;ServedOutsideOfRegularSession</t>
  </si>
  <si>
    <t>StudentTitleIPartAProgramAssociation--&gt;Service</t>
  </si>
  <si>
    <t>Teacher--&gt;Address--&gt;BeginDate</t>
  </si>
  <si>
    <t>Teacher--&gt;Address--&gt;EndDate</t>
  </si>
  <si>
    <t>Teacher--&gt;Credential--&gt;CredentialField</t>
  </si>
  <si>
    <t>Teacher--&gt;Credential--&gt;Level</t>
  </si>
  <si>
    <t>Teacher--&gt;YearsOfPriorProfessionalExperience</t>
  </si>
  <si>
    <t>The total number of years that an individual has previously held a similar professional position in one or more education institutions.</t>
  </si>
  <si>
    <t>NCES Handbooks/Forum</t>
  </si>
  <si>
    <t>Access to Records Status</t>
  </si>
  <si>
    <t>An indicator as to whether this contact has access to the student''s records.</t>
  </si>
  <si>
    <t>ID</t>
  </si>
  <si>
    <t xml:space="preserve">Yes/No
</t>
  </si>
  <si>
    <t>Accountability Focus</t>
  </si>
  <si>
    <t>A description of the educational unit under evaluation for accountability.</t>
  </si>
  <si>
    <t>AN</t>
  </si>
  <si>
    <t xml:space="preserve">No Options
</t>
  </si>
  <si>
    <t>Accountability Interventions</t>
  </si>
  <si>
    <t>A description of the interventions as a result of the accountability results.</t>
  </si>
  <si>
    <t>Accountability Report Producing Organization</t>
  </si>
  <si>
    <t>The name of the organization that produced the accountability report.</t>
  </si>
  <si>
    <t>Accountability Report Producing Organization Type</t>
  </si>
  <si>
    <t>The type of organization that produced the accountability report.</t>
  </si>
  <si>
    <t>Accountability Rewards</t>
  </si>
  <si>
    <t>A description of the rewards as a result of the accountability results.</t>
  </si>
  <si>
    <t>Accountability Sanctions</t>
  </si>
  <si>
    <t>A description of the sanctions as a result of the accountability results.</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</si>
  <si>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</si>
  <si>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</si>
  <si>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Activity Curriculum Type</t>
  </si>
  <si>
    <t>An indication of the degree that an activity is related to a student''s curriculum.</t>
  </si>
  <si>
    <t>The description of a particular co-curricular or extra-curricular activity in which the individual is involved.</t>
  </si>
  <si>
    <t>Activity Leadership/Coordinator Participation Level</t>
  </si>
  <si>
    <t>The individual''s level of leadership or coordinator involvement in the activity.</t>
  </si>
  <si>
    <t>Activity Level</t>
  </si>
  <si>
    <t>A description of the separation of level in the activity.</t>
  </si>
  <si>
    <t>Activity Time</t>
  </si>
  <si>
    <t>An indication of the time of day the activity takes place.</t>
  </si>
  <si>
    <t>Activity Type</t>
  </si>
  <si>
    <t>The type of co-curricular or extra-curricular activity.</t>
  </si>
  <si>
    <t>Actual Use Date</t>
  </si>
  <si>
    <t>The month, day, and year on which a benefit will be paid off in a lump-sum payment or distributed in installments to an individual.</t>
  </si>
  <si>
    <t>DT</t>
  </si>
  <si>
    <t>Additional Compensation Type</t>
  </si>
  <si>
    <t>An indication of the category of income, wages, or benefits an individual receives as compensation for service in compliance with the employment agreement.</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</si>
  <si>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</si>
  <si>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</si>
  <si>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</si>
  <si>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</si>
  <si>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</si>
  <si>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</si>
  <si>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</si>
  <si>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</si>
  <si>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</si>
  <si>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</si>
  <si>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</si>
  <si>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</si>
  <si>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</si>
  <si>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</si>
  <si>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</si>
  <si>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Admission Date</t>
  </si>
  <si>
    <t>The month, day, and year on which a student is admitted to a school or an educational institution.</t>
  </si>
  <si>
    <t>Admission Status</t>
  </si>
  <si>
    <t>The status given to a student when he or she is admitted to a school or an educational institution.</t>
  </si>
  <si>
    <t>Advance Pay</t>
  </si>
  <si>
    <t>The amount paid to an individual prior to services rendered (e.g., deposit).</t>
  </si>
  <si>
    <t>Affiliated Institution Type</t>
  </si>
  <si>
    <t>An indication of the type of institution or organization providing the educational experience to the individual.</t>
  </si>
  <si>
    <t>Ages Served</t>
  </si>
  <si>
    <t>The ages of children served by an institution as identified by the funding and/or licensing source.</t>
  </si>
  <si>
    <t>Ala Carte Non-Reimbursable Purchase Price</t>
  </si>
  <si>
    <t>The total dollar amount paid for the purchase of food, for which no federal reimbursement is received, associated with a particular individual transaction.</t>
  </si>
  <si>
    <t>Alcohol Violation</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</si>
  <si>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</si>
  <si>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</si>
  <si>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</si>
  <si>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</si>
  <si>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</si>
  <si>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</si>
  <si>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N</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</si>
  <si>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</si>
  <si>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</si>
  <si>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</si>
  <si>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</si>
  <si>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</si>
  <si>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</si>
  <si>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</si>
  <si>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</si>
  <si>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</si>
  <si>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</si>
  <si>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</si>
  <si>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</si>
  <si>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</si>
  <si>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</si>
  <si>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</si>
  <si>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</si>
  <si>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</si>
  <si>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</si>
  <si>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</si>
  <si>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</si>
  <si>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</si>
  <si>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</si>
  <si>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Application Status</t>
  </si>
  <si>
    <t>An indication of the status of the individual's employment application.</t>
  </si>
  <si>
    <t>Areas of Informal Qualification</t>
  </si>
  <si>
    <t>Other areas or fields in which an individual has some special informal qualification or occupational training (e.g., as an artist).</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</si>
  <si>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</si>
  <si>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</si>
  <si>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</si>
  <si>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</si>
  <si>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</si>
  <si>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</si>
  <si>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</si>
  <si>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</si>
  <si>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</si>
  <si>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</si>
  <si>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</si>
  <si>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</si>
  <si>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Assessment Groups</t>
  </si>
  <si>
    <t>The groups or subgroups of individuals at the designated grades who were assessed.</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</si>
  <si>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</si>
  <si>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</si>
  <si>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</si>
  <si>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</si>
  <si>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</si>
  <si>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</si>
  <si>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</si>
  <si>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The correct response for the assessment item.</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</si>
  <si>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</si>
  <si>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</si>
  <si>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</si>
  <si>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</si>
  <si>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</si>
  <si>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</si>
  <si>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</si>
  <si>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</si>
  <si>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</si>
  <si>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</si>
  <si>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</si>
  <si>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</si>
  <si>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Assessment Reference Type</t>
  </si>
  <si>
    <t>A classification of how results of achievement tests are related and interpreted.</t>
  </si>
  <si>
    <t>Assessment Registration Grade Level When Assessed</t>
  </si>
  <si>
    <t>The grade or level of the learner as specified during assessment registration.</t>
  </si>
  <si>
    <t>Assessment Reporting Level</t>
  </si>
  <si>
    <t>The level at which results are presented.</t>
  </si>
  <si>
    <t>Assessment Requirement Authority</t>
  </si>
  <si>
    <t>The person, agency, governmental entity, or other institution requiring or sponsoring the completion of the assessment requirement.</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</si>
  <si>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</si>
  <si>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</si>
  <si>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</si>
  <si>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</si>
  <si>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</si>
  <si>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</si>
  <si>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</si>
  <si>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</si>
  <si>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</si>
  <si>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</si>
  <si>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</si>
  <si>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</si>
  <si>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</si>
  <si>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</si>
  <si>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</si>
  <si>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</si>
  <si>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</si>
  <si>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</si>
  <si>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</si>
  <si>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</si>
  <si>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</si>
  <si>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</si>
  <si>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</si>
  <si>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</si>
  <si>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Attendance Policy Violation</t>
  </si>
  <si>
    <t>Attendance Status Time</t>
  </si>
  <si>
    <t>An indication of the time of day the attendance status is recorded.</t>
  </si>
  <si>
    <t>Attendance zone</t>
  </si>
  <si>
    <t>Authorized Instructional Level</t>
  </si>
  <si>
    <t>The instructional level or levels within which an individual is authorized to serve by an active credential.</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</si>
  <si>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</si>
  <si>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</si>
  <si>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</si>
  <si>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</si>
  <si>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</si>
  <si>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</si>
  <si>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</si>
  <si>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</si>
  <si>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</si>
  <si>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</si>
  <si>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</si>
  <si>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</si>
  <si>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</si>
  <si>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</si>
  <si>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Bank Account Type</t>
  </si>
  <si>
    <t>The type of bank account that is under an individual's name.</t>
  </si>
  <si>
    <t>Base Indicators</t>
  </si>
  <si>
    <t>A description of the indicators that are used as the primary indicators of improvement and performance.</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</si>
  <si>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</si>
  <si>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</si>
  <si>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</si>
  <si>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</si>
  <si>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</si>
  <si>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</si>
  <si>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</si>
  <si>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</si>
  <si>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</si>
  <si>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</si>
  <si>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</si>
  <si>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</si>
  <si>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</si>
  <si>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</si>
  <si>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</si>
  <si>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</si>
  <si>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</si>
  <si>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</si>
  <si>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Benefit Contributor Type</t>
  </si>
  <si>
    <t>An indication of the category of an individual or institution that donates to an employee's benefit plan.</t>
  </si>
  <si>
    <t>Benefit Payoff Date</t>
  </si>
  <si>
    <t>The earliest possible month, day, and year on which a benefit will be paid off in a lump-sum payment or distributed in installments to an individual.</t>
  </si>
  <si>
    <t>Bilingual Education Program Type</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</si>
  <si>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</si>
  <si>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</si>
  <si>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</si>
  <si>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</si>
  <si>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</si>
  <si>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</si>
  <si>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</si>
  <si>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</si>
  <si>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</si>
  <si>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</si>
  <si>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</si>
  <si>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</si>
  <si>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Building Elements Demolition</t>
  </si>
  <si>
    <t>A description of the destruction and removal of parts of an existing building.</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</si>
  <si>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</si>
  <si>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</si>
  <si>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</si>
  <si>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</si>
  <si>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</si>
  <si>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</si>
  <si>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</si>
  <si>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</si>
  <si>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</si>
  <si>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</si>
  <si>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</si>
  <si>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</si>
  <si>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</si>
  <si>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</si>
  <si>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</si>
  <si>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</si>
  <si>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</si>
  <si>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</si>
  <si>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</si>
  <si>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</si>
  <si>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</si>
  <si>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</si>
  <si>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</si>
  <si>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</si>
  <si>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</si>
  <si>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</si>
  <si>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</si>
  <si>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</si>
  <si>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</si>
  <si>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</si>
  <si>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</si>
  <si>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</si>
  <si>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</si>
  <si>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</si>
  <si>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</si>
  <si>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</si>
  <si>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</si>
  <si>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</si>
  <si>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</si>
  <si>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</si>
  <si>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</si>
  <si>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</si>
  <si>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</si>
  <si>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</si>
  <si>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</si>
  <si>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</si>
  <si>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</si>
  <si>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</si>
  <si>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</si>
  <si>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Capital Project Actual Completion Date</t>
  </si>
  <si>
    <t>The month, day, and year on which the project is determined to be at substantial completion.</t>
  </si>
  <si>
    <t>Capital Project Audit Date</t>
  </si>
  <si>
    <t>The month, day, and year when a capital project audit was done.</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</si>
  <si>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</si>
  <si>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</si>
  <si>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</si>
  <si>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</si>
  <si>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</si>
  <si>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</si>
  <si>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</si>
  <si>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</si>
  <si>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</si>
  <si>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</si>
  <si>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</si>
  <si>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</si>
  <si>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</si>
  <si>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</si>
  <si>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</si>
  <si>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</si>
  <si>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</si>
  <si>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</si>
  <si>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</si>
  <si>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</si>
  <si>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</si>
  <si>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</si>
  <si>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</si>
  <si>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</si>
  <si>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</si>
  <si>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</si>
  <si>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</si>
  <si>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</si>
  <si>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</si>
  <si>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</si>
  <si>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Career Technical Education Representation Status</t>
  </si>
  <si>
    <t>An indication of whether CTE participants were members of an underrepresented gender group.</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</si>
  <si>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</si>
  <si>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</si>
  <si>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</si>
  <si>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</si>
  <si>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</si>
  <si>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</si>
  <si>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</si>
  <si>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</si>
  <si>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</si>
  <si>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Charter School Location Duration</t>
  </si>
  <si>
    <t>An indication of permanency that a public charter school will be in a location.</t>
  </si>
  <si>
    <t>Child-to-Instructional Staff Ratio</t>
  </si>
  <si>
    <t>The number of children per instructional staff member.</t>
  </si>
  <si>
    <t>Children Service</t>
  </si>
  <si>
    <t>An indication of the children an employee serves in current employment.</t>
  </si>
  <si>
    <t>Class Attendance Status</t>
  </si>
  <si>
    <t>The status of a student''s attendance in class.</t>
  </si>
  <si>
    <t>Class Organization</t>
  </si>
  <si>
    <t>The structure in which class instruction is arranged.</t>
  </si>
  <si>
    <t>Class Pace</t>
  </si>
  <si>
    <t>The pace at which class instruction is arranged.</t>
  </si>
  <si>
    <t>Classroom Instruction Use Type</t>
  </si>
  <si>
    <t>Indication of the particular grade levels that receives instruction in the classroom.</t>
  </si>
  <si>
    <t xml:space="preserve">Classroom Instruction Use Type
</t>
  </si>
  <si>
    <t>Co-educational Status</t>
  </si>
  <si>
    <t>An indication of the genders to whom the school offers instruction.</t>
  </si>
  <si>
    <t>Collaborative Assignment</t>
  </si>
  <si>
    <t>An indication whether the assignment/activity was collaborative or independent.</t>
  </si>
  <si>
    <t>Commercial Equipment</t>
  </si>
  <si>
    <t>Food preparation equipment used for warming, cooking, drying, cleaning, freezing, or cooling.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</si>
  <si>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</si>
  <si>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</si>
  <si>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</si>
  <si>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</si>
  <si>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</si>
  <si>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</si>
  <si>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</si>
  <si>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</si>
  <si>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</si>
  <si>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</si>
  <si>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</si>
  <si>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</si>
  <si>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</si>
  <si>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</si>
  <si>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</si>
  <si>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</si>
  <si>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Computer Operating System Version</t>
  </si>
  <si>
    <t>Software that contains the electronic instructions that control the computer and run the programs. This software is generally specific to a type of computer (e.g., Windows 2000, UNIX linux, and Mac OS X).</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</si>
  <si>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</si>
  <si>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</si>
  <si>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</si>
  <si>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</si>
  <si>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Onset Date</t>
  </si>
  <si>
    <t>The month, day, and year of the onset of a condition.</t>
  </si>
  <si>
    <t>Congressional District Number</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</si>
  <si>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</si>
  <si>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</si>
  <si>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</si>
  <si>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</si>
  <si>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</si>
  <si>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</si>
  <si>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</si>
  <si>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</si>
  <si>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</si>
  <si>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</si>
  <si>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</si>
  <si>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</si>
  <si>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</si>
  <si>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</si>
  <si>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</si>
  <si>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</si>
  <si>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</si>
  <si>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</si>
  <si>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</si>
  <si>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</si>
  <si>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County Federal Information Processing Standards Code</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</si>
  <si>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</si>
  <si>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</si>
  <si>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</si>
  <si>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</si>
  <si>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</si>
  <si>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</si>
  <si>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</si>
  <si>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</si>
  <si>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</si>
  <si>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</si>
  <si>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</si>
  <si>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</si>
  <si>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</si>
  <si>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</si>
  <si>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</si>
  <si>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</si>
  <si>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</si>
  <si>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</si>
  <si>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</si>
  <si>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</si>
  <si>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Crafts and Trades Job Classification</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</si>
  <si>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</si>
  <si>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</si>
  <si>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</si>
  <si>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</si>
  <si>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</si>
  <si>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</si>
  <si>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</si>
  <si>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</si>
  <si>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</si>
  <si>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</si>
  <si>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</si>
  <si>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</si>
  <si>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</si>
  <si>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</si>
  <si>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</si>
  <si>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</si>
  <si>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</si>
  <si>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</si>
  <si>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</si>
  <si>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</si>
  <si>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</si>
  <si>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</si>
  <si>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</si>
  <si>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</si>
  <si>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</si>
  <si>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</si>
  <si>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</si>
  <si>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</si>
  <si>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</si>
  <si>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The number of credits an individual attempts to earn by taking courses during a given grading period.</t>
  </si>
  <si>
    <t>The total number of credits an individual attempts to earn by taking courses during a given school year (e.g., 1999-2000).</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</si>
  <si>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</si>
  <si>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</si>
  <si>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</si>
  <si>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</si>
  <si>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</si>
  <si>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</si>
  <si>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</si>
  <si>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</si>
  <si>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</si>
  <si>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</si>
  <si>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</si>
  <si>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</si>
  <si>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</si>
  <si>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</si>
  <si>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</si>
  <si>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</si>
  <si>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</si>
  <si>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</si>
  <si>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</si>
  <si>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</si>
  <si>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</si>
  <si>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</si>
  <si>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</si>
  <si>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</si>
  <si>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</si>
  <si>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</si>
  <si>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</si>
  <si>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</si>
  <si>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</si>
  <si>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</si>
  <si>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</si>
  <si>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</si>
  <si>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</si>
  <si>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</si>
  <si>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</si>
  <si>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</si>
  <si>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</si>
  <si>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</si>
  <si>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</si>
  <si>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Day/Evening Status</t>
  </si>
  <si>
    <t>The status of a student in relation to the time of day that he or she attends the majority of his or her classes, as defined by the educational institution.</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</si>
  <si>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</si>
  <si>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</si>
  <si>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</si>
  <si>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</si>
  <si>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</si>
  <si>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</si>
  <si>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</si>
  <si>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</si>
  <si>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</si>
  <si>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</si>
  <si>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</si>
  <si>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</si>
  <si>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</si>
  <si>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</si>
  <si>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</si>
  <si>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</si>
  <si>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</si>
  <si>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</si>
  <si>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</si>
  <si>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</si>
  <si>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</si>
  <si>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</si>
  <si>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</si>
  <si>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</si>
  <si>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</si>
  <si>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</si>
  <si>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</si>
  <si>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</si>
  <si>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</si>
  <si>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</si>
  <si>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</si>
  <si>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</si>
  <si>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</si>
  <si>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</si>
  <si>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Disability Level</t>
  </si>
  <si>
    <t>The degree of disability as determined by a qualified evaluator (e.g., mild mental retardation, moderate mental retardation, severe mental retardation).</t>
  </si>
  <si>
    <t>Disability Severity</t>
  </si>
  <si>
    <t>The severity of the disability.</t>
  </si>
  <si>
    <t>Discontinuing Schooling Reason</t>
  </si>
  <si>
    <t>The primary reason for which a student discontinued schooling or left school before graduation or matriculation.</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</si>
  <si>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</si>
  <si>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</si>
  <si>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</si>
  <si>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</si>
  <si>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</si>
  <si>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</si>
  <si>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</si>
  <si>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</si>
  <si>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</si>
  <si>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Dwelling Arrangement</t>
  </si>
  <si>
    <t>An indication of the arrangement or environment in which an individual resides.</t>
  </si>
  <si>
    <t>Dwelling Ownership</t>
  </si>
  <si>
    <t>An indication of the type of ownership of a residence in which an individual lives.</t>
  </si>
  <si>
    <t>Early Childhood Program Purposes</t>
  </si>
  <si>
    <t>A description of the major purposes of an early childhood program.</t>
  </si>
  <si>
    <t>Early Childhood Program Sponsorship</t>
  </si>
  <si>
    <t>The type of organizational sponsorship of an early childhood program.</t>
  </si>
  <si>
    <t>Early Childhood Special Education Funding Source</t>
  </si>
  <si>
    <t>The primary method by which funds are generated in order to support a program.</t>
  </si>
  <si>
    <t>Early Childhood Special Education Program Focus</t>
  </si>
  <si>
    <t>An indication as to whether the programs and services provided to a child have a special education focus.</t>
  </si>
  <si>
    <t>Early Childhood Special Education Setting</t>
  </si>
  <si>
    <t>The site or setting in which a child receives special education early childhood care, education, and/or services.</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</si>
  <si>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</si>
  <si>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</si>
  <si>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</si>
  <si>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</si>
  <si>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</si>
  <si>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</si>
  <si>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</si>
  <si>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</si>
  <si>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</si>
  <si>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</si>
  <si>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</si>
  <si>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</si>
  <si>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</si>
  <si>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</si>
  <si>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</si>
  <si>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</si>
  <si>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</si>
  <si>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</si>
  <si>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</si>
  <si>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</si>
  <si>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</si>
  <si>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</si>
  <si>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</si>
  <si>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</si>
  <si>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Educational Program/Staff Development Activity Anticipated Outcome</t>
  </si>
  <si>
    <t>The anticipated results of an individual's successful participation in an educational program or staff development activity.</t>
  </si>
  <si>
    <t>Educational Program/Staff Development Activity Arrangement</t>
  </si>
  <si>
    <t>An indication of the manner in which an individual's participation in an educational program or staff development activity has been scheduled.</t>
  </si>
  <si>
    <t>Educational Program/Staff Development Activity Compensation</t>
  </si>
  <si>
    <t>An indication of the type of financial support an individual receives for participating in an educational program or staff development activity.</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</si>
  <si>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</si>
  <si>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</si>
  <si>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</si>
  <si>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</si>
  <si>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</si>
  <si>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</si>
  <si>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</si>
  <si>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</si>
  <si>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</si>
  <si>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</si>
  <si>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</si>
  <si>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</si>
  <si>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</si>
  <si>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</si>
  <si>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</si>
  <si>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</si>
  <si>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</si>
  <si>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</si>
  <si>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</si>
  <si>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</si>
  <si>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</si>
  <si>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</si>
  <si>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Educational Program/Staff Development Activity Purpose</t>
  </si>
  <si>
    <t>The primary reason an individual is involved in an educational program or staff development activity.</t>
  </si>
  <si>
    <t>Educational Program/Staff Development Activity Relevance</t>
  </si>
  <si>
    <t>An indication as to whether the contents of an educational program or staff development activity are directly related to an individual's performance of job duties.</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</si>
  <si>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</si>
  <si>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</si>
  <si>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Educator/Agency Program Focus</t>
  </si>
  <si>
    <t>A description of the focus of the program or services offered to educators or agencies.</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</si>
  <si>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</si>
  <si>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</si>
  <si>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</si>
  <si>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</si>
  <si>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</si>
  <si>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</si>
  <si>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Emergency Factor</t>
  </si>
  <si>
    <t>An identification of a physical or medical condition of potential special significance during an emergency treatment.</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</si>
  <si>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</si>
  <si>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</si>
  <si>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</si>
  <si>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</si>
  <si>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</si>
  <si>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</si>
  <si>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Employment Eligibility Verification</t>
  </si>
  <si>
    <t>The documentation in addition to an identification document with photograph (e.g., driver's license) furnished by an individual to prove his or her eligibility to be legally employed in the United States.</t>
  </si>
  <si>
    <t>Employment Location State Abbreviation</t>
  </si>
  <si>
    <t>The state in which an individual is found employed.</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</si>
  <si>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</si>
  <si>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</si>
  <si>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</si>
  <si>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</si>
  <si>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</si>
  <si>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</si>
  <si>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</si>
  <si>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</si>
  <si>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</si>
  <si>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</si>
  <si>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</si>
  <si>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</si>
  <si>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</si>
  <si>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</si>
  <si>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</si>
  <si>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</si>
  <si>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</si>
  <si>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</si>
  <si>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</si>
  <si>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</si>
  <si>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</si>
  <si>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</si>
  <si>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English as a Second Language (ESL) Program Type</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</si>
  <si>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</si>
  <si>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</si>
  <si>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</si>
  <si>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</si>
  <si>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</si>
  <si>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</si>
  <si>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</si>
  <si>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</si>
  <si>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</si>
  <si>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</si>
  <si>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</si>
  <si>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</si>
  <si>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</si>
  <si>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Equipment Description</t>
  </si>
  <si>
    <t>The description of a particular piece of equipment.</t>
  </si>
  <si>
    <t>Equipment Mobility</t>
  </si>
  <si>
    <t>The distinction of whether a piece of equipment can be moved or is built in.</t>
  </si>
  <si>
    <t>Equipment Name</t>
  </si>
  <si>
    <t>The name of a particular piece of equipment.</t>
  </si>
  <si>
    <t>Equipment Purpose</t>
  </si>
  <si>
    <t>The primary purpose of a piece of equipment, regardless of its current use.</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</si>
  <si>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</si>
  <si>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</si>
  <si>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Established IDEA Condition</t>
  </si>
  <si>
    <t>A diagnosed physical or mental condition that has a high probability of resulting in developmental delay (e.g., Down Syndrome, Cerebral Palsy, Spina Bifida).</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</si>
  <si>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</si>
  <si>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</si>
  <si>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</si>
  <si>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</si>
  <si>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</si>
  <si>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</si>
  <si>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</si>
  <si>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</si>
  <si>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</si>
  <si>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</si>
  <si>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Evaluation Purpose</t>
  </si>
  <si>
    <t>The reason that an appraisal of an individual's performance is conducted.</t>
  </si>
  <si>
    <t>Evaluation Recommendations</t>
  </si>
  <si>
    <t>The recommendations by the employer or the supervisor of the individual after an assessment of his or her performance.</t>
  </si>
  <si>
    <t>Evaluation Sequence</t>
  </si>
  <si>
    <t>An indication of the sequence of the evaluation.</t>
  </si>
  <si>
    <t>Experience Type</t>
  </si>
  <si>
    <t>The nature of an individual's work experience.</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</si>
  <si>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</si>
  <si>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</si>
  <si>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</si>
  <si>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</si>
  <si>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</si>
  <si>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Exterior Walls</t>
  </si>
  <si>
    <t>The covering, structural or not, of the exterior building walls.</t>
  </si>
  <si>
    <t>Exterior Window Frame Material</t>
  </si>
  <si>
    <t>The building material used to construct window frames.</t>
  </si>
  <si>
    <t>Exterior Windows Design Type</t>
  </si>
  <si>
    <t>The type of window design, defined by how it operates.</t>
  </si>
  <si>
    <t>Facilities Capital Activity Type</t>
  </si>
  <si>
    <t>The type of activity that is included in the capital financing and expenditures by virtue of a bond referendum or an appropriation.</t>
  </si>
  <si>
    <t>Facilities Capital Budget</t>
  </si>
  <si>
    <t>The legally approved budget amount for capital finance and expenditures by virtue of a bond referendum or an appropriation.</t>
  </si>
  <si>
    <t>Facilities Operating Budget</t>
  </si>
  <si>
    <t>The estimated annual budget for the facility operation.</t>
  </si>
  <si>
    <t>Facilities Operations Type</t>
  </si>
  <si>
    <t>The type of facilities operations coded into the operating budget.</t>
  </si>
  <si>
    <t>Facilities Plan Cost</t>
  </si>
  <si>
    <t>The estimated total amount of the facilities plan.</t>
  </si>
  <si>
    <t>Facility area</t>
  </si>
  <si>
    <t>The total gross square footage of the building or buildings located on a single site.</t>
  </si>
  <si>
    <t>Facility Type</t>
  </si>
  <si>
    <t>The functional or organizational classification of a function of a facility.</t>
  </si>
  <si>
    <t>Facility utilization</t>
  </si>
  <si>
    <t>A point in time percentage measure of how much of a facility's enrollment capacity is being used.</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</si>
  <si>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</si>
  <si>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</si>
  <si>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</si>
  <si>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</si>
  <si>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Family Involvement Activities</t>
  </si>
  <si>
    <t>Areas in which a program offers opportunities for family involvement.</t>
  </si>
  <si>
    <t>Family Needs Assessment Method</t>
  </si>
  <si>
    <t>The process for assessing a family''s needs, resources, and concerns, relative to their child''s need for services.</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</si>
  <si>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</si>
  <si>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</si>
  <si>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</si>
  <si>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</si>
  <si>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Family''s Primary Insurance Type</t>
  </si>
  <si>
    <t>An indication of the type of insurance covering an individual''s household for hospitalization and other health or medical care.</t>
  </si>
  <si>
    <t>Family''s Secondary Insurance Status</t>
  </si>
  <si>
    <t>An indication of the type of secondary insurance covering an individual''s household for hospitalization and other health or medical care.</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</si>
  <si>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</si>
  <si>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</si>
  <si>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</si>
  <si>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</si>
  <si>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</si>
  <si>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</si>
  <si>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Fee Payment Type</t>
  </si>
  <si>
    <t>The type of charges required of a student for items not covered by tuition for a specified time period while in attendance.</t>
  </si>
  <si>
    <t>Fee-for-Service Funding Amount</t>
  </si>
  <si>
    <t>Amount of funding the Early Intervention program collects from family fees.</t>
  </si>
  <si>
    <t>Feeder pattern</t>
  </si>
  <si>
    <t>A student assignment enrollment pathway based on creating continuity of grade end in one school and grade start at another school within the same district.</t>
  </si>
  <si>
    <t>Finance Options</t>
  </si>
  <si>
    <t>An alternative method to raise revenue and structure financing of school construction or improvements.</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</si>
  <si>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</si>
  <si>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</si>
  <si>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</si>
  <si>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</si>
  <si>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</si>
  <si>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</si>
  <si>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Financial Assistance Source</t>
  </si>
  <si>
    <t>The funding source of financial assistance awarded to a student for his or her education.</t>
  </si>
  <si>
    <t>Financial Assistance Type</t>
  </si>
  <si>
    <t>A designation of the specific category of financial assistance awarded to a student.</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</si>
  <si>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</si>
  <si>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</si>
  <si>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</si>
  <si>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</si>
  <si>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</si>
  <si>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</si>
  <si>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</si>
  <si>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</si>
  <si>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</si>
  <si>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</si>
  <si>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</si>
  <si>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</si>
  <si>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</si>
  <si>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</si>
  <si>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</si>
  <si>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</si>
  <si>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Form Date</t>
  </si>
  <si>
    <t>The month, day, and year on which the required tax form is filled out by the individual.</t>
  </si>
  <si>
    <t>Form Type</t>
  </si>
  <si>
    <t>An indication of the type of form that is required to be filled out by an individual for tax records.</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</si>
  <si>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</si>
  <si>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</si>
  <si>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</si>
  <si>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</si>
  <si>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</si>
  <si>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</si>
  <si>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Frequency of Accreditation/Evaluation</t>
  </si>
  <si>
    <t>The timing of accreditation/evaluation efforts.</t>
  </si>
  <si>
    <t>Fringe Benefit Type</t>
  </si>
  <si>
    <t>An indication of the type of compensation or benefit in a form other than direct wages, provided in whole or in part by an employer to the employee.</t>
  </si>
  <si>
    <t>FTP Address</t>
  </si>
  <si>
    <t>The File Transfer Protocol address to let users find particular files on servers connected to the internet</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</si>
  <si>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</si>
  <si>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</si>
  <si>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</si>
  <si>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</si>
  <si>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</si>
  <si>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</si>
  <si>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</si>
  <si>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 as measured by a facility condition index not greater than 15%.</t>
  </si>
  <si>
    <t>Future Entry Date</t>
  </si>
  <si>
    <t>The month, date, and year on which an individual is anticipated to being receiving instructional services.</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</si>
  <si>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</si>
  <si>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</si>
  <si>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</si>
  <si>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</si>
  <si>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</si>
  <si>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</si>
  <si>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GPS Position</t>
  </si>
  <si>
    <t>The global positioning system location.</t>
  </si>
  <si>
    <t>Grade Level Assessed</t>
  </si>
  <si>
    <t>The grade level or grade spans assessed.</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</si>
  <si>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</si>
  <si>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</si>
  <si>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</si>
  <si>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</si>
  <si>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</si>
  <si>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</si>
  <si>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</si>
  <si>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</si>
  <si>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</si>
  <si>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</si>
  <si>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</si>
  <si>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</si>
  <si>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</si>
  <si>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</si>
  <si>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</si>
  <si>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</si>
  <si>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</si>
  <si>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</si>
  <si>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</si>
  <si>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</si>
  <si>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</si>
  <si>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</si>
  <si>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</si>
  <si>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</si>
  <si>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</si>
  <si>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</si>
  <si>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</si>
  <si>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</si>
  <si>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Hazardous Components Abatement</t>
  </si>
  <si>
    <t>A description of the removal and control of hazardous materials from a construction site.</t>
  </si>
  <si>
    <t>Head of Household</t>
  </si>
  <si>
    <t>The individual with primary responsibility for the maintenance of a residence.</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</si>
  <si>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</si>
  <si>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</si>
  <si>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</si>
  <si>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</si>
  <si>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</si>
  <si>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</si>
  <si>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</si>
  <si>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</si>
  <si>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Home Day Care Status</t>
  </si>
  <si>
    <t>An indication of the presence of other "non-sibling children" receiving care, education, and/or services with the child.</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</si>
  <si>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</si>
  <si>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</si>
  <si>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</si>
  <si>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</si>
  <si>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</si>
  <si>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</si>
  <si>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</si>
  <si>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</si>
  <si>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</si>
  <si>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</si>
  <si>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</si>
  <si>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</si>
  <si>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</si>
  <si>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</si>
  <si>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</si>
  <si>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</si>
  <si>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</si>
  <si>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</si>
  <si>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Identification Results</t>
  </si>
  <si>
    <t>Information gathered by a qualified evaluator about an individual's need for a special program/service.</t>
  </si>
  <si>
    <t>IFSP Goals Met</t>
  </si>
  <si>
    <t>Number of IFSP goals a child has met.</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</si>
  <si>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</si>
  <si>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</si>
  <si>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</si>
  <si>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</si>
  <si>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</si>
  <si>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</si>
  <si>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</si>
  <si>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</si>
  <si>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</si>
  <si>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</si>
  <si>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</si>
  <si>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</si>
  <si>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</si>
  <si>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</si>
  <si>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</si>
  <si>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</si>
  <si>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</si>
  <si>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</si>
  <si>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</si>
  <si>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</si>
  <si>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</si>
  <si>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</si>
  <si>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</si>
  <si>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Incident Recording Mechanism</t>
  </si>
  <si>
    <t>The mechanism by which evidence of an incident or offense may have been recorded (e.g., a hallway video camera, e-mail server, or police report.)</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</si>
  <si>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</si>
  <si>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</si>
  <si>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</si>
  <si>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</si>
  <si>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</si>
  <si>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</si>
  <si>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</si>
  <si>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</si>
  <si>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</si>
  <si>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</si>
  <si>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</si>
  <si>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</si>
  <si>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</si>
  <si>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</si>
  <si>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</si>
  <si>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</si>
  <si>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Instructional Minutes in Period</t>
  </si>
  <si>
    <t>The number of minutes to be counted for instruction for the bell period.</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</si>
  <si>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</si>
  <si>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</si>
  <si>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</si>
  <si>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</si>
  <si>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</si>
  <si>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</si>
  <si>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</si>
  <si>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</si>
  <si>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</si>
  <si>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</si>
  <si>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</si>
  <si>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</si>
  <si>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Interior Wall Finish</t>
  </si>
  <si>
    <t>The type of covering, structural or not, of the interior walls.</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</si>
  <si>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</si>
  <si>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</si>
  <si>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</si>
  <si>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</si>
  <si>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</si>
  <si>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</si>
  <si>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</si>
  <si>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</si>
  <si>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</si>
  <si>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</si>
  <si>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</si>
  <si>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</si>
  <si>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</si>
  <si>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</si>
  <si>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</si>
  <si>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</si>
  <si>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</si>
  <si>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</si>
  <si>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</si>
  <si>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</si>
  <si>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</si>
  <si>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</si>
  <si>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</si>
  <si>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</si>
  <si>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Job Type</t>
  </si>
  <si>
    <t>The type of trade needed to meet work order job requirements.</t>
  </si>
  <si>
    <t>Knife Type</t>
  </si>
  <si>
    <t>The type of knife used as a weapon.</t>
  </si>
  <si>
    <t>Laborer Job Classification</t>
  </si>
  <si>
    <t>LAN Bandwidth Within the Building</t>
  </si>
  <si>
    <t>The speed of the local area network, the interconnected system of computers and/or peripheral equipment that is confined to a limited area and enables users to communicate and share information and resources.</t>
  </si>
  <si>
    <t>Languages Other Than English</t>
  </si>
  <si>
    <t>An indicator that an individual speaks or uses a language other than English.</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</si>
  <si>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</si>
  <si>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</si>
  <si>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</si>
  <si>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</si>
  <si>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</si>
  <si>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</si>
  <si>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</si>
  <si>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</si>
  <si>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Learning Standard Item</t>
  </si>
  <si>
    <t>The learning standard to which the assessment is aligned.</t>
  </si>
  <si>
    <t>Learning Standard Number</t>
  </si>
  <si>
    <t>This is the specific number of the standard.</t>
  </si>
  <si>
    <t>Learnng Standard Document Date</t>
  </si>
  <si>
    <t>The date of the Learning Standard document.</t>
  </si>
  <si>
    <t>Lease Type (Equipment)</t>
  </si>
  <si>
    <t>The type of agreement that allows the use and possession of equipment or equipment systems from a third party in return for a regularly scheduled installment payment over an agreed-upon period.</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</si>
  <si>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</si>
  <si>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</si>
  <si>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</si>
  <si>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</si>
  <si>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</si>
  <si>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</si>
  <si>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</si>
  <si>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</si>
  <si>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</si>
  <si>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</si>
  <si>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Leave Substitution Status</t>
  </si>
  <si>
    <t>An indication of the type of substitution provided for an individual's job assignment during the period of his/her absence.</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</si>
  <si>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</si>
  <si>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</si>
  <si>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</si>
  <si>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</si>
  <si>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</si>
  <si>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</si>
  <si>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</si>
  <si>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</si>
  <si>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</si>
  <si>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</si>
  <si>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</si>
  <si>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</si>
  <si>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</si>
  <si>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</si>
  <si>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</si>
  <si>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</si>
  <si>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</si>
  <si>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</si>
  <si>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</si>
  <si>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</si>
  <si>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</si>
  <si>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</si>
  <si>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</si>
  <si>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</si>
  <si>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</si>
  <si>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</si>
  <si>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</si>
  <si>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</si>
  <si>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</si>
  <si>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</si>
  <si>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</si>
  <si>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</si>
  <si>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</si>
  <si>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</si>
  <si>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</si>
  <si>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</si>
  <si>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</si>
  <si>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</si>
  <si>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</si>
  <si>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Local Funding Type</t>
  </si>
  <si>
    <t>The type of funding from local entities that serves public health, education, social services, developmental disabilities, or other.</t>
  </si>
  <si>
    <t>Locale Code</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</si>
  <si>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</si>
  <si>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</si>
  <si>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</si>
  <si>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</si>
  <si>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The condition of an individual with regard to marriage.</t>
  </si>
  <si>
    <t>Marital Status for Tax Withholding</t>
  </si>
  <si>
    <t>An indication of the marital condition of an individual for tax purposes.</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</si>
  <si>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</si>
  <si>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</si>
  <si>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</si>
  <si>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</si>
  <si>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</si>
  <si>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</si>
  <si>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</si>
  <si>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</si>
  <si>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</si>
  <si>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The most number of seats the class can maintain.</t>
  </si>
  <si>
    <t>Meal Menu Planning Approach Type</t>
  </si>
  <si>
    <t>The type of menu planning approach used to plan healthful and appealing meals for the student body.</t>
  </si>
  <si>
    <t>Meal Payment Method (Reimbursable/Non-reimbursable)</t>
  </si>
  <si>
    <t>The type of meal payment method (reimbursable/non-reimbursable) associated with a particular individual transaction.</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</si>
  <si>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</si>
  <si>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</si>
  <si>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</si>
  <si>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</si>
  <si>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Meal Service Components</t>
  </si>
  <si>
    <t>The components of the meal service.</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</si>
  <si>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</si>
  <si>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</si>
  <si>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</si>
  <si>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</si>
  <si>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</si>
  <si>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</si>
  <si>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</si>
  <si>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</si>
  <si>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Meal Type</t>
  </si>
  <si>
    <t>The type of meal or food service attributable to a particular transaction.</t>
  </si>
  <si>
    <t>Means of Introduction for Employment</t>
  </si>
  <si>
    <t>The manner in which an individual was initially introduced to an employer or the way in which the employer became aware of an individual's availability for employment.</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</si>
  <si>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</si>
  <si>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</si>
  <si>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</si>
  <si>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</si>
  <si>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</si>
  <si>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</si>
  <si>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</si>
  <si>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</si>
  <si>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</si>
  <si>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</si>
  <si>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</si>
  <si>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</si>
  <si>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</si>
  <si>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</si>
  <si>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</si>
  <si>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</si>
  <si>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</si>
  <si>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</si>
  <si>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</si>
  <si>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</si>
  <si>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</si>
  <si>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</si>
  <si>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</si>
  <si>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</si>
  <si>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</si>
  <si>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</si>
  <si>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</si>
  <si>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</si>
  <si>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</si>
  <si>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</si>
  <si>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Metro Status Code (MSC)</t>
  </si>
  <si>
    <t>The classification of the institution's service area relative to a Metropolitan Statistical Area (MSA).</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</si>
  <si>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</si>
  <si>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</si>
  <si>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</si>
  <si>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</si>
  <si>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</si>
  <si>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</si>
  <si>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Migrant Classification Subgroup</t>
  </si>
  <si>
    <t>An indication of the status of a migrant student, as further specified by the migratory pattern (e.g., interstate or intrastate) and industry (e.g., agriculture or fishing) by which his or her family is influenced.</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</si>
  <si>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</si>
  <si>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</si>
  <si>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</si>
  <si>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</si>
  <si>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</si>
  <si>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</si>
  <si>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</si>
  <si>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</si>
  <si>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</si>
  <si>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</si>
  <si>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</si>
  <si>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</si>
  <si>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Military Discharge Date</t>
  </si>
  <si>
    <t>The month, day, and year on which an individual was discharged from the military service.</t>
  </si>
  <si>
    <t>Military Discharge Type</t>
  </si>
  <si>
    <t>The type of discharge that an individual was granted upon leaving the Armed Forces.</t>
  </si>
  <si>
    <t>Military Duty Status</t>
  </si>
  <si>
    <t>The current military status of an individual.</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</si>
  <si>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</si>
  <si>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</si>
  <si>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</si>
  <si>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</si>
  <si>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</si>
  <si>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</si>
  <si>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</si>
  <si>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</si>
  <si>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Minor/Adult Status</t>
  </si>
  <si>
    <t>A person's status in relation to legal adulthood as specified by state law.</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</si>
  <si>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</si>
  <si>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</si>
  <si>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</si>
  <si>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</si>
  <si>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Movable Furnishings</t>
  </si>
  <si>
    <t>Furniture which is not permanently installed in a space and can be relocated by simply carrying it from one location to another.</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</si>
  <si>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</si>
  <si>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</si>
  <si>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</si>
  <si>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</si>
  <si>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</si>
  <si>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</si>
  <si>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</si>
  <si>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</si>
  <si>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</si>
  <si>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</si>
  <si>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</si>
  <si>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</si>
  <si>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</si>
  <si>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</si>
  <si>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</si>
  <si>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</si>
  <si>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Network Connection Type</t>
  </si>
  <si>
    <t>The type of link between a computer and an external network.</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</si>
  <si>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</si>
  <si>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</si>
  <si>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</si>
  <si>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</si>
  <si>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</si>
  <si>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</si>
  <si>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</si>
  <si>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</si>
  <si>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</si>
  <si>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</si>
  <si>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</si>
  <si>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</si>
  <si>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Non-parental Caregiver/Early Childhood Program Provider</t>
  </si>
  <si>
    <t>A description of the individual or institution which provides care, education, and/or services to the child.</t>
  </si>
  <si>
    <t>Non-resident Attendance Rationale</t>
  </si>
  <si>
    <t>The reason that the student attends a school outside of his or her usual attendance area.</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</si>
  <si>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</si>
  <si>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</si>
  <si>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</si>
  <si>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</si>
  <si>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</si>
  <si>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</si>
  <si>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</si>
  <si>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</si>
  <si>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</si>
  <si>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</si>
  <si>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</si>
  <si>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</si>
  <si>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Nontax Revenue Type</t>
  </si>
  <si>
    <t>The source of revenue for capital projects that are voluntarily contributed.</t>
  </si>
  <si>
    <t>Norming Period</t>
  </si>
  <si>
    <t>The time of year when the assessment was given to a sample of students for the purpose of establishing a standard of performance for that group of students (e.g., fall, mid-year, or spring).</t>
  </si>
  <si>
    <t>Notice of Recommended Educational Placement Date</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</si>
  <si>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</si>
  <si>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</si>
  <si>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</si>
  <si>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</si>
  <si>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</si>
  <si>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</si>
  <si>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</si>
  <si>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</si>
  <si>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</si>
  <si>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</si>
  <si>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</si>
  <si>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</si>
  <si>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</si>
  <si>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</si>
  <si>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</si>
  <si>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</si>
  <si>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</si>
  <si>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</si>
  <si>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</si>
  <si>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</si>
  <si>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</si>
  <si>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</si>
  <si>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Tracks</t>
  </si>
  <si>
    <t>The number of tracks in a year-round school.</t>
  </si>
  <si>
    <t>Number of Units Required for Credential Renewal</t>
  </si>
  <si>
    <t>The number of professional development or re-certification units required to renew a credential.</t>
  </si>
  <si>
    <t>Obscene Behavior Violation</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</si>
  <si>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</si>
  <si>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</si>
  <si>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</si>
  <si>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</si>
  <si>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</si>
  <si>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</si>
  <si>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</si>
  <si>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</si>
  <si>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</si>
  <si>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Operative Job Classification</t>
  </si>
  <si>
    <t>Optimum Number of Seats</t>
  </si>
  <si>
    <t>Originating Location of Instruction/Service</t>
  </si>
  <si>
    <t>The type of location from which the instruction or service originates.</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</si>
  <si>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</si>
  <si>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</si>
  <si>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</si>
  <si>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</si>
  <si>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Other equipment</t>
  </si>
  <si>
    <t>Equipment that is installed for special safety reasons, such as fume hoods in the science rooms.</t>
  </si>
  <si>
    <t>Other Site Systems and Equipment</t>
  </si>
  <si>
    <t>Description of additional site systems and equipment necessary for site development.</t>
  </si>
  <si>
    <t>Overall Diagnosis/Interpretation of Hearing</t>
  </si>
  <si>
    <t>An appraisal of an individual's hearing, including consideration of both test results and other factors.</t>
  </si>
  <si>
    <t>Overall Diagnosis/Interpretation of Speech and Language</t>
  </si>
  <si>
    <t>An appraisal of an individual's speech and language, including consideration of both test results and other factors.</t>
  </si>
  <si>
    <t>Overall Diagnosis/Interpretation of Vision</t>
  </si>
  <si>
    <t>An appraisal of an individual's vision, including consideration of both test results and other factors.</t>
  </si>
  <si>
    <t>Overall Health Status</t>
  </si>
  <si>
    <t>The state of a child''s physical, mental, and social well-being and not merely the absence of disease or infirmity.</t>
  </si>
  <si>
    <t>Overtime Identifier</t>
  </si>
  <si>
    <t>The amount of time at which an individual begins to earn overtime pay rather than base pay.</t>
  </si>
  <si>
    <t>Ownership Entity Type</t>
  </si>
  <si>
    <t>The public or private entity that holds legal title to the building and/or site.</t>
  </si>
  <si>
    <t xml:space="preserve">Authorizing Entity Type
</t>
  </si>
  <si>
    <t>Paraprofessionals Job Classification</t>
  </si>
  <si>
    <t>A general job classification that describes staff that staff work alongside and assists professional individuals.</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</si>
  <si>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</si>
  <si>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</si>
  <si>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</si>
  <si>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</si>
  <si>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</si>
  <si>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</si>
  <si>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</si>
  <si>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</si>
  <si>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</si>
  <si>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</si>
  <si>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</si>
  <si>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</si>
  <si>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</si>
  <si>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</si>
  <si>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</si>
  <si>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</si>
  <si>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</si>
  <si>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</si>
  <si>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</si>
  <si>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</si>
  <si>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</si>
  <si>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</si>
  <si>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</si>
  <si>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</si>
  <si>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Payroll Tax Treatment Status</t>
  </si>
  <si>
    <t>An indication of whether a payroll deduction is made prior to or after taxes have been withheld, according to rules of the taxing authorities.</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</si>
  <si>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</si>
  <si>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</si>
  <si>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</si>
  <si>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</si>
  <si>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</si>
  <si>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</si>
  <si>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</si>
  <si>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</si>
  <si>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</si>
  <si>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</si>
  <si>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</si>
  <si>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</si>
  <si>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</si>
  <si>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</si>
  <si>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</si>
  <si>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</si>
  <si>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</si>
  <si>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</si>
  <si>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</si>
  <si>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</si>
  <si>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</si>
  <si>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</si>
  <si>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</si>
  <si>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</si>
  <si>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</si>
  <si>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</si>
  <si>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Planned Assessment Participation</t>
  </si>
  <si>
    <t>The student''s planned level of participation in statewide assessments.</t>
  </si>
  <si>
    <t>Points/Mark Assistance</t>
  </si>
  <si>
    <t>An indication of the points/mark were earned with assistance.</t>
  </si>
  <si>
    <t>Points/Mark Value</t>
  </si>
  <si>
    <t>Points/Mark Value Description</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</si>
  <si>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</si>
  <si>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</si>
  <si>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</si>
  <si>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</si>
  <si>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</si>
  <si>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</si>
  <si>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</si>
  <si>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</si>
  <si>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</si>
  <si>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</si>
  <si>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</si>
  <si>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</si>
  <si>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Postsecondary Subject Matter Area</t>
  </si>
  <si>
    <t>The descriptive name of an academic or vocational discipline studied by an individual in an educational program or staff development activity. (Note: Refer to the NCES Classification of Instructional Programs).</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</si>
  <si>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</si>
  <si>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</si>
  <si>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</si>
  <si>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</si>
  <si>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</si>
  <si>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</si>
  <si>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</si>
  <si>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</si>
  <si>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</si>
  <si>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</si>
  <si>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</si>
  <si>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</si>
  <si>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</si>
  <si>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</si>
  <si>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</si>
  <si>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</si>
  <si>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</si>
  <si>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</si>
  <si>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</si>
  <si>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</si>
  <si>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</si>
  <si>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</si>
  <si>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</si>
  <si>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</si>
  <si>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</si>
  <si>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</si>
  <si>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</si>
  <si>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</si>
  <si>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</si>
  <si>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</si>
  <si>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</si>
  <si>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</si>
  <si>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</si>
  <si>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</si>
  <si>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</si>
  <si>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</si>
  <si>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</si>
  <si>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</si>
  <si>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Program Beginning Date</t>
  </si>
  <si>
    <t>The month, day, and year on which the program or activity begins.</t>
  </si>
  <si>
    <t>Program Beneficiary</t>
  </si>
  <si>
    <t>The audience(s) for which the program is intended.</t>
  </si>
  <si>
    <t>Program Benefit Targeting Type</t>
  </si>
  <si>
    <t>Degree and focus of the activities and services an individual, group of individuals, or organization receives as a result of a program.</t>
  </si>
  <si>
    <t>Program Characterization</t>
  </si>
  <si>
    <t>The description of the program of work, series of courses, individual course, or training program in which an individual is involved.</t>
  </si>
  <si>
    <t>Program Delivery Structure</t>
  </si>
  <si>
    <t>The regularity with which a program is provided.</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</si>
  <si>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</si>
  <si>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</si>
  <si>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</si>
  <si>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</si>
  <si>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</si>
  <si>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</si>
  <si>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</si>
  <si>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</si>
  <si>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</si>
  <si>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</si>
  <si>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Program Ending Date</t>
  </si>
  <si>
    <t>The month, day, and year on which the program or activity ends.</t>
  </si>
  <si>
    <t>Program Frequency</t>
  </si>
  <si>
    <t>The actual (fixed) or average (variable) number of days per week that a program is provided to an individual or group of individuals.</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</si>
  <si>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</si>
  <si>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</si>
  <si>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</si>
  <si>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</si>
  <si>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</si>
  <si>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</si>
  <si>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</si>
  <si>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</si>
  <si>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</si>
  <si>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</si>
  <si>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</si>
  <si>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</si>
  <si>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</si>
  <si>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</si>
  <si>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</si>
  <si>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</si>
  <si>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</si>
  <si>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</si>
  <si>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Program Participation Reason</t>
  </si>
  <si>
    <t>Identified status or reason that a student needs special or supplemental services.</t>
  </si>
  <si>
    <t>Program Placement Date</t>
  </si>
  <si>
    <t>Program Plan Date</t>
  </si>
  <si>
    <t>Date the most recent program plan was completed and approved by the team responsible for developing it.</t>
  </si>
  <si>
    <t>Program Plan Effective Date</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</si>
  <si>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</si>
  <si>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</si>
  <si>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</si>
  <si>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</si>
  <si>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</si>
  <si>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</si>
  <si>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</si>
  <si>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</si>
  <si>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</si>
  <si>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</si>
  <si>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school capture</t>
  </si>
  <si>
    <t>The description of the share of children born within an area who end up starting kindergarten in the district-assigned school five years after birth.</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</si>
  <si>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</si>
  <si>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</si>
  <si>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</si>
  <si>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</si>
  <si>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Purchase Date</t>
  </si>
  <si>
    <t>The date the equipment was purchased.</t>
  </si>
  <si>
    <t>Purpose of Assessment Special Accommodation</t>
  </si>
  <si>
    <t>The primary reason the special accommodation for the assessment was offered to a student.</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</si>
  <si>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</si>
  <si>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</si>
  <si>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</si>
  <si>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</si>
  <si>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</si>
  <si>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</si>
  <si>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</si>
  <si>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</si>
  <si>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</si>
  <si>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</si>
  <si>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</si>
  <si>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</si>
  <si>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Readiness for Assignment of Greater Responsibility</t>
  </si>
  <si>
    <t>The degree to which an individual's capabilities would permit successful performance in an assignment of greater responsibility if and when such a position becomes available.</t>
  </si>
  <si>
    <t>Reason for Closure</t>
  </si>
  <si>
    <t>A description of the reason or reasons for temporary or permanent closure.</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</si>
  <si>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</si>
  <si>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</si>
  <si>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</si>
  <si>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</si>
  <si>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Reason for Variation</t>
  </si>
  <si>
    <t>Information that describes and explains aspects of service delivery that varied from recommendations.</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</si>
  <si>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</si>
  <si>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</si>
  <si>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</si>
  <si>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</si>
  <si>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</si>
  <si>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</si>
  <si>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</si>
  <si>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</si>
  <si>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</si>
  <si>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</si>
  <si>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</si>
  <si>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</si>
  <si>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</si>
  <si>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</si>
  <si>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</si>
  <si>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</si>
  <si>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Referral Purpose</t>
  </si>
  <si>
    <t>The general reason an individual was referred for examination and assistance.</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</si>
  <si>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</si>
  <si>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</si>
  <si>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</si>
  <si>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</si>
  <si>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</si>
  <si>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</si>
  <si>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</si>
  <si>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</si>
  <si>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</si>
  <si>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</si>
  <si>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</si>
  <si>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</si>
  <si>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</si>
  <si>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</si>
  <si>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</si>
  <si>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</si>
  <si>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</si>
  <si>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</si>
  <si>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</si>
  <si>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</si>
  <si>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</si>
  <si>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</si>
  <si>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</si>
  <si>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</si>
  <si>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</si>
  <si>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</si>
  <si>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</si>
  <si>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</si>
  <si>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</si>
  <si>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</si>
  <si>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</si>
  <si>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</si>
  <si>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</si>
  <si>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</si>
  <si>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Title</t>
  </si>
  <si>
    <t>The description of the name or contents of the report.</t>
  </si>
  <si>
    <t>Report Type</t>
  </si>
  <si>
    <t>The type of report expected to be completed.</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</si>
  <si>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</si>
  <si>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</si>
  <si>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</si>
  <si>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</si>
  <si>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</si>
  <si>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</si>
  <si>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</si>
  <si>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</si>
  <si>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</si>
  <si>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</si>
  <si>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</si>
  <si>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</si>
  <si>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</si>
  <si>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</si>
  <si>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</si>
  <si>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</si>
  <si>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</si>
  <si>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</si>
  <si>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</si>
  <si>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</si>
  <si>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</si>
  <si>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</si>
  <si>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</si>
  <si>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</si>
  <si>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</si>
  <si>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</si>
  <si>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</si>
  <si>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</si>
  <si>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</si>
  <si>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</si>
  <si>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</si>
  <si>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</si>
  <si>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</si>
  <si>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</si>
  <si>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</si>
  <si>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</si>
  <si>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</si>
  <si>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</si>
  <si>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</si>
  <si>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</si>
  <si>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</si>
  <si>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</si>
  <si>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</si>
  <si>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</si>
  <si>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</si>
  <si>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</si>
  <si>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</si>
  <si>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</si>
  <si>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</si>
  <si>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</si>
  <si>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</si>
  <si>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</si>
  <si>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Roof Construction</t>
  </si>
  <si>
    <t>The uppermost exterior plane of a building structure.</t>
  </si>
  <si>
    <t>Roof Covering</t>
  </si>
  <si>
    <t>The design or structure of roof. The material used as the exposed surface of the roof.</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</si>
  <si>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</si>
  <si>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</si>
  <si>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</si>
  <si>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</si>
  <si>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</si>
  <si>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</si>
  <si>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</si>
  <si>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</si>
  <si>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</si>
  <si>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</si>
  <si>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</si>
  <si>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</si>
  <si>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</si>
  <si>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</si>
  <si>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</si>
  <si>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</si>
  <si>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</si>
  <si>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</si>
  <si>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</si>
  <si>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</si>
  <si>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</si>
  <si>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</si>
  <si>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</si>
  <si>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</si>
  <si>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</si>
  <si>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</si>
  <si>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</si>
  <si>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</si>
  <si>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</si>
  <si>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</si>
  <si>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</si>
  <si>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</si>
  <si>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</si>
  <si>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</si>
  <si>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</si>
  <si>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</si>
  <si>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School Food Services Type</t>
  </si>
  <si>
    <t>The type of school food service program(s) offered to students.</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</si>
  <si>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</si>
  <si>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</si>
  <si>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</si>
  <si>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</si>
  <si>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School Threat Violation</t>
  </si>
  <si>
    <t>School Use Type</t>
  </si>
  <si>
    <t>How a building is used for education, regardless of its intent or original design.</t>
  </si>
  <si>
    <t>School/Local Education Agency Enrollment Status</t>
  </si>
  <si>
    <t>An indication as to whether an individual (e.g., a sibling) is enrolled in the same school or local education agency.</t>
  </si>
  <si>
    <t>Scope of Assignment</t>
  </si>
  <si>
    <t>The range or extent of an individual's current assignment.</t>
  </si>
  <si>
    <t>Score Interpretation Information</t>
  </si>
  <si>
    <t>The type of unusual testing conditions that must be known to properly interpret an individual's test score.</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</si>
  <si>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</si>
  <si>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</si>
  <si>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</si>
  <si>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</si>
  <si>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</si>
  <si>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</si>
  <si>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</si>
  <si>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</si>
  <si>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</si>
  <si>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</si>
  <si>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</si>
  <si>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</si>
  <si>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Section Count for Attendance</t>
  </si>
  <si>
    <t>An indicator of whether attendance in this section is collected and used in attendance calculations.</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</si>
  <si>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</si>
  <si>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</si>
  <si>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</si>
  <si>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</si>
  <si>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</si>
  <si>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</si>
  <si>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Service and Pedestrian Tunnels</t>
  </si>
  <si>
    <t>A description of passageways above- and below-ground that must be completed during site development.</t>
  </si>
  <si>
    <t>Service Category</t>
  </si>
  <si>
    <t>The type of service, typically designated by a state.</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</si>
  <si>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</si>
  <si>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</si>
  <si>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</si>
  <si>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</si>
  <si>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</si>
  <si>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</si>
  <si>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</si>
  <si>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</si>
  <si>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</si>
  <si>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</si>
  <si>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</si>
  <si>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</si>
  <si>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</si>
  <si>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</si>
  <si>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Service work Job Classification</t>
  </si>
  <si>
    <t>A general job classification that describes staff that performs tasks regardless of level of difficulty which relates to both protective and nonprotective supportive services.</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</si>
  <si>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</si>
  <si>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</si>
  <si>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</si>
  <si>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</si>
  <si>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</si>
  <si>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</si>
  <si>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</si>
  <si>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</si>
  <si>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</si>
  <si>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</si>
  <si>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Electrical Utilities</t>
  </si>
  <si>
    <t>The exterior site related eletrical systems and components.</t>
  </si>
  <si>
    <t>Site Improvements</t>
  </si>
  <si>
    <t>Designed and constructed modifications to a site.</t>
  </si>
  <si>
    <t>Site Preparation</t>
  </si>
  <si>
    <t>Activities required to physically prepare a site for construction.</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</si>
  <si>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</si>
  <si>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</si>
  <si>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</si>
  <si>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</si>
  <si>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</si>
  <si>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</si>
  <si>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</si>
  <si>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</si>
  <si>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</si>
  <si>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</si>
  <si>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</si>
  <si>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</si>
  <si>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</si>
  <si>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</si>
  <si>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</si>
  <si>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</si>
  <si>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</si>
  <si>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</si>
  <si>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</si>
  <si>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</si>
  <si>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</si>
  <si>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</si>
  <si>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</si>
  <si>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</si>
  <si>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</si>
  <si>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</si>
  <si>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</si>
  <si>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</si>
  <si>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</si>
  <si>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</si>
  <si>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</si>
  <si>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</si>
  <si>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</si>
  <si>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</si>
  <si>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</si>
  <si>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</si>
  <si>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</si>
  <si>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Standardization Group</t>
  </si>
  <si>
    <t>The group for which the scores of an assessment have been standardized for use in interpreting the results.</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</si>
  <si>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</si>
  <si>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</si>
  <si>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</si>
  <si>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</si>
  <si>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</si>
  <si>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</si>
  <si>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</si>
  <si>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</si>
  <si>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State Funding Type</t>
  </si>
  <si>
    <t>The type of funding state agencies such as public health, education, social services, developmental disabilities, or other.</t>
  </si>
  <si>
    <t>State Higher Education Course Requirement</t>
  </si>
  <si>
    <t>Code indicating that the course meets the state university admissions requirements for a particular subject area.</t>
  </si>
  <si>
    <t>State Transportation Aid Qualification</t>
  </si>
  <si>
    <t>The qualification status of a student entitling the local education agency to receive state transportation aid.</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</si>
  <si>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</si>
  <si>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</si>
  <si>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</si>
  <si>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</si>
  <si>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</si>
  <si>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</si>
  <si>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</si>
  <si>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</si>
  <si>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</si>
  <si>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</si>
  <si>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assignment</t>
  </si>
  <si>
    <t>The designation of children to an age appropriate public school.</t>
  </si>
  <si>
    <t>Student Full-time Status</t>
  </si>
  <si>
    <t>The status given to a student in relation to the course load that he or she is carrying.</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</si>
  <si>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</si>
  <si>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</si>
  <si>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</si>
  <si>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</si>
  <si>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Student mobility</t>
  </si>
  <si>
    <t>The exit of students from a school prior to completing the last grade of the school in which they are enrolled.</t>
  </si>
  <si>
    <t>Student Progress</t>
  </si>
  <si>
    <t>Progress for a student on given learning standards or objectives. This can be represented in a percentage, narrative or any measure.</t>
  </si>
  <si>
    <t>Student Transportation Services</t>
  </si>
  <si>
    <t>Information about whether or not a student is transported to and/or from school or receives services, aid, or payment in lieu of transportation.</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</si>
  <si>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</si>
  <si>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</si>
  <si>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</si>
  <si>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</si>
  <si>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Suicide Violation</t>
  </si>
  <si>
    <t>Supplemental Pay Type</t>
  </si>
  <si>
    <t>An indication of the type of additional monetary compensation to an individual for his or her performance, position, additional duties or responsibilities, professional development or qualification, or extended time of work.</t>
  </si>
  <si>
    <t>Surplus Date</t>
  </si>
  <si>
    <t>The date the equipment was put into surplus.</t>
  </si>
  <si>
    <t>Tax Revenue Type</t>
  </si>
  <si>
    <t>The tax revenue designated for repaying school construction bonds.</t>
  </si>
  <si>
    <t>Teacher Involvement in Assessment Development</t>
  </si>
  <si>
    <t>The way in which teachers were involved in the development and/or scoring of the assessment.</t>
  </si>
  <si>
    <t>Teaching Assignment</t>
  </si>
  <si>
    <t>The teaching field taught by an individual.</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</si>
  <si>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</si>
  <si>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</si>
  <si>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</si>
  <si>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Technology Equipment</t>
  </si>
  <si>
    <t>The type of technology equipment.</t>
  </si>
  <si>
    <t>Technology Equipment Networking</t>
  </si>
  <si>
    <t>The networks to which the technology equipment is connected.</t>
  </si>
  <si>
    <t>Technology Equipment Use Purpose</t>
  </si>
  <si>
    <t>An indication whether a piece of technology equipment is for one specific use purpose.</t>
  </si>
  <si>
    <t>Technology Skills Assessed</t>
  </si>
  <si>
    <t>An indication that the individual was assessed against the standards-based performance profiles of technology user skills as defined by the state.</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</si>
  <si>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</si>
  <si>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</si>
  <si>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</si>
  <si>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</si>
  <si>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</si>
  <si>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</si>
  <si>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</si>
  <si>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</si>
  <si>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Theft Violation</t>
  </si>
  <si>
    <t>The unlawful taking of property belonging to another person or entity (e.g., school) without threat, violence or bodily harm. Electronic theft of data should be coded here. Do not include dealing in stolen goods in this category.</t>
  </si>
  <si>
    <t>Threat/Intimidation Violation</t>
  </si>
  <si>
    <t>Physical, verbal, written, or electronic action which immediately creates fear of harm, without displaying a weapon and without subjecting the victim to actual physical attack.</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</si>
  <si>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</si>
  <si>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</si>
  <si>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</si>
  <si>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</si>
  <si>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</si>
  <si>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</si>
  <si>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</si>
  <si>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</si>
  <si>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</si>
  <si>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</si>
  <si>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</si>
  <si>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</si>
  <si>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</si>
  <si>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</si>
  <si>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</si>
  <si>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</si>
  <si>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</si>
  <si>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</si>
  <si>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</si>
  <si>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</si>
  <si>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</si>
  <si>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Tobacco Violation</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</si>
  <si>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</si>
  <si>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</si>
  <si>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</si>
  <si>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</si>
  <si>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</si>
  <si>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</si>
  <si>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</si>
  <si>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</si>
  <si>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</si>
  <si>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</si>
  <si>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</si>
  <si>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</si>
  <si>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</si>
  <si>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</si>
  <si>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</si>
  <si>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</si>
  <si>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</si>
  <si>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</si>
  <si>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</si>
  <si>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</si>
  <si>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</si>
  <si>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</si>
  <si>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</si>
  <si>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</si>
  <si>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</si>
  <si>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</si>
  <si>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</si>
  <si>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</si>
  <si>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</si>
  <si>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</si>
  <si>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</si>
  <si>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</si>
  <si>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</si>
  <si>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</si>
  <si>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</si>
  <si>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</si>
  <si>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</si>
  <si>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</si>
  <si>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</si>
  <si>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</si>
  <si>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</si>
  <si>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</si>
  <si>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</si>
  <si>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</si>
  <si>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</si>
  <si>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</si>
  <si>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</si>
  <si>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</si>
  <si>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</si>
  <si>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</si>
  <si>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</si>
  <si>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</si>
  <si>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</si>
  <si>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</si>
  <si>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</si>
  <si>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</si>
  <si>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</si>
  <si>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</si>
  <si>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</si>
  <si>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</si>
  <si>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</si>
  <si>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</si>
  <si>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</si>
  <si>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</si>
  <si>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</si>
  <si>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</si>
  <si>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</si>
  <si>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</si>
  <si>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</si>
  <si>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</si>
  <si>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</si>
  <si>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</si>
  <si>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</si>
  <si>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</si>
  <si>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</si>
  <si>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</si>
  <si>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</si>
  <si>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</si>
  <si>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Vandalism Violation</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</si>
  <si>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</si>
  <si>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</si>
  <si>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</si>
  <si>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</si>
  <si>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</si>
  <si>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</si>
  <si>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</si>
  <si>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</si>
  <si>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</si>
  <si>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</si>
  <si>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</si>
  <si>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</si>
  <si>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</si>
  <si>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</si>
  <si>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</si>
  <si>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</si>
  <si>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</si>
  <si>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</si>
  <si>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</si>
  <si>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</si>
  <si>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</si>
  <si>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</si>
  <si>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</si>
  <si>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</si>
  <si>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</si>
  <si>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</si>
  <si>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</si>
  <si>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</si>
  <si>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</si>
  <si>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</si>
  <si>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</si>
  <si>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</si>
  <si>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</si>
  <si>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</si>
  <si>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</si>
  <si>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</si>
  <si>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</si>
  <si>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</si>
  <si>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</si>
  <si>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</si>
  <si>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</si>
  <si>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</si>
  <si>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</si>
  <si>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</si>
  <si>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</si>
  <si>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</si>
  <si>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</si>
  <si>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</si>
  <si>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</si>
  <si>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</si>
  <si>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</si>
  <si>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</si>
  <si>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</si>
  <si>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</si>
  <si>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</si>
  <si>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</si>
  <si>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Work Experience Required</t>
  </si>
  <si>
    <t>An indication of whether the individual's work experience is required for the completion of a program of study or occupational goal.</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</si>
  <si>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</si>
  <si>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</si>
  <si>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</si>
  <si>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</si>
  <si>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</si>
  <si>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 due to the immediate or ongoing impact on the health or safety of students and staff.</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</si>
  <si>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</si>
  <si>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</si>
  <si>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</si>
  <si>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</si>
  <si>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</si>
  <si>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</si>
  <si>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</si>
  <si>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</si>
  <si>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</si>
  <si>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</si>
  <si>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</si>
  <si>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</si>
  <si>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</si>
  <si>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</si>
  <si>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</si>
  <si>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</si>
  <si>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</si>
  <si>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</si>
  <si>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</si>
  <si>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</si>
  <si>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</si>
  <si>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</si>
  <si>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</si>
  <si>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</si>
  <si>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AcademicCompletionIndicator</t>
  </si>
  <si>
    <t>An indication that the degree-seeking student completed all of the requirements for his or her academic program. Not used for Non-Degree programs.</t>
  </si>
  <si>
    <t>AcademicProgramCampus</t>
  </si>
  <si>
    <t>The preferred campus specified by the applicant for this particular program.</t>
  </si>
  <si>
    <t>AcademicProgramDegreeLevelCode</t>
  </si>
  <si>
    <t>A code to indicate the specific ranking of academic award for person.</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</si>
  <si>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</si>
  <si>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</si>
  <si>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</si>
  <si>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</si>
  <si>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</si>
  <si>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</si>
  <si>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</si>
  <si>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AcademicTrainingLevelCode</t>
  </si>
  <si>
    <t>This is the level of training approved for this Academic Training for international students on a J Visitors visa.</t>
  </si>
  <si>
    <t>AcademicTrainingStatusCode</t>
  </si>
  <si>
    <t>The code used by SEVIS to identify the current status of the Academic Training.</t>
  </si>
  <si>
    <t>AccreditingBodyCode</t>
  </si>
  <si>
    <t>This is the acronym for the regional or other accrediting body that has given accreditation to the school sending the high school transcript.</t>
  </si>
  <si>
    <t>AccreditingBodyName</t>
  </si>
  <si>
    <t>The name of the accrediting body.</t>
  </si>
  <si>
    <t>AchievementAwardYear</t>
  </si>
  <si>
    <t>The year in which the award was earned.</t>
  </si>
  <si>
    <t>AchievementAwardYearMonth</t>
  </si>
  <si>
    <t>The month and year in which the award was earned.</t>
  </si>
  <si>
    <t>AchievementCategoryCode</t>
  </si>
  <si>
    <t>The category of the area in which achievement was earned.</t>
  </si>
  <si>
    <t>AchievementTitle</t>
  </si>
  <si>
    <t>The name of the achievement or award.</t>
  </si>
  <si>
    <t>ActivityScopeCode</t>
  </si>
  <si>
    <t>The scope of the activity in which the applicant participated.</t>
  </si>
  <si>
    <t>ActivitySponsorOrganizationName</t>
  </si>
  <si>
    <t>The sponsoring organization of the activity.</t>
  </si>
  <si>
    <t>AddressUpdateDate</t>
  </si>
  <si>
    <t>Date the student’s address became effective.</t>
  </si>
  <si>
    <t>AddressValidIndicator</t>
  </si>
  <si>
    <t>Flag to inidicate that the student’s address is valid.</t>
  </si>
  <si>
    <t>AgencyCode</t>
  </si>
  <si>
    <t>AlienRegistrationNumber</t>
  </si>
  <si>
    <t>Alien Registration Number.</t>
  </si>
  <si>
    <t>AllowedAnswerText</t>
  </si>
  <si>
    <t>An answer that the applicant was provided and allowed to select.</t>
  </si>
  <si>
    <t>AnswerSelectedCode</t>
  </si>
  <si>
    <t>An indication that the student did or did not select this answer.</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</si>
  <si>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</si>
  <si>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</si>
  <si>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</si>
  <si>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</si>
  <si>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</si>
  <si>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</si>
  <si>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</si>
  <si>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</si>
  <si>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</si>
  <si>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</si>
  <si>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</si>
  <si>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</si>
  <si>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</si>
  <si>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</si>
  <si>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</si>
  <si>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</si>
  <si>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</si>
  <si>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</si>
  <si>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</si>
  <si>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</si>
  <si>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</si>
  <si>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</si>
  <si>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</si>
  <si>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</si>
  <si>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</si>
  <si>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</si>
  <si>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</si>
  <si>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</si>
  <si>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</si>
  <si>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CardExpirationDate</t>
  </si>
  <si>
    <t>The month and year when the credit or debit card is scheduled to expire.</t>
  </si>
  <si>
    <t>CardIssuerCode</t>
  </si>
  <si>
    <t>The bank or agency that issued the credit or debit card.</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</si>
  <si>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</si>
  <si>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</si>
  <si>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</si>
  <si>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</si>
  <si>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</si>
  <si>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</si>
  <si>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</si>
  <si>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</si>
  <si>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</si>
  <si>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</si>
  <si>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</si>
  <si>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</si>
  <si>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</si>
  <si>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</si>
  <si>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</si>
  <si>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</si>
  <si>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</si>
  <si>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</si>
  <si>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</si>
  <si>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</si>
  <si>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</si>
  <si>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</si>
  <si>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CitizenshipStatusCode</t>
  </si>
  <si>
    <t>Citizenship status of the family member of the applicant.</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</si>
  <si>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</si>
  <si>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</si>
  <si>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</si>
  <si>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</si>
  <si>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</si>
  <si>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</si>
  <si>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</si>
  <si>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</si>
  <si>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ContactTitle</t>
  </si>
  <si>
    <t>The position title of the contact.</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</si>
  <si>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</si>
  <si>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</si>
  <si>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</si>
  <si>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</si>
  <si>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</si>
  <si>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CourseApplicability</t>
  </si>
  <si>
    <t>The academic program to which this academic course applies toward graduation.</t>
  </si>
  <si>
    <t>CourseCreditBasis</t>
  </si>
  <si>
    <t>CourseCreditLevel</t>
  </si>
  <si>
    <t>CourseLevel</t>
  </si>
  <si>
    <t>The level of work which is reflected in the credits associated with the academic course being described or the level of the typical student taking the academic course.</t>
  </si>
  <si>
    <t>CPTStatusCode</t>
  </si>
  <si>
    <t>The code used by SEVIS to identify the current status of the Curricular Practical Training.</t>
  </si>
  <si>
    <t>CPTTrainingLevelCode</t>
  </si>
  <si>
    <t>This is the level of training approved for this CPT.</t>
  </si>
  <si>
    <t>CreditUnit</t>
  </si>
  <si>
    <t>The type of credit (unit, semester, or quarter) associated with the credit hours earned for the course.</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</si>
  <si>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</si>
  <si>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</si>
  <si>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</si>
  <si>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</si>
  <si>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</si>
  <si>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</si>
  <si>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</si>
  <si>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</si>
  <si>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DependencyStatusCode</t>
  </si>
  <si>
    <t>A code indicating if the applicant is a dependent or independent person concerning financial status.</t>
  </si>
  <si>
    <t>DesignateCode</t>
  </si>
  <si>
    <t>An indication that this person has been designated with special authority by the applicant.</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</si>
  <si>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</si>
  <si>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</si>
  <si>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</si>
  <si>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</si>
  <si>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</si>
  <si>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</si>
  <si>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EducationLevel</t>
  </si>
  <si>
    <t>The highest level of education already attained by the family member of the applicant.</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</si>
  <si>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</si>
  <si>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</si>
  <si>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</si>
  <si>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</si>
  <si>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</si>
  <si>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</si>
  <si>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</si>
  <si>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</si>
  <si>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</si>
  <si>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</si>
  <si>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</si>
  <si>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</si>
  <si>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ExchangeVisitorPositionCode</t>
  </si>
  <si>
    <t>The code assigned to the position held (or being applied for) by the international exchange visitor applicant.</t>
  </si>
  <si>
    <t>FamilyIncomeAmount</t>
  </si>
  <si>
    <t>Amount of income for the most recent year available for the applicant?s family.</t>
  </si>
  <si>
    <t>FeeWaiverBasisCode</t>
  </si>
  <si>
    <t>The source of the waiver used to satisfy the application fee assessment.</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</si>
  <si>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</si>
  <si>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</si>
  <si>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</si>
  <si>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</si>
  <si>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</si>
  <si>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</si>
  <si>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</si>
  <si>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</si>
  <si>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</si>
  <si>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</si>
  <si>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</si>
  <si>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</si>
  <si>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</si>
  <si>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</si>
  <si>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</si>
  <si>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</si>
  <si>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</si>
  <si>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</si>
  <si>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</si>
  <si>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</si>
  <si>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</si>
  <si>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</si>
  <si>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</si>
  <si>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</si>
  <si>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</si>
  <si>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</si>
  <si>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</si>
  <si>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</si>
  <si>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HonorsLevel</t>
  </si>
  <si>
    <t>A code value representing 1st highest honor, 2nd highest and 3rd highest.</t>
  </si>
  <si>
    <t>HousingInformationCode</t>
  </si>
  <si>
    <t>Additional info being requested about student housing.</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</si>
  <si>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</si>
  <si>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</si>
  <si>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</si>
  <si>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</si>
  <si>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</si>
  <si>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</si>
  <si>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</si>
  <si>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</si>
  <si>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</si>
  <si>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</si>
  <si>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</si>
  <si>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</si>
  <si>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</si>
  <si>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</si>
  <si>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IncomeTaxState</t>
  </si>
  <si>
    <t>The state to which income taxes were paid.</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</si>
  <si>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</si>
  <si>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</si>
  <si>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</si>
  <si>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</si>
  <si>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</si>
  <si>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</si>
  <si>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</si>
  <si>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</si>
  <si>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InterestedInCode</t>
  </si>
  <si>
    <t>Other programs or activities in which the student is interested and about which the applicant would like additional information.</t>
  </si>
  <si>
    <t>IssueDate</t>
  </si>
  <si>
    <t>The date of issue of the asylee or refugee document that gave the applicant the asylee or refugee status.</t>
  </si>
  <si>
    <t>IssuingCountryCode</t>
  </si>
  <si>
    <t>The SEVIS code for the country that issued the applicant?s passport.</t>
  </si>
  <si>
    <t>JobDescription</t>
  </si>
  <si>
    <t>A description of the work performed.</t>
  </si>
  <si>
    <t>LanguageProficiency</t>
  </si>
  <si>
    <t>The proficiency level of the applicant in this language.</t>
  </si>
  <si>
    <t>LanguageUsage</t>
  </si>
  <si>
    <t>Indication of person's use of the language.</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</si>
  <si>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</si>
  <si>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</si>
  <si>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</si>
  <si>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</si>
  <si>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</si>
  <si>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</si>
  <si>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LeadershipPosition</t>
  </si>
  <si>
    <t>A description of any leadership positions held by the applicant.</t>
  </si>
  <si>
    <t>LegacyAlumniCode</t>
  </si>
  <si>
    <t>An indication that a close family member previously attended the school to which the applicant is applying.</t>
  </si>
  <si>
    <t>LegacyGraduateCode</t>
  </si>
  <si>
    <t>An indication that a close family member previously graduated from the school to which the applicant is applying.</t>
  </si>
  <si>
    <t>LegalStatusCode</t>
  </si>
  <si>
    <t>A status code to determine legal status in Canada.</t>
  </si>
  <si>
    <t>MaritalStatusChangeCode</t>
  </si>
  <si>
    <t>Information related to the change in marital status of the family member of the applicant.</t>
  </si>
  <si>
    <t>MaritalStatusCode</t>
  </si>
  <si>
    <t>A code identifying marital status of this family member.</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</si>
  <si>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</si>
  <si>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</si>
  <si>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</si>
  <si>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</si>
  <si>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</si>
  <si>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</si>
  <si>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</si>
  <si>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</si>
  <si>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</si>
  <si>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</si>
  <si>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</si>
  <si>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</si>
  <si>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</si>
  <si>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</si>
  <si>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MinimumFamilyIncomeAmount</t>
  </si>
  <si>
    <t>The minimum of the range of income for the most recent year available for the applicant?s family.</t>
  </si>
  <si>
    <t>NameCode</t>
  </si>
  <si>
    <t>A code that indicates the type of name that is being described.</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</si>
  <si>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</si>
  <si>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</si>
  <si>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</si>
  <si>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</si>
  <si>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</si>
  <si>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</si>
  <si>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</si>
  <si>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</si>
  <si>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</si>
  <si>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</si>
  <si>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</si>
  <si>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</si>
  <si>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</si>
  <si>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</si>
  <si>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</si>
  <si>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</si>
  <si>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</si>
  <si>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</si>
  <si>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</si>
  <si>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</si>
  <si>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</si>
  <si>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</si>
  <si>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</si>
  <si>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</si>
  <si>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</si>
  <si>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</si>
  <si>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</si>
  <si>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</si>
  <si>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</si>
  <si>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</si>
  <si>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PassportInformationAvailableCode</t>
  </si>
  <si>
    <t>Information provided if the detailed information about the applicant?s passport is not available.</t>
  </si>
  <si>
    <t>PassportNumber</t>
  </si>
  <si>
    <t>The number assigned by the issuing country.</t>
  </si>
  <si>
    <t>PaymentMethodCode</t>
  </si>
  <si>
    <t>The method of payment or waiver being used to satisfy the assessment of the application fee.</t>
  </si>
  <si>
    <t>PlannedEnrollmentStatus</t>
  </si>
  <si>
    <t>The anticipated enrollment level of the applicant.</t>
  </si>
  <si>
    <t>PlanToApplyForCode</t>
  </si>
  <si>
    <t>Specific programs or aid for which the applicant is applying.</t>
  </si>
  <si>
    <t>Title of this employment position.</t>
  </si>
  <si>
    <t>PostsecondarySchoolCategory</t>
  </si>
  <si>
    <t>The type of postsecondary school and the control for the school.</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</si>
  <si>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</si>
  <si>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</si>
  <si>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</si>
  <si>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</si>
  <si>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</si>
  <si>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</si>
  <si>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</si>
  <si>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</si>
  <si>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</si>
  <si>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</si>
  <si>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</si>
  <si>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</si>
  <si>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</si>
  <si>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</si>
  <si>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</si>
  <si>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</si>
  <si>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</si>
  <si>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</si>
  <si>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</si>
  <si>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</si>
  <si>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</si>
  <si>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</si>
  <si>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</si>
  <si>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</si>
  <si>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</si>
  <si>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</si>
  <si>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</si>
  <si>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</si>
  <si>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QuestionFormatCode</t>
  </si>
  <si>
    <t>This would indicate the format of the question asked.</t>
  </si>
  <si>
    <t>QuestionID</t>
  </si>
  <si>
    <t>An identifier that distinguishes this question from all other questions that might be asked.</t>
  </si>
  <si>
    <t>QuestionRequiredCode</t>
  </si>
  <si>
    <t>This would indicate whether or not this was a question that the applicant was required to answer.</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</si>
  <si>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</si>
  <si>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</si>
  <si>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</si>
  <si>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</si>
  <si>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</si>
  <si>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</si>
  <si>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</si>
  <si>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</si>
  <si>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</si>
  <si>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</si>
  <si>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</si>
  <si>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</si>
  <si>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</si>
  <si>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ResidencyEstablishedDate</t>
  </si>
  <si>
    <t>The date on which the applicant or other claimant became a resident of the state, province, or county.</t>
  </si>
  <si>
    <t>ResidencyStatusCode</t>
  </si>
  <si>
    <t>The declaration made by the claimant as to his or her permanent residency.</t>
  </si>
  <si>
    <t>SchoolAppliedEmployedCode</t>
  </si>
  <si>
    <t>An indication of current or previous employment at the school to which the applicant is applying, by the applicant or a family member.</t>
  </si>
  <si>
    <t>SchoolBeganYear</t>
  </si>
  <si>
    <t>The year the family member began attending the school to which the applicant is applying.</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</si>
  <si>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</si>
  <si>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</si>
  <si>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</si>
  <si>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</si>
  <si>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</si>
  <si>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</si>
  <si>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</si>
  <si>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</si>
  <si>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</si>
  <si>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</si>
  <si>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</si>
  <si>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</si>
  <si>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</si>
  <si>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</si>
  <si>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</si>
  <si>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</si>
  <si>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</si>
  <si>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</si>
  <si>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</si>
  <si>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</si>
  <si>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</si>
  <si>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</si>
  <si>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</si>
  <si>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</si>
  <si>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</si>
  <si>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</si>
  <si>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</si>
  <si>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</si>
  <si>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</si>
  <si>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</si>
  <si>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SupplementalGradeCode</t>
  </si>
  <si>
    <t>The type of component grade that is being included for an education course.</t>
  </si>
  <si>
    <t>TextMessageAddress</t>
  </si>
  <si>
    <t>The address to which a text message may be sent to the applicant.</t>
  </si>
  <si>
    <t>TreatyCode</t>
  </si>
  <si>
    <t>The applicant?s declaration of determination of treaty status.</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</si>
  <si>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</si>
  <si>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</si>
  <si>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</si>
  <si>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</si>
  <si>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</si>
  <si>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</si>
  <si>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</si>
  <si>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</si>
  <si>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VisaReasonForUSBornCode</t>
  </si>
  <si>
    <t>The reason that the international applicant holds a visa from another country if the applicant was born in the US.</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</si>
  <si>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</si>
  <si>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</si>
  <si>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</si>
  <si>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</si>
  <si>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</si>
  <si>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</si>
  <si>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</si>
  <si>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</si>
  <si>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</si>
  <si>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</si>
  <si>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</si>
  <si>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</si>
  <si>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Year group or Grade Level (US).</t>
  </si>
  <si>
    <t>gYearGroupType</t>
  </si>
  <si>
    <t>assessmentAssetType/assetSubjectList/assetSubject</t>
  </si>
  <si>
    <t>gSubjectAreaType</t>
  </si>
  <si>
    <t>assessmentFormType/formIdentifierList/formIdentifier</t>
  </si>
  <si>
    <t>gLocalIdType</t>
  </si>
  <si>
    <t>assessmentFormType/gradeLevelList/gradeLevel</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</si>
  <si>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</si>
  <si>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</si>
  <si>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</si>
  <si>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</si>
  <si>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</si>
  <si>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</si>
  <si>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</si>
  <si>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</si>
  <si>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</si>
  <si>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</si>
  <si>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</si>
  <si>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</si>
  <si>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</si>
  <si>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</si>
  <si>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</si>
  <si>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</si>
  <si>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</si>
  <si>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</si>
  <si>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</si>
  <si>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</si>
  <si>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</si>
  <si>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</si>
  <si>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</si>
  <si>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</si>
  <si>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</si>
  <si>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</si>
  <si>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</si>
  <si>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</si>
  <si>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</si>
  <si>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</si>
  <si>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</si>
  <si>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</si>
  <si>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</si>
  <si>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</si>
  <si>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</si>
  <si>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</si>
  <si>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</si>
  <si>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</si>
  <si>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</si>
  <si>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</si>
  <si>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</si>
  <si>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</si>
  <si>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</si>
  <si>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</si>
  <si>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</si>
  <si>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</si>
  <si>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</si>
  <si>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</si>
  <si>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</si>
  <si>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</si>
  <si>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</si>
  <si>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</si>
  <si>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</si>
  <si>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</si>
  <si>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assessmentRubricType/scoreList/score/scoreCodeDefinition</t>
  </si>
  <si>
    <t>assessmentRubricType/scoreList/score/scoreCommentList/scoreComment/comment</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</si>
  <si>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</si>
  <si>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</si>
  <si>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</si>
  <si>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</si>
  <si>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</si>
  <si>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</si>
  <si>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</si>
  <si>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</si>
  <si>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</si>
  <si>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</si>
  <si>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</si>
  <si>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</si>
  <si>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</si>
  <si>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</si>
  <si>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</si>
  <si>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</si>
  <si>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</si>
  <si>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</si>
  <si>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</si>
  <si>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</si>
  <si>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</si>
  <si>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</si>
  <si>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</si>
  <si>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</si>
  <si>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</si>
  <si>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</si>
  <si>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</si>
  <si>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</si>
  <si>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</si>
  <si>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</si>
  <si>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</si>
  <si>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</si>
  <si>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</si>
  <si>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</si>
  <si>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</si>
  <si>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</si>
  <si>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</si>
  <si>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</si>
  <si>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</si>
  <si>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</si>
  <si>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</si>
  <si>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</si>
  <si>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</si>
  <si>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</si>
  <si>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</si>
  <si>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</si>
  <si>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</si>
  <si>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</si>
  <si>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</si>
  <si>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</si>
  <si>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</si>
  <si>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</si>
  <si>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</si>
  <si>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</si>
  <si>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</si>
  <si>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</si>
  <si>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</si>
  <si>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gContactPersonAssociationType/contactSequenceSource</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</si>
  <si>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</si>
  <si>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</si>
  <si>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</si>
  <si>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</si>
  <si>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</si>
  <si>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</si>
  <si>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</si>
  <si>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</si>
  <si>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</si>
  <si>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</si>
  <si>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</si>
  <si>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</si>
  <si>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</si>
  <si>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</si>
  <si>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</si>
  <si>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</si>
  <si>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</si>
  <si>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</si>
  <si>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</si>
  <si>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</si>
  <si>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</si>
  <si>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</si>
  <si>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</si>
  <si>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</si>
  <si>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</si>
  <si>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</si>
  <si>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</si>
  <si>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</si>
  <si>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</si>
  <si>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</si>
  <si>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</si>
  <si>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</si>
  <si>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</si>
  <si>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</si>
  <si>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</si>
  <si>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</si>
  <si>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</si>
  <si>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</si>
  <si>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</si>
  <si>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</si>
  <si>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</si>
  <si>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</si>
  <si>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</si>
  <si>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</si>
  <si>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</si>
  <si>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</si>
  <si>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</si>
  <si>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</si>
  <si>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</si>
  <si>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</si>
  <si>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</si>
  <si>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</si>
  <si>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</si>
  <si>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</si>
  <si>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</si>
  <si>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</si>
  <si>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</si>
  <si>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</si>
  <si>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</si>
  <si>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gOrganizationOrganizationAssociationType/endDate</t>
  </si>
  <si>
    <t>gOrganizationOrganizationAssociationType/parentOrganizationRole</t>
  </si>
  <si>
    <t>gOrganizationOrganizationAssociationType/startDate</t>
  </si>
  <si>
    <t>gOrganizationSubtypeType/exitDate</t>
  </si>
  <si>
    <t>gRoleTypeType</t>
  </si>
  <si>
    <t>gPartyAddressRelationType/addressType</t>
  </si>
  <si>
    <t>Code that defines the location of the address. Note: A subset of specific valid values for each instance in a data object may be listed in that object.</t>
  </si>
  <si>
    <t>gPartyOrganizationAssociationType/associationType</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</si>
  <si>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</si>
  <si>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</si>
  <si>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</si>
  <si>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</si>
  <si>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</si>
  <si>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</si>
  <si>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</si>
  <si>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</si>
  <si>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</si>
  <si>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</si>
  <si>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</si>
  <si>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</si>
  <si>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</si>
  <si>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</si>
  <si>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</si>
  <si>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</si>
  <si>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</si>
  <si>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</si>
  <si>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</si>
  <si>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</si>
  <si>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</si>
  <si>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</si>
  <si>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</si>
  <si>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</si>
  <si>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</si>
  <si>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</si>
  <si>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</si>
  <si>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</si>
  <si>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</si>
  <si>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</si>
  <si>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</si>
  <si>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</si>
  <si>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</si>
  <si>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</si>
  <si>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</si>
  <si>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</si>
  <si>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</si>
  <si>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</si>
  <si>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</si>
  <si>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</si>
  <si>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</si>
  <si>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</si>
  <si>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</si>
  <si>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</si>
  <si>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</si>
  <si>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</si>
  <si>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</si>
  <si>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</si>
  <si>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</si>
  <si>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</si>
  <si>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</si>
  <si>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</si>
  <si>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</si>
  <si>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</si>
  <si>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</si>
  <si>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</si>
  <si>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</si>
  <si>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</si>
  <si>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</si>
  <si>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</si>
  <si>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gAlertMessageType</t>
  </si>
  <si>
    <t>gStudentType/medicalAlertMessageList/medicalAlertMessage</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</si>
  <si>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</si>
  <si>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</si>
  <si>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</si>
  <si>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</si>
  <si>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</si>
  <si>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</si>
  <si>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</si>
  <si>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</si>
  <si>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</si>
  <si>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</si>
  <si>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</si>
  <si>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</si>
  <si>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</si>
  <si>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</si>
  <si>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</si>
  <si>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</si>
  <si>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</si>
  <si>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</si>
  <si>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</si>
  <si>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</si>
  <si>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</si>
  <si>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</si>
  <si>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</si>
  <si>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</si>
  <si>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</si>
  <si>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</si>
  <si>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</si>
  <si>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</si>
  <si>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</si>
  <si>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</si>
  <si>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</si>
  <si>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</si>
  <si>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</si>
  <si>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</si>
  <si>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</si>
  <si>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</si>
  <si>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</si>
  <si>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</si>
  <si>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</si>
  <si>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</si>
  <si>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</si>
  <si>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</si>
  <si>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</si>
  <si>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</si>
  <si>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</si>
  <si>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</si>
  <si>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</si>
  <si>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</si>
  <si>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</si>
  <si>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</si>
  <si>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</si>
  <si>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</si>
  <si>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</si>
  <si>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</si>
  <si>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</si>
  <si>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</si>
  <si>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</si>
  <si>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</si>
  <si>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</si>
  <si>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</si>
  <si>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</si>
  <si>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</si>
  <si>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</si>
  <si>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</si>
  <si>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</si>
  <si>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</si>
  <si>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</si>
  <si>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</si>
  <si>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</si>
  <si>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</si>
  <si>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</si>
  <si>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</si>
  <si>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</si>
  <si>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</si>
  <si>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</si>
  <si>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</si>
  <si>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</si>
  <si>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</si>
  <si>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</si>
  <si>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</si>
  <si>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</si>
  <si>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</si>
  <si>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</si>
  <si>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</si>
  <si>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</si>
  <si>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</si>
  <si>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</si>
  <si>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</si>
  <si>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</si>
  <si>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</si>
  <si>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studentActivityParticipations/studentActivityParticipation/participationComment</t>
  </si>
  <si>
    <t>Comment related to the student's participation in the activity</t>
  </si>
  <si>
    <t>string</t>
  </si>
  <si>
    <t>studentActivitys/studentActivity/location</t>
  </si>
  <si>
    <t>Location where the activity takes place.</t>
  </si>
  <si>
    <t>normalizedString</t>
  </si>
  <si>
    <t>studentCoreType/concurrentSchoolList/concurrentSchool/operation</t>
  </si>
  <si>
    <t>The enrollment action to take.</t>
  </si>
  <si>
    <t>studentCoreType/enrollmentOperation</t>
  </si>
  <si>
    <t>studentProgramAssociationType/exitStatus</t>
  </si>
  <si>
    <t xml:space="preserve">Reflects the specific nomenclature used for this level of AssessmentFamily. </t>
  </si>
  <si>
    <t>The setting in which a child receives education and related services.  This attribute is only used if it differs from the EducationalEnvironment of the section. This is only used in the AttendanceEvent if different from the associated Section.</t>
  </si>
  <si>
    <t xml:space="preserve">Indicates whether there are additional un-named authors. In a research report, this is often marked by the abbreviation "et al". </t>
  </si>
  <si>
    <t>The first date the address is valid.  For physical addresses, the date the person moved to that address.</t>
  </si>
  <si>
    <t>The last date the address is valid.  For physical addresses, this would be the date the person moved from that address.</t>
  </si>
  <si>
    <t xml:space="preserve">The month, day, and year of the last day of the feeder school association. </t>
  </si>
  <si>
    <t xml:space="preserve">The description of the content or subject area (e.g., arts, mathematics, reading, stenography, or a foreign language) of an assessment. </t>
  </si>
  <si>
    <t xml:space="preserve">The number of the building on the site, if more than one building shares the same address. </t>
  </si>
  <si>
    <t>The day when the document  expires, if null then never expires.</t>
  </si>
  <si>
    <t>The month, day, and year on which the student was first identified as  part of the cohort.</t>
  </si>
  <si>
    <t xml:space="preserve">An indication of the location of a persons legal residence relative to (within or outside of) the boundaries of the public school attended and its administrative unit. </t>
  </si>
  <si>
    <t xml:space="preserve">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 </t>
  </si>
  <si>
    <t xml:space="preserve">A description of the attendance status. </t>
  </si>
  <si>
    <t xml:space="preserve">Violation of state, school district, or school policy relating to attendance. </t>
  </si>
  <si>
    <t>The geographical area that determines the school  that age appropriate children are assigned to.</t>
  </si>
  <si>
    <t xml:space="preserve">The types of program of instruction and services that uses more than one language to teach a content area. Students served by this program may or may not be proficient in English. </t>
  </si>
  <si>
    <t xml:space="preserve">The number given to all Federal programs available to State and local governments. </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</si>
  <si>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</si>
  <si>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</si>
  <si>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{replace os}</t>
  </si>
  <si>
    <t xml:space="preserve">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 </t>
  </si>
  <si>
    <t>Credits Attempted:  Given Grading Period</t>
  </si>
  <si>
    <t>Credits Attempted:  Given School Year</t>
  </si>
  <si>
    <t>Credits Attempted:  Given Session</t>
  </si>
  <si>
    <t xml:space="preserve">Unlawful use, cultivation, manufacture, distribution, sale, solicitation, purchase, possession, transportation, or importation of any controlled drug (e.g., Demerol, morphine) or narcotic substance. </t>
  </si>
  <si>
    <t xml:space="preserve">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 </t>
  </si>
  <si>
    <t xml:space="preserve">A description of the extension. </t>
  </si>
  <si>
    <t>Grade Point Average (GPA):  Given School Year</t>
  </si>
  <si>
    <t xml:space="preserve">Repeatedly annoying or attacking a student or group of students or other personnel which creates an intimidating or hostile educational or work environment. </t>
  </si>
  <si>
    <t>A broad statement that describes a desired outcome(s) of the Improvement Plan.  The desired outcome establishes the organizations long-term priorities and influences the development of short-term objectives.</t>
  </si>
  <si>
    <t xml:space="preserve">A general job classification that describes staff that performs tasks requiring some manual skills which can be conducted with no special training. This includes individuals performing lifting, digging, mixing, loading, and pulling operations. </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</si>
  <si>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</si>
  <si>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Date the Notice of Recommended Educational Placement was signed and approved by the parent/guardian of the student. </t>
  </si>
  <si>
    <t xml:space="preserve">Language or actions, written, oral, physical, or electronic, in violation of community or school standards.4662 Displays of affection in violation of school policy. </t>
  </si>
  <si>
    <t xml:space="preserve">A general job classification that describes staff that performs the activities of preparing, transferring, transcribing, systematizing, or preserving communications, records, and transactions. </t>
  </si>
  <si>
    <t xml:space="preserve">A general job classification that describes staff that performs tasks requiring an intermediate level of manual skills which can be mastered in a few weeks through limited training to operate machines. This includes bus drivers and vehicle operators. </t>
  </si>
  <si>
    <t xml:space="preserve">Date the parent(s) consented to the proposed placement. </t>
  </si>
  <si>
    <t xml:space="preserve">The number of points received. The results can be expressed as a number, percentile, range, level, etc. </t>
  </si>
  <si>
    <t xml:space="preserve">The description of the number of points/mark received. Points could be based on the entire assignment or are a certain part of the assignment (i.e., penmanship). </t>
  </si>
  <si>
    <t xml:space="preserve">Date student began the support program. </t>
  </si>
  <si>
    <t xml:space="preserve">Date by which the plan must be implemented for the student. </t>
  </si>
  <si>
    <t xml:space="preserve">Any threat (verbal, written, or electronic) by a person to bomb or use other substances or devices for the purpose of exploding, burning, causing damage to a school building or school property, or to harm students or staff. </t>
  </si>
  <si>
    <t xml:space="preserve">Act or instance of taking one''s own life voluntarily and intentionally. </t>
  </si>
  <si>
    <t xml:space="preserve">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 </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</si>
  <si>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</si>
  <si>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 xml:space="preserve">Possession, use, distribution, or sale of tobacco products. </t>
  </si>
  <si>
    <t xml:space="preserve">Willful destruction or defacement of school or personal property. </t>
  </si>
  <si>
    <t xml:space="preserve">CCYY </t>
  </si>
  <si>
    <t xml:space="preserve">CCYY-MM </t>
  </si>
  <si>
    <t xml:space="preserve">ccyy-mm-dd </t>
  </si>
  <si>
    <t xml:space="preserve"> A code that describes the type of agency that assigned the student’s identification number.</t>
  </si>
  <si>
    <t xml:space="preserve"> The level of credit associated with the credit hours earned for the course.</t>
  </si>
  <si>
    <t xml:space="preserve">ccyy-mm </t>
  </si>
  <si>
    <t xml:space="preserve">ccyy </t>
  </si>
  <si>
    <t xml:space="preserve">Year group or Grade Level (US). </t>
  </si>
  <si>
    <t xml:space="preserve">assessmentRegistrationType/assessmentGradeLevel </t>
  </si>
  <si>
    <t xml:space="preserve">assessmentRegistrationType/studentSpecialEventList/studentSpecialEvent/@eventType </t>
  </si>
  <si>
    <t>Non-numeric score code value. Examples might be:   'BL' = blank   'OT' = off-topic   The values for this field are determined by the assessment program.</t>
  </si>
  <si>
    <t xml:space="preserve">This provides the definition of the score code or value. For example, if the score code is OT, then this can provide the definition of 'Off Topic'. </t>
  </si>
  <si>
    <t xml:space="preserve">A description of the comment code. This can be used to provide additional feedback to the student for the score they received. </t>
  </si>
  <si>
    <t xml:space="preserve">gBellPeriodType/regularSchoolPeriod </t>
  </si>
  <si>
    <t xml:space="preserve">gBellPeriodType/timetablePeriodIdentifier </t>
  </si>
  <si>
    <t xml:space="preserve">The source used to determine the contact sequence or priority, e.g., court order, transportation system, etc. </t>
  </si>
  <si>
    <t xml:space="preserve">The length of the term in days, months, etc. </t>
  </si>
  <si>
    <t xml:space="preserve">gLearningStandardDocumentType/organizationList/organization </t>
  </si>
  <si>
    <t xml:space="preserve">Name of organization represented by the document, i.e., "National Council of Teachers of Mathematics (NCTM)," "ACARA"," NSW DET". </t>
  </si>
  <si>
    <t xml:space="preserve">The role of the child organization with respect to this association. </t>
  </si>
  <si>
    <t xml:space="preserve">The role of the parent organization with respect to this association. </t>
  </si>
  <si>
    <t xml:space="preserve">gOrganizationSubtypeType/entryDate </t>
  </si>
  <si>
    <t xml:space="preserve">gOrganizationUserType/associatedRole </t>
  </si>
  <si>
    <t xml:space="preserve">gOrganizationUserType/associationType </t>
  </si>
  <si>
    <t xml:space="preserve">gOrganizationUserType/endDate </t>
  </si>
  <si>
    <t xml:space="preserve">gOrganizationUserType/startDate </t>
  </si>
  <si>
    <t xml:space="preserve">gOtherNameType/@nameRole </t>
  </si>
  <si>
    <t xml:space="preserve">The type of association. For example if the party is a person who is a member of the organizatinon then this field would contain the type of membership. </t>
  </si>
  <si>
    <t xml:space="preserve">gRelatedLearningStandardItemType/relationshipType </t>
  </si>
  <si>
    <t>School sector of school, e.g. Public/Private.   CEDS Equivalent: Charter School Indicator 000039, Charter School Type 000710.</t>
  </si>
  <si>
    <t>The reason why this enrollment was closed. For example: SchoolExit.   TimeDependentDataChange.   EndOfYear.</t>
  </si>
  <si>
    <t xml:space="preserve">An alert message associatied with the student. </t>
  </si>
  <si>
    <t xml:space="preserve">A medical alert message associatied with the student. </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</si>
  <si>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</si>
  <si>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 xml:space="preserve">Accountability Report Producing Organization Type
  00797 - Federal government
  00860 - State agency
  00214 - Regional or intermediate educational agency
  00862 - Local (e.g., school board, city council, municipal board)
  00675 - School
  00864 - Private/Religious
</t>
  </si>
  <si>
    <t xml:space="preserve">Accountability Rewards
  02362 - Non-monetary awards to staff
  00404 - Monetary awards
  00405 - Exemption from regulations
  00406 - Accreditation
  00407 - Direct monetary awards to staff members
  00408 - Staff salary increases
  09999 - Other
</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</si>
  <si>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</si>
  <si>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 xml:space="preserve">Activity Type
  00750 - Co-curricular activity
  00751 - Extra-curricular Activity
</t>
  </si>
  <si>
    <t xml:space="preserve">Activity Leadership
  00666 - Student manager
  00671 - Officer
  00670 - President
  08689 - Vice president
  08690 - Treasurer 
  08691 - Captain 
  04845 - Secretary
  09999 - Other
</t>
  </si>
  <si>
    <t xml:space="preserve">Activity Level
  08681 - Varsity
  08682 - Junior Varsity
  08683 - Freshman
  08684 - Sophomore
  08685 - Junior
  08686 - Senior
  08687 - Intramural 
  08688 - Honors
  09999 - Other
</t>
  </si>
  <si>
    <t xml:space="preserve">Activity Time
  00736 - Before school hours
  00934 - After school hours
  00935 - During school hours
</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</si>
  <si>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</si>
  <si>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 xml:space="preserve">Other Compensation Type
  01467 - Supplement pay/compensation
  01468 - Fringe benefit
  01469 - In-kind compensation
  09999 - Other
</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</si>
  <si>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</si>
  <si>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</si>
  <si>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 xml:space="preserve">Alcohol Violation
  04619 - Sale of alcohol
  04620 - Distribution of alcohol
  04621 - Drinking alcohol
  04622 - Possession of alcohol
  04623 - Suspicion of alcohol use
  09999 - Other
</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</si>
  <si>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</si>
  <si>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 xml:space="preserve">Active/Inactive
  00122 - Active
  00133 - Inactive
</t>
  </si>
  <si>
    <t xml:space="preserve">Assessment Development
  00423 - Off-the-shelf
  00425 - Built from commercial item banks
  00427 - Custom developed
  00424 - Customized off-the-shelf
  00428 - District developed
  00429 - State developed
</t>
  </si>
  <si>
    <t xml:space="preserve">Assessment for Promotion/Graduation Status
  00232 - No
  13380 - Yes, for Both Promotion and Graduation
  13381 - Yes, for Graduation Only
  13382 - Yes, for Promotion Only
</t>
  </si>
  <si>
    <t xml:space="preserve">Assessment Groups
  00480 - All students
  00481 - Sample
  00482 - Voluntary
  03472 - Sub-population
  09999 - Other
</t>
  </si>
  <si>
    <t xml:space="preserve">Performance Level Code
  13550 - Level 0
  13551 - Level 1
  13552 - Level 2
  13553 - Level 3
  13554 - Level 4
  13555 - Level 5
  13556 - Level 6
</t>
  </si>
  <si>
    <t xml:space="preserve">Assessment Reference Type
  00487 - Norm-referenced
  00488 - Criterion-referenced
  00489 - Achievement-level reference or benchmarked
</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</si>
  <si>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</si>
  <si>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</si>
  <si>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</si>
  <si>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</si>
  <si>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 xml:space="preserve">At Risk of Developmental Delay
  05993 - Established conditions
  05994 - Environment factors
  05995 - No established condition
  05996 - No established condition, needs follow-up
</t>
  </si>
  <si>
    <t xml:space="preserve">Attendance Policy Violation
  04627 - Forging absence excuse
  04628 - Skipping class 
  04629 - Tardiness
  04630 - Truancy
  09999 - Other
</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</si>
  <si>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</si>
  <si>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 xml:space="preserve">Background Check Type
  01420 - Criminal records
  01421 - Previous employment records
  01422 - Personal references
  01423 - Credentials
  09999 - Other
</t>
  </si>
  <si>
    <t xml:space="preserve">Bank Account Type
  01589 - Checking
  01590 - Savings
  01591 - Money market
  09999 - Other
</t>
  </si>
  <si>
    <t xml:space="preserve">Base Indicators
  00393 - Demographics
  00394 - Outcome
  00395 - Process
  09999 - Other
</t>
  </si>
  <si>
    <t xml:space="preserve">Benefit Contribution Type
  01559 - Monetary
  01560 - In-kind
  09999 - Other
</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</si>
  <si>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</si>
  <si>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 xml:space="preserve">Bilingual Education Program
  04924 - Curriculum content in native language
  04925 - Developmental bilingual education
  04926 - Native language support
  04927 - Two way bilingual education
  09999 - Other
</t>
  </si>
  <si>
    <t xml:space="preserve">Boarding Status
  01861 - Seven (7) days per week
  01862 - Five (5) days per week
  01863 - Intermittent
  01864 - Not boarding
  09999 - Other
</t>
  </si>
  <si>
    <t xml:space="preserve">Yes/No/Unknown
  00002 - Yes
  00232 - No
  09997 - Unknown
</t>
  </si>
  <si>
    <t xml:space="preserve">Bus Route Type
  08695 - Inbound
  08696 - Outbound 
</t>
  </si>
  <si>
    <t xml:space="preserve">Calendar Type
  00823 - Planned school calendar
  00824 - Actual or revised school calendar
  00826 - Tentative schedule
  09999 - Other
</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</si>
  <si>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</si>
  <si>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 xml:space="preserve">Capital Project Delivery Method
  02917 - Design-bid-build
  02918 - Construction management
  02919 - Construction management at risk
  02920 - General contractor method
  02921 - Design build
  02922 - Fast track
  02923 - Job order contracting
  09999 - Other
</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</si>
  <si>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</si>
  <si>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 xml:space="preserve">Care/Service Day Status
  09999 - Other
</t>
  </si>
  <si>
    <t xml:space="preserve">Career Development Needs
  01622 - No preparation or additional experience required
  01623 - Job specialization required
  01624 - Task assignment required
  01625 - Job rotation required
  01626 - Formal preparation/credentials required
  09999 - Other
</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</si>
  <si>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</si>
  <si>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 xml:space="preserve">CTE Representation Status
  14554 - Members of an underrepresented gender group
  14555 - Not members of an underrepresented gender group
</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</si>
  <si>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</si>
  <si>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</si>
  <si>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 xml:space="preserve">Charter School Location Duration
  13728 - Permanent
  13729 - Temporary
</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</si>
  <si>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</si>
  <si>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 xml:space="preserve">Class Attendance Status
  01904 - Early departure
  03451 - Absent
  01900 - In attendance/present
  01903 - Tardy
</t>
  </si>
  <si>
    <t xml:space="preserve">Attendance Status
  01900 - In attendance/present
  01901 - Excused absence
  01902 - Unexcused absence
  01903 - Tardy
  01904 - Early departure
</t>
  </si>
  <si>
    <t xml:space="preserve">Class Organization
  00580 - Departmentalized instruction
  00581 - Self-contained class
  00582 - Elementary enrichment class
  00584 - Team-taught class
  00003 - Pull-out class
  00472 - Self-contained class (special education)
  03170 - Ability group class
</t>
  </si>
  <si>
    <t xml:space="preserve">Class Pace
  01860 - Self-paced
  03483 - Controlled paced
  03484 - Combination of self-paced and control paced
</t>
  </si>
  <si>
    <t xml:space="preserve">Co-educational Status
  00016 - Co-educational
  00017 - All-female
  00018 - All-male
</t>
  </si>
  <si>
    <t xml:space="preserve">Collaborative Assignment
  07699 - Collaborative assignment
  07700 - Independent assignment
  07701 - Both collaborative and independent
</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</si>
  <si>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</si>
  <si>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 xml:space="preserve">Hardware
  03177 - Monitor
  03231 - Keyboard
  03232 - Mouse
  03233 - Speakers
  03234 - Modem
  03235 - Wireless router
  03236 - External storage drive
  03237 - PDA port
</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</si>
  <si>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</si>
  <si>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 xml:space="preserve">Contractual Term
  01439 - Short-term
  00410 - Annual year
  01440 - Continuing
  01441 - Renewable
  01442 - Multiyear
  09999 - Other
</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</si>
  <si>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</si>
  <si>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 xml:space="preserve">Coverage Type
  14919 - Family Coverage
  14920 - High option
  14921 - Low option
  01571 - Term life insurance
  14922 - Whole life insurance
  14923 - Dental Insurance
  14924 - Health Insurance
  14925 - Long term disability
</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</si>
  <si>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</si>
  <si>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</si>
  <si>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 xml:space="preserve">Credential Assessment Purpose
  01276 - Initial credentialing
  01277 - Continuation of credential
  01278 - Renewal of credential
  09999 - Other
</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</si>
  <si>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</si>
  <si>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 xml:space="preserve">Day/Evening Session
  00838 - Day
  00839 - Morning
  00840 - Afternoon
  00841 - Evening
  00842 - Anytime
  09999 - Other
</t>
  </si>
  <si>
    <t xml:space="preserve">Day/Evening Status
  01856 - Day student
  01857 - Morning student
  01858 - Afternoon student
  01859 - Evening student
  01860 - Self-paced
  09999 - Other
</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</si>
  <si>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</si>
  <si>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</si>
  <si>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 xml:space="preserve">Developmental Screening Results
  14579 - Further evaluation needed
  14580 - No further evaluation needed
</t>
  </si>
  <si>
    <t xml:space="preserve">Assessment Administration Method
  00439 - Group
  00440 - Individual
  00441 - Both group and individual
</t>
  </si>
  <si>
    <t xml:space="preserve">Disability Severity
  05997 - No problem
  05998 - Mild problem
  05999 - Moderate problem
  06000 - Severe problem
  06001 - Complete problem
  06002 - Not specified
  06003 - Not applicable
</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</si>
  <si>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</si>
  <si>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</si>
  <si>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</si>
  <si>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</si>
  <si>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 xml:space="preserve">Dwelling Ownership
  01682 - Owned property
  01683 - Public or subsidized housing
  01684 - Rental property
  09999 - Other
</t>
  </si>
  <si>
    <t xml:space="preserve">Early Childhood Program Components
  03492 - Care
  01156 - Education
  03493 - Services
</t>
  </si>
  <si>
    <t xml:space="preserve">Early Childhood Program Sponsorship
  02177 - Public school sponsored program
  02178 - Publicly sponsored program
  02179 - Non-profit and not-for-profit privately sponsored program
  02180 - For-profit program
</t>
  </si>
  <si>
    <t xml:space="preserve">Early Childhood Program Funding Source
  02181 - Sponsor generated
  02182 - Client/tuition fees
  02183 - Both sponsor generated and client tuition/fees
  09999 - Other
</t>
  </si>
  <si>
    <t xml:space="preserve">Early Childhood Program Focus
  02193 - Designed for children with developmental delay or disability
  02194 - Designed for typically developing children
  02195 - Designed for children with developmental delay and typically developing children
</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</si>
  <si>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</si>
  <si>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</si>
  <si>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</si>
  <si>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</si>
  <si>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</si>
  <si>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 xml:space="preserve">Educational Program/Staff Development Activity
  00348 - Released time, substitute provided
  00350 - Released time from duties, no substitute provided
  00352 - Off-the-job
</t>
  </si>
  <si>
    <t xml:space="preserve">Educational Program/Staff Development Activity Compensation
  00343 - Time paid
  00344 - Stipend only
  00345 - Travel/expense reimbursement
  00346 - Tuition and/or fees
  00347 - No compensation
  01469 - In-kind compensation
  09999 - Other
</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</si>
  <si>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</si>
  <si>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 xml:space="preserve">Educational Program/Staff Development Activity Participant's Role
  01197 - Consumer/learner
  01198 - Provider/trainer
  01199 - Collaborator/peer
  09999 - Other
</t>
  </si>
  <si>
    <t xml:space="preserve">Educational Program/Staff Development Activity Purpose
  01122 - Acquisition of new skills or knowledge
  01123 - Maintenance or improvement of skills or knowledge
  01124 - Remediation of skills or knowledge
</t>
  </si>
  <si>
    <t xml:space="preserve">Educational Program/Staff Development Activity Relevance
  01137 - Related to current job
  01138 - Related to advancement within the current job
  01139 - Related to a different job or higher position
  01140 - Not related
  02380 - General development
</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</si>
  <si>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</si>
  <si>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 xml:space="preserve">Eligibility Status
  01549 - Eligible
  01550 - Eligible, but coverage declined
  01551 - Not eligible for participation
</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</si>
  <si>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</si>
  <si>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 xml:space="preserve">Employer Type
  01803 - Government
  01804 - Military
  01805 - Private organization
  01806 - Self-employed
  01807 - Military/Department of Defense
  01808 - Agricultural/fishery seasonal employer
  09999 - Other
</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</si>
  <si>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</si>
  <si>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</si>
  <si>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</si>
  <si>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 xml:space="preserve">English as a Second Language (ESL) Program:
  04929 - Content ESL
  09999 - Other
</t>
  </si>
  <si>
    <t xml:space="preserve">English Proficiency
  01633 - Native English speaker
  01634 - Fluent English speaker
  02349 - Limited English proficient/English language learner
  01635 - Non-English speaking
  01636 - Redesignated as fluent English proficient
  09997 - Unknown
</t>
  </si>
  <si>
    <t xml:space="preserve">Equipment Mobility
  03266 - Built-in equipment
  03267 - Movable equipment
</t>
  </si>
  <si>
    <t xml:space="preserve">Equipment Type
  03268 - Art
  03269 - Performing arts
  03270 - Science materials
  03271 - Technology materials
  03272 - Indoor athletic
  03273 - Outdoor athletic
  03274 - Food service materials
  03275 - Operations/maintenance
  09999 - Other
</t>
  </si>
  <si>
    <t xml:space="preserve">Essential Personnel Identifier
  01618 - Essential
  01619 - Non-essential
</t>
  </si>
  <si>
    <t xml:space="preserve">Established IDEA Condition
  09998 - None
  09999 - Other
</t>
  </si>
  <si>
    <t xml:space="preserve">Evaluation Periodicity
  02321 - Monthly
  02322 - Quarterly
  02323 - Semi-annually
  02324 - Annually
  02325 - Post-probationary
  02326 - As needed
  09999 - Other
</t>
  </si>
  <si>
    <t xml:space="preserve">Evaluation Purpose
  02316 - End of probationary period
  02317 - Evaluation for advancement
  02318 - Evaluation for licensure
  02319 - Periodic evaluation
  02320 - Problem resolution
  09999 - Other
</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</si>
  <si>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</si>
  <si>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 xml:space="preserve">Evaluation Sequence
  02101 - Initial evaluation
  02102 - Review evaluation
  02103 - Screening evaluation
  09999 - Other
</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</si>
  <si>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</si>
  <si>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 xml:space="preserve">Exterior Finish Type
  02422 - Brick
  02538 - Concrete masonry unit
  02539 - Stucco
  02540 - Synthetic stucco
  02523 - Wood
  02430 - Adobe
  02542 - Stone
  02543 - Prefabricated concrete
  02544 - Synthetic stone
  09999 - Other
</t>
  </si>
  <si>
    <t xml:space="preserve">Window Frame Material
  02523 - Wood
  02428 - Aluminum
  02525 - Vinyl
  02429 - Steel
  02527 - Vinyl-clad wood
  02528 - Vinyl-clad steel
  02529 - Aluminum-clad wood
  09999 - Other
</t>
  </si>
  <si>
    <t xml:space="preserve">Window Design Type
  02518 - Nonoperable state
  02519 - Casement
  02520 - Double hung
  02521 - Tilt open (awning or hopper)
  02522 - Sliding
  09999 - Other
  13577 - Gas filled
  13578 - Switchable glazings
</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</si>
  <si>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</si>
  <si>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</si>
  <si>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</si>
  <si>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 xml:space="preserve">Fair Labor Standards Act Coverage
  01443 - Nonexempt
  01438 - Exempt
</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</si>
  <si>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</si>
  <si>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 xml:space="preserve">Family Involvement Activities
  06084 - Policy development and review
  06085 - Program planning
  06086 - Training participation
  06087 - Training provision
  09999 - Other
</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</si>
  <si>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</si>
  <si>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 xml:space="preserve">Family Public Assistance Status
  01717 - Temporary Assistance for Needy Families (TANF)
  01718 - Food stamps
  01719 - Women, Infants and Children (WIC) programs
  07698 - Medicaid
  09999 - Other
</t>
  </si>
  <si>
    <t xml:space="preserve">Insurance Type
  06029 - Private insurance
  06030 - Public insurance
  01507 - Employee Retirement Income Security Act (ERISA)
  09999 - Other
</t>
  </si>
  <si>
    <t xml:space="preserve">Fee Payment Status
  14926 - Fee was paid
  14927 - Fee was not paid
  14928 - Fee was waived
</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</si>
  <si>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</si>
  <si>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 xml:space="preserve">Finance Options
  02954 - Public/private development partnerships
  02955 - Energy saving performance contract
  02956 - Sale-lease back
  09999 - Other
</t>
  </si>
  <si>
    <t xml:space="preserve">Financial Assistance Qualifier
  01889 - Need-based assistance
  01890 - Non-need based assistance
</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</si>
  <si>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</si>
  <si>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 xml:space="preserve">Financial Assistance Type
  01891 - Assistantship
  01892 - Grant/scholarship
  01893 - Loan
  01894 - Work-study
  01895 - Other tuition waiver/remittance
  09999 - Other
</t>
  </si>
  <si>
    <t xml:space="preserve">Form Type
  01592 - Federal W-4 form
  01593 - State form
  09999 - Other
</t>
  </si>
  <si>
    <t xml:space="preserve">Foundation Type
  13582 - Slab on grade
  13583 - Specific special foundations
  13584 - Specific standard foundations
</t>
  </si>
  <si>
    <t xml:space="preserve">Frequency of Accreditation/Evaluation
  01526 - Annual
  00411 - Bi-annual
  00412 - Semi-annual
  00413 - Ad hoc/no fixed schedule
  09999 - Other
</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</si>
  <si>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</si>
  <si>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 xml:space="preserve">Full-time/Part-time Session
  00843 - Full-time
  00844 - Part-time
  00119 - Both full-time and part-time
</t>
  </si>
  <si>
    <t xml:space="preserve">Governmental Jurisdiction Type
  02384 - City Council Ward
  02386 - County Commissioner District
  02387 - State Board of Education District
  02388 - State Legislative District
  02385 - Congressional District
</t>
  </si>
  <si>
    <t xml:space="preserve">Promotion Testing Status
  13420 - Alternate Assessment
  03446 - Not tested
  13421 - Tested and Failed
  13422 - Tested and Passed
</t>
  </si>
  <si>
    <t xml:space="preserve">Harassment, Nonsexual Violation
  04647 - Bullying
  04648 - Hazing
  09999 - Other
</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</si>
  <si>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</si>
  <si>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 xml:space="preserve">Home Day Care Status
  02175 - Non-sibling children present
  02176 - No non-sibling children present
</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</si>
  <si>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</si>
  <si>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 xml:space="preserve">Progress Toward IFSP Goals and Objectives
  06026 - Most
  06027 - Some
  06028 - All
</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</si>
  <si>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</si>
  <si>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 xml:space="preserve">Required/Not Required
  01102 - Required
  01103 - Not required
</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</si>
  <si>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</si>
  <si>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</si>
  <si>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 xml:space="preserve">Injury Occurrence Location
  01117 - At the workplace
  01118 - Not at the workplace but performing job duties
  09999 - Other
</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</si>
  <si>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</si>
  <si>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 xml:space="preserve">Interior Floor Finish
  02553 - Carpet
  02560 - Ceramic tile
  02556 - Quarry tile
  02557 - Sealed concrete
  02552 - Synthetic sheet/good composite tile flooring
  02554 - Terrazzo flooring
  02555 - Vinyl asbestos tile (VAT)
  02551 - Wood flooring
  09999 - Other
</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</si>
  <si>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</si>
  <si>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 xml:space="preserve">Internet Bandwidth to the Building
  03438 - 128K
  03439 - 256K
  03440 - 720K
  03441 - 1.5Mbps
  03435 - 10Mbps
  03442 - OC1 (51.84 Mbps)
  03443 - OC2 (103.68 Mbps)
  03444 - OC3 (155.52 Mbps)
  09999 - Other
</t>
  </si>
  <si>
    <t xml:space="preserve">Assessment Standard Indicator
  00430 - Local standard
  00431 - Statewide standard
  00432 - Regional standard
  00434 - Association standard
  00435 - School standard
  00438 - Other standard
  09998 - None
  09999 - Other
</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</si>
  <si>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</si>
  <si>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</si>
  <si>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 xml:space="preserve">Knife Type
  04611 - Knife with blade length less than 2.5 inches
  04612 - Knife with blade length greater than or equal to 3 inches
  04614 - Other knife
</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</si>
  <si>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</si>
  <si>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 xml:space="preserve">LAN Bandwidth Within the Building
  03434 - &lt;10Mbps
  03435 - 10Mbps
  03436 - 100Mbps
  03437 - 1Gbps
  09999 - Other
</t>
  </si>
  <si>
    <t xml:space="preserve">Learning Standard Document Source Code
  13492 - National standard
  13493 - State standard
  00432 - Regional standard
  13494 - District standard
  13495 - Site standard
  13496 - Classroom standard
  13497 - Publisher standard
</t>
  </si>
  <si>
    <t xml:space="preserve">Lease Type (Equipment)
  02973 - Capital lease
  02974 - Master lease
  02975 - Operating lease
</t>
  </si>
  <si>
    <t xml:space="preserve">Leave Payment Status
  01611 - With pay
  01612 - Without pay
</t>
  </si>
  <si>
    <t xml:space="preserve">Leave Substitution Status
  01608 - No substitution
  01609 - Substitution by an individual without proof of required credentials
  01610 - Substitution by an individual with proof of required credentials
</t>
  </si>
  <si>
    <t xml:space="preserve">Level of Specialization
  01145 - Area of interest
  01144 - Post-degree study
  01143 - Area of emphasis/concentration
  01142 - Minor
  01141 - Major
</t>
  </si>
  <si>
    <t xml:space="preserve">Life Status
  01784 - Deceased
  01785 - Living
</t>
  </si>
  <si>
    <t xml:space="preserve">Local Funding Source Type
  14910 - Bond
  14911 - Capital Project Fund
  14912 - Department of Defense Grant
  14913 - Federal
  14914 - Impact Fees
  14915 - Insurance
  14916 - Levy
  14917 - Property Sale
  14918 - Reserve Funds
</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</si>
  <si>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</si>
  <si>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</si>
  <si>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 xml:space="preserve">Marital Status
  01040 - Legally separated
  01041 - Married
  01042 - Not married 
</t>
  </si>
  <si>
    <t xml:space="preserve">Marital Status for Tax Withholding
  01041 - Married
  00142 - Single
  00210 - Married but withholding at single rate
</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</si>
  <si>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</si>
  <si>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 xml:space="preserve">Meal Payment Method (Reimbursable/Non-reimbursable)
  03119 - Free
  03151 - Debit from account (prepaid)
  03152 - Charge to account (to be paid)
  03153 - Payment at point of service 
  09999 - Other
</t>
  </si>
  <si>
    <t xml:space="preserve">Meal Service
  03135 - Breakfast
  03136 - Lunch
  03137 - Snack
  03138 - Supper
  03139 - Milk
</t>
  </si>
  <si>
    <t xml:space="preserve">Meal Service Components
  03260 - Meat
  03261 - Fruit
  03262 - Vegetable
  03263 - Bread
  03139 - Milk
</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</si>
  <si>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</si>
  <si>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 xml:space="preserve">Meal Type
  03140 - Meal
  03137 - Snack
  03139 - Milk
  03141 - Ala carte/extra food item(s)
</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</si>
  <si>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</si>
  <si>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</si>
  <si>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</si>
  <si>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 xml:space="preserve">Metro Status Code (MSC)
  02366 - Primarily serves a central city of a Metropolitan Statistical Area (MSA)
  02367 - Serves a Metropolitan Statistical Area (MSA) but not primarily its central city
  02368 - Does not serve a Metropolitan Statistical Area (MSA)
</t>
  </si>
  <si>
    <t xml:space="preserve">Migrant Certificate of Eligibility
  01650 - Certificate of eligibility completed
  01651 - Certificate of eligibility not completed
</t>
  </si>
  <si>
    <t xml:space="preserve">Migrant Classification Subgroup
  03159 - Currently migratory agricultural
  03160 - Formerly migratory agricultural
  03161 - Currently migratory fishing
  03162 - Formerly migratory fishing
  03163 - Not migratory
</t>
  </si>
  <si>
    <t xml:space="preserve">Migrant Qualifying Work Type
  03164 - Production
  03165 - Processing
</t>
  </si>
  <si>
    <t xml:space="preserve">Military Discharge Type
  01070 - Honorable discharge
  01072 - General discharge
  01071 - Dishonorable discharge
</t>
  </si>
  <si>
    <t xml:space="preserve">Military Duty Status
  01064 - Active duty
  01065 - Ready reserve, selected reserve
  01066 - Ready reserve, individual ready reserve (IRR)
  01067 - Ready reserve, inactive national guard (ING)
  01068 - Standby reserve
  01069 - Retired reserve
  09998 - None
</t>
  </si>
  <si>
    <t xml:space="preserve">Military Service Type
  01058 - United States Air Force
  01059 - United States Army
  01060 - United States Coast Guard
  01061 - United States Marine Corps
  01062 - United States Navy
  01063 - National Guard
</t>
  </si>
  <si>
    <t xml:space="preserve">Minor/Adult Status
  01638 - Emancipated minor
  01639 - Legal adult
  01640 - Legal minor
</t>
  </si>
  <si>
    <t xml:space="preserve">Connection Type
  03193 - Dial-up via modem
  03194 - Wired LAN and router
  03195 - Wireless LAN and router
  03196 - Cable modem
  03197 - Satellite/modem hybrid link
  03198 - Full satellite/two-way link
</t>
  </si>
  <si>
    <t xml:space="preserve">Non-Course Graduation Requirement Code
  02010 - State graduation test
  02011 - Service learning/community service
  02012 - Thesis/dissertation
  02013 - Special skill test
  02014 - Career-related work experience
  09999 - Other
</t>
  </si>
  <si>
    <t xml:space="preserve">Non-Parental Caregiver/Early Childhood Program Provider
  02351 - Relative care, education, and/or services
  02352 - Non-relative care, education, and/or services
  09998 - None
</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</si>
  <si>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</si>
  <si>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</si>
  <si>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 xml:space="preserve">Nontax Revenue Type
  02969 - Individual contributions
  02970 - Corporate contributions
  02971 - Foundation contributions
  02972 - Payments in lieu of tax contributions
  13744 - Capital lease proceeds
  13746 - Gains or losses on the sale of capital assets
  13747 - Loan proceeds
  13748 - Loans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</si>
  <si>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 xml:space="preserve">Obscene Behavior Violation
  04663 - Obscene written messages
  04664 - Drawing obscene pictures
  04665 - Obscene electronic communication
  04666 - Obscene gestures
  04667 - Obscene language/profanity
  09999 - Other
</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</si>
  <si>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</si>
  <si>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</si>
  <si>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</si>
  <si>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 xml:space="preserve">Operative Job Classification
  04864 - Bus driver
  04865 - Other vehicle operator
  09999 - Other
</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</si>
  <si>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</si>
  <si>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 xml:space="preserve">Other Debt Type
  13757 - Bridge financing or bridge loan
  13758 - Installment Debt
</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</si>
  <si>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</si>
  <si>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 xml:space="preserve">Overall Diagnosis/Interpretation of Speech
  02114 - No significant speech impairment
  02115 - Articulation disorder
  02116 - Fluency disorder
  02117 - Voice disorder
  02118 - Language disorder
  09999 - Other
</t>
  </si>
  <si>
    <t xml:space="preserve">Overall Diagnosis/Interpretation of Vision
  02104 - No significant visual impairment
  02105 - Slight or mild visual impairment
  02106 - Partially seeing
  02107 - Blind
</t>
  </si>
  <si>
    <t xml:space="preserve">Overall Health Status
  06007 - Excellent
  06005 - Very good
  06066 - Good
  06034 - Fair
  06050 - Poor
</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</si>
  <si>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</si>
  <si>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 xml:space="preserve">Participation Status
  01119 - Currently enrolled/involved
  01120 - Previously enrolled/involved
  01121 - Program completed
</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</si>
  <si>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</si>
  <si>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 xml:space="preserve">Payroll Tax Treatment Status
  01586 - Pre-tax
  01587 - After tax
  01588 - Non-taxed
</t>
  </si>
  <si>
    <t xml:space="preserve">Person Relationship to Learner Qualifier Type
  14761 - Adoptive
  14762 - Biological
  14763 - Foster
  14764 - Half
  14765 - Step
  09998 - None
</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</si>
  <si>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</si>
  <si>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</si>
  <si>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</si>
  <si>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</si>
  <si>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 xml:space="preserve">Program Availability
  00235 - Before school
  00231 - During school
  00236 - After school
  00234 - Weekend
  00237 - Summer
  00238 - In-school service day
  00239 - Evenings
  09999 - Other
</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</si>
  <si>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</si>
  <si>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 xml:space="preserve">Program Benefit Targeting Type
  00147 - Direct
  00148 - Incidental
  00149 - Both direct and incidental
</t>
  </si>
  <si>
    <t xml:space="preserve">Program Delivery Structure
  00220 - Fixed schedule
  00221 - Variable schedule
  00874 - One-time
</t>
  </si>
  <si>
    <t xml:space="preserve">Program Eligibility Indicator
  02568 - Eligible to participate in program
  02569 - Not eligible to participate in program
</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</si>
  <si>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</si>
  <si>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</si>
  <si>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 xml:space="preserve">Program of Study Relevance
  02040 - Relevant
  02041 - Peripheral
</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</si>
  <si>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</si>
  <si>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 xml:space="preserve">Provider Authority
  02138 - School provider
  02139 - Personal/family provider
  02140 - Public agency provider
  09999 - Other
</t>
  </si>
  <si>
    <t xml:space="preserve">Publication Type
  01372 - Book
  01373 - Peer journal article
  01374 - Non-peer journal article
  01375 - Fine arts performance 
  01376 - Presentation/paper at a conference or professional association meeting
  01377 - Newspaper article
  09999 - Other
</t>
  </si>
  <si>
    <t xml:space="preserve">Purpose of Assessment Special Accommodation
  03574 - Student's IEP status
  03575 - Student's LEP status
  03576 - Student's 504 status
  03577 - Student's IEP and LEP status
  09999 - Other
</t>
  </si>
  <si>
    <t xml:space="preserve">Race for Federal Reporting
  00998 - American Indian or Alaska Native
  00999 - Asian
  01000 - Black or African American
  01001 - Native Hawaiian or Other Pacific Islander
  01002 - White
  02304 - Hispanic or Latino Ethnicity
  14559 - Two or more races
</t>
  </si>
  <si>
    <t xml:space="preserve">Readiness for Assignment of Greater Responsibility
  02343 - Immediately eligible
  02344 - In the future
  02345 - Not ready
  09999 - Other
</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</si>
  <si>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</si>
  <si>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 xml:space="preserve">Reason for Non-Entrance
  01960 - Chose not to accept services
  01961 - Distance from residence to school
  01663 - Home schooling
  01963 - Receiving instruction elsewhere
  01964 - Religious reason
  01965 - Not eligible for services
  09999 - Other
</t>
  </si>
  <si>
    <t xml:space="preserve">Reason for Variation
  06023 - Parent request
  06024 - New assessment information
  06025 - Consensus among team members
</t>
  </si>
  <si>
    <t xml:space="preserve">Reemployment Eligibility
  01627 - Eligible for reemployment
  01628 - Not eligible for reemployment
  01629 - Eligible on a conditional basis
</t>
  </si>
  <si>
    <t xml:space="preserve">Referral Status
  02141 - Referring provider
  02142 - Receiving provider
</t>
  </si>
  <si>
    <t xml:space="preserve">Referral Purpose
  02136 - Physical, health, sensory, and related conditions
  02137 - School work or for intellectual, social, or emotional reasons
</t>
  </si>
  <si>
    <t xml:space="preserve">Regional Funding Type
  06075 - Regional public health entity
  00214 - Regional or intermediate educational agency
  06076 - Regional social services entity
  06077 - Regional developmental disabilities entity
  09999 - Other
</t>
  </si>
  <si>
    <t xml:space="preserve">Regulation Promulation Requirement
  00866 - Public hearing
  00867 - Notify parents/public
  00869 - Waiting period
  00870 - Authority body vote
  00871 - Endorsements
  00872 - Signature
  09999 - Other
</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</si>
  <si>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</si>
  <si>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 xml:space="preserve">Report Type
  00150 - Application
  00151 - Management report
  00152 - Regularly scheduled update report 
  00153 - Funding report
  00155 - Final report
  09999 - Other
</t>
  </si>
  <si>
    <t xml:space="preserve">Reporting Means
  00624 - Letter or note
  00625 - Parent/guardian conference
  00626 - Report card/evaluation
  03485 - Progress report
  09999 - Other
</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</si>
  <si>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</si>
  <si>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</si>
  <si>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 xml:space="preserve">Resource Media
  00916 - Audiotape
  00917 - CD
  00918 - Diskette
  00919 - DVD
  00920 - Intranet/internet
  00921 - Print
  00923 - Television
  00924 - Videotape
  00146 - Film/filmstrip
  09999 - Other
</t>
  </si>
  <si>
    <t xml:space="preserve">Response Form Design
  00442 - Collaborative/group activity
  00443 - Computer response
  03465 - Direct coding
  00444 - Constructed-response
  00445 - Laboratory experiment
  00446 - Selected response
  00447 - Performance
  01281 - Portfolio 
  09999 - Other
</t>
  </si>
  <si>
    <t xml:space="preserve">Revenue from Community Service Activities Type
  13759 - Event fees
  13760 - Lease revenue
  73100 - User fees
</t>
  </si>
  <si>
    <t xml:space="preserve">Roof Type
  02530 - Metal
  02531 - Slate
  02532 - Asphalt shingle
  02533 - Built-up
  02534 - Single-ply
  02535 - Terra cotta tile
  02536 - Membrane
  09999 - Other
  13600 - Green roof
</t>
  </si>
  <si>
    <t xml:space="preserve">Safe Harbor Application for AYP
  14929 - AYP was met because Safe Harbor was applied
  14930 - AYP was not met even though Safe Harbor was applied
  14931 - Safe Harbor was not applied
</t>
  </si>
  <si>
    <t xml:space="preserve">School Food Services Eligibility Status Determination
  03130 - Household size and income application
  03131 - Categorical eligibility application 
  03132 - Direct certification
  09999 - Other
</t>
  </si>
  <si>
    <t xml:space="preserve">School Food Services Participation Basis 
  03133 - Individual student eligibility
  03134 - Food services site eligibility
  09999 - Other
</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</si>
  <si>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</si>
  <si>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 xml:space="preserve">School Honor or Award
  00414 - National school of excellence
  00415 - State school of excellence
  01559 - Monetary
  00406 - Accreditation
  09999 - Other
</t>
  </si>
  <si>
    <t xml:space="preserve">School Threat Violation
  04672 - Bomb threat
  04673 - Fire alarm
  04674 - Chemical/biological threat
  04675 - Terroristic threat
  09999 - Other
</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</si>
  <si>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</si>
  <si>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 xml:space="preserve">School/Local Education Agency Status
  01786 - Enrolled in the same school or local education agency
  01787 - Enrolled in a different school or local education agency
  01788 - Not enrolled in any school or local education agency
</t>
  </si>
  <si>
    <t xml:space="preserve">Scope of Assignment
  01613 - Statewide
  01614 - More-than-agency wide
  01615 - Agency wide
  01616 - Multi-operational unit but less-than-agency wide
  01617 - Single operational unit
</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</si>
  <si>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</si>
  <si>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</si>
  <si>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 xml:space="preserve">Service Alternatives
  02120 - Special assistance needed
</t>
  </si>
  <si>
    <t xml:space="preserve">Service Category Code
  13472 - Instructional service
  13473 - Related service (e.g. speech / language, vision)
  13474 - Transitional service
  13475 - Itinerant service
  09999 - Other
</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</si>
  <si>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</si>
  <si>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</si>
  <si>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 xml:space="preserve">Site Electrical Utilities
  02473 - Electrical distribution
  13601 - Exterior communications and security
  13602 - Exterior lighting
  13603 - Other electrical utilities
</t>
  </si>
  <si>
    <t xml:space="preserve">Site Improvements
  02443 - Landscaping
  13604 - Parking lots
  13605 - Pedestrian paving
  13606 - Roadways
  13607 - Site development
</t>
  </si>
  <si>
    <t xml:space="preserve">Site Preparation
  13608 - Hazardous waste remediation
  13609 - Site clearing
  13610 - Site demolition and relocations
  13611 - Site earthwork
</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</si>
  <si>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</si>
  <si>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 xml:space="preserve">Special Construction
  13612 - Integrated construction
  13613 - Special construction systems
  13614 - Special controls and instrumentation
  13615 - Special facilities
  13616 - Special structures
</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</si>
  <si>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</si>
  <si>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 xml:space="preserve">Staircases
  13617 - Stair construction
  13618 - Stair finishes
</t>
  </si>
  <si>
    <t xml:space="preserve">Standardization Group
  00938 - International
  00939 - National
  00005 - Regional
  00391 - State
  00862 - Local (e.g., school board, city council, municipal board)
  00675 - School
  00006 - Categorical type 
  09999 - Other
</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</si>
  <si>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</si>
  <si>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 xml:space="preserve">State Funding Type
  06072 - Part C lead agency
  03460 - State department of health
  00868 - State Education Agency
  06073 - State social services agency
  06074 - State developmental disabilities agency
  09999 - Other
</t>
  </si>
  <si>
    <t xml:space="preserve">State Transportation Aid Qualification
  02065 - Qualifies for regular aid
  02066 - Qualifies for special education aid
  02067 - Does not qualify
  09999 - Other
</t>
  </si>
  <si>
    <t xml:space="preserve">Status of Work Order Request
  02874 - Open
  02875 - Assigned
  02876 - Completed
  02877 - Reopened Work Order
  13684 - In Progress
</t>
  </si>
  <si>
    <t xml:space="preserve">Full-Time/Part-Time status
  01854 - Full-time student
  01855 - Part-time student
</t>
  </si>
  <si>
    <t xml:space="preserve">Tuition Status
  01878 - Full-tuition student
  01879 - Non-tuition student
  01880 - Partial-tuition student
</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</si>
  <si>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</si>
  <si>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 xml:space="preserve">Substitute Status
  01444 - Willing
  01445 - Not willing
  01446 - Currently substituting
</t>
  </si>
  <si>
    <t xml:space="preserve">Suicide Violation
  04679 - Suicide
  04680 - Attempted suicide
  09999 - Other
</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</si>
  <si>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</si>
  <si>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</si>
  <si>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 xml:space="preserve">Teacher Involvement in Assessment Development
  00453 - Developed items
  00454 - Edited items
  00455 - Piloted items
  00456 - Helped to select items
  00458 - Scored items
  00459 - Instrument selection
  03466 - Test form review
  09998 - None
  09999 - Other
</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</si>
  <si>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</si>
  <si>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</si>
  <si>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 xml:space="preserve">Technology Equipment Networking
  03190 - Connected to a local-area network (building-level LAN)
  03191 - Connected to a wide-area network (district-level WAN)
  03192 - Directly connected to the Internet
</t>
  </si>
  <si>
    <t xml:space="preserve">Technology Equipment Use/Purpose
  04732 - Teacher
  00126 - Student
  03187 - Administrative staff
  03188 - Support staff
  03189 - General reference
  09999 - Other
</t>
  </si>
  <si>
    <t xml:space="preserve">Test Score Status
  03446 - Not tested
  03447 - Valid score, used in AYP
  03448 - Valid score, not used in AYP
  03449 - Invalid score, used in AYP
  03450 - Invalid score, not used in AYP
</t>
  </si>
  <si>
    <t xml:space="preserve">Theft Violation
  04683 - General theft, Person
  04684 - General theft, Other entity
  09999 - Other
</t>
  </si>
  <si>
    <t xml:space="preserve">Threat/Intimidation Violation
  04687 - Physical threat
  04688 - Verbal threat
  04689 - Written threat
  04690 - Electronic threat
  09999 - Other
</t>
  </si>
  <si>
    <t xml:space="preserve">Time Period Classification
  01620 - Calendar year
  01621 - Fiscal year
</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</si>
  <si>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</si>
  <si>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 xml:space="preserve">Tobacco Violation
  04693 - Sale of tobacco
  04694 - Distribution of tobacco
  04695 - Use of tobacco
  04696 - Possession of tobacco
  04697 - Suspicion of use of tobacco
  09999 - Other
</t>
  </si>
  <si>
    <t xml:space="preserve">Track System
  02369 - Single-track
  02370 - Multi-track
</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</si>
  <si>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</si>
  <si>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</si>
  <si>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</si>
  <si>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 xml:space="preserve">Vandalism Violation
  04701 - Vandalism of school property
  04702 - Vandalism of personal property
  09999 - Other
</t>
  </si>
  <si>
    <t xml:space="preserve">Vehicle Driver's License Type
  01447 - Automobile license
  01448 - School bus license
  01449 - Heavy equipment license
  01450 - Commercial vehicle license
  01451 - Motorcycle license
  09999 - Other
</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</si>
  <si>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</si>
  <si>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 xml:space="preserve">Voting Status
  02052 - Registered
  02053 - Not registered
  02358 - Not eligible to vote
</t>
  </si>
  <si>
    <t xml:space="preserve">WAN Bandwidth to the Building
  03438 - 128K
  03439 - 256K
  03440 - 720K
  03441 - 1.5Mbps
  03435 - 10Mbps
  03436 - 100Mbps
  03437 - 1Gbps
  09999 - Other
</t>
  </si>
  <si>
    <t xml:space="preserve">Work Experience Paid
  02042 - Yes, a salary was received
  02043 - No, a salary was not received
  09997 - Unknown
</t>
  </si>
  <si>
    <t xml:space="preserve">Work Experience Required
  01102 - Required
  01103 - Not required
  09997 - Unknown
</t>
  </si>
  <si>
    <t xml:space="preserve">Work Order Priority
  02991 - Emergency priority
  02872 - Regular priority
  02873 - Low priority
</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</si>
  <si>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</si>
  <si>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 xml:space="preserve">AcademicAwardEarnedPriorToAdmission
  AssociateDegree
  BaccalaureateDegree
  Doctorate
  MastersDegree
  ProfessionalDegree
  TwoYearCollegeDiploma
</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</si>
  <si>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</si>
  <si>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 xml:space="preserve">AcademicCompletionIndicator
  true
  false
</t>
  </si>
  <si>
    <t xml:space="preserve">AcademicProgramDegreeLevel
  PostBaccalaureateCertificate
  UndergraduateCertificate
  AssociateDegree
  BaccalaureateDegree
  Certificate
  Doctorate
  GraduateDegree
  HighSchool
  MastersDegree
  NonDegree
  PostsecondaryDiploma
  ProfessionalDegree
</t>
  </si>
  <si>
    <t xml:space="preserve">AcademicProgramType
  Concentration
  Focus
  Major
  Minor
  SecondMajor
  Specialization
</t>
  </si>
  <si>
    <t xml:space="preserve">AcademicTrainingLevelCode
  Associate
  Bachelors
  Doctorate
  Graduate
  HighSchool
  Professional
</t>
  </si>
  <si>
    <t xml:space="preserve">FullTimePartTime
  FullTime
  PartTime
</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</si>
  <si>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</si>
  <si>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 xml:space="preserve">AchievementCategoryCode
  Academic
  Arts
  Athletic
  BusinessEmployment
  CommunityService
  Leadership
  Other
</t>
  </si>
  <si>
    <t xml:space="preserve">ActivityScopeCode
  International
  Local
  National
  Regional
</t>
  </si>
  <si>
    <t xml:space="preserve">AgencyCode
  Province
  State
  Regional
  National
  MutuallyDefined
  Migrant
  District
</t>
  </si>
  <si>
    <t xml:space="preserve">AnswerSelectedCode
  NotSelected
  Selected
</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</si>
  <si>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</si>
  <si>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 xml:space="preserve">YesNo
  Yes
  No
</t>
  </si>
  <si>
    <t xml:space="preserve">AttendedCollegeCode
  EitherParent
  GrandParent
  Siblings
  Spouse
</t>
  </si>
  <si>
    <t xml:space="preserve">CanadianEthnicityCode
  BillC31
  FirstNations
  FrenchAncestry
  Inuit
  Metis
</t>
  </si>
  <si>
    <t xml:space="preserve">CardIssuerCode
  AmericanExpress
  Discover
  MasterCard
  Other
  Visa
</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</si>
  <si>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</si>
  <si>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</si>
  <si>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 xml:space="preserve">ContactPreferenceCode
  Email
  InstantMessage
  Phone
  PostalMail
  TextMessage
</t>
  </si>
  <si>
    <t xml:space="preserve">CourseAcademicGradeStatusCode
  Completed
  PlanningToTake
  AuditedCourse
  HonorsGrade
  Incomplete
  IncompleteNotResolvedFail
  InProgress
  NotYetReported
  OtherFail
  OtherPass
  PassFailFail
  PassFailPass
  TransferNoGrade
  Withdrew
  WithdrewFailing
  WithdrewNoPenalty
  WithdrewPassing
</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</si>
  <si>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</si>
  <si>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 xml:space="preserve">CourseApplicability
  BothPrograms
  FirstProgram
  SecondProgram
  NotApplicable
</t>
  </si>
  <si>
    <t xml:space="preserve">CourseCreditBasis
  Correspondence
  LifeExperience
  AcademicRenewal
  AdultBasic
  AdvancedPlacement
  AdvancedStanding
  ContinuingEducation
  CreditByExam
  Equivalence
  Exemption
  HighSchoolCreditOnly
  HighSchoolDualCredit
  HighSchoolTransferCredit
  InternationalBaccalaureate
  JuniorHighSchoolCredit
  Major
  Military
  Regular
  Remedial
</t>
  </si>
  <si>
    <t xml:space="preserve">CourseCreditLevel
  Grade13
  Ungraded
  Dual
  DualGraduateUndergraduate
  DualHighSchoolCollege
  EighthGrade
  EleventhGrade
  Graduate
  GraduateProfessional
  LowerDivision
  Professional
  NinthGrade
  Secondary
  SeventhGrade
  TechnicalPreparatory
  TenthGrade
  TwelfthGrade
  Undergraduate
  UpperDivision
  Vocational
</t>
  </si>
  <si>
    <t xml:space="preserve">CourseLevel
  Dual Grad/Upper
  Dual HS/Undergrad
  Accelerated
  AdultBasic
  AdvancedPlacement
  Basic
  CollegeLevel
  CollegePreparatory
  Dual
  GiftedTalented
  GraduateProfessional
  Honors
  InternationalBaccalaureate
  LowerDivision
  NonAcademic
  Regents
  Remedial
  SpecialEducation
  TechnicalPreparatory
  UpperDivision
  Vocational
</t>
  </si>
  <si>
    <t xml:space="preserve">CPTTrainingLevelCode
  Associate
  Bachelors
  Doctorate
  Graduate
  HighSchool
  Professional
</t>
  </si>
  <si>
    <t xml:space="preserve">CreditUnit
  CarnegieUnits
  ClockHours
  ContinuingEducationUnits
  NoCredit
  Other
  Quarter
  Semester
  Units
  Unreported
</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</si>
  <si>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</si>
  <si>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</si>
  <si>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 xml:space="preserve">DependencyStatusCode
  Dependent
  Independent
</t>
  </si>
  <si>
    <t xml:space="preserve">DesignateCode
  AuthorizedDesignate
  EmergencyContact
</t>
  </si>
  <si>
    <t xml:space="preserve">EarlyIndicatorCode
  EarlyAction
  EarlyAdmission
  EarlyDecision
  RestrictedEarlyAction
</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</si>
  <si>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</si>
  <si>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</si>
  <si>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 xml:space="preserve">FeeWaiverBasisCode
  AmeriCorps
  Employee
  EmployeeDependent
  GoverningBoard
  LowIncome
  Other
  PeaceCorps
  PreviouslyPaid
  School
  SeniorCitizen
  TestAgency
</t>
  </si>
  <si>
    <t xml:space="preserve">FundingSourceCode
  BiNationalCommission
  Employment
  ExchangeVisitorGovernment
  InternationalOrganization
  Other
  Personal
  ProgramSponsorFunds
  School
  USGovernmentFundsl
</t>
  </si>
  <si>
    <t xml:space="preserve">GradeLevel
  Grade9
  Grade10
  Grade11
  Grade12
  PostSecondary
</t>
  </si>
  <si>
    <t xml:space="preserve">HomesteadExemptionClaimedCode
  No
  Pending
  Yes
</t>
  </si>
  <si>
    <t xml:space="preserve">HonorsLevel
  FirstHighest
  SecondHighest
  ThirdHighest
</t>
  </si>
  <si>
    <t xml:space="preserve">HousingInformationCode
  Family
  General
  OffCampus
  OnCampus
</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</si>
  <si>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</si>
  <si>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</si>
  <si>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</si>
  <si>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 xml:space="preserve">InstructionUsage
  Examination
  Instruction
  WrittenExam
</t>
  </si>
  <si>
    <t xml:space="preserve">InterestedInCode
  Art
  AthleticsIntramural
  AthleticsVarsity
  Band
  CadetCorps
  HonorsProgram
  IndependentStudy
  ROTCAirForce
  ROTCArmy
  ROTCGeneral
  ROTCNavyMarine
  SororityFraternityClub
</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</si>
  <si>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</si>
  <si>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 xml:space="preserve">LanguageProficiency
  Unknown
  Unacceptable
  RedesignatedFluentEnglishProficient
  Poor
  NonEnglishSpeaking
  LimitedEnglishProficiency
  Good
  FullyEnglishProficient
  Fair
  Excellent
  EnglishOnly
</t>
  </si>
  <si>
    <t xml:space="preserve">LanguageUsage
  Always
  FirstSpokenLanguage
  SomeSections
  Sometimes
  WrittenCommunication
  Native
  Reading
  Speaking
  SpokenAtHome
  Writing
</t>
  </si>
  <si>
    <t xml:space="preserve">LeadershipCharacteristicCode
  Elected
  NonElected
</t>
  </si>
  <si>
    <t xml:space="preserve">LegacyAlumniCode
  Child
  Father
  Mother
  Sibling
  Spouse
</t>
  </si>
  <si>
    <t xml:space="preserve">LegalStatusCode
  NonStatus
  Status
</t>
  </si>
  <si>
    <t xml:space="preserve">MaritalStatusChangeCode
  Cohabitation
  Divorced
  DomesticPartnership
  LegallySeparated
  Married
  None
  Other
  Unknown
  Widowed
</t>
  </si>
  <si>
    <t xml:space="preserve">MaritalStatusCode
  CommonLaw
  Divorced
  LegallySeparated
  Married
  RegisteredPartnership
  Separated
  Single
  Unknown
  Unmarried
  Unreported
  Widowed
</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</si>
  <si>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</si>
  <si>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 xml:space="preserve">NameCode
  Casual
  Formal
  Former
  LawSchoolApplicationSource
  Legal
  MedicalSchoolApplicationSource
  Nickname
  Other
</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</si>
  <si>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</si>
  <si>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 xml:space="preserve">ParentsMaritalStatusCode
  CommonLaw
  Divorced
  LegallySeparated
  Married
  NeverMarried
  RegisteredDomesticPartners
  Separated
  Single
  Unknown
  Unmarried
  Unreported
  Widowed
</t>
  </si>
  <si>
    <t xml:space="preserve">PassportInformationAvailableCode
  InformationNotAvailable
  NotYetIssued
</t>
  </si>
  <si>
    <t xml:space="preserve">PaymentMethodCode
  BankWire
  Cash
  Check
  CreditCard
  DebitCard
  FeeWaiver
  GuaranteedFunds
  MoneyOrder
  Other
  OtherAgency
</t>
  </si>
  <si>
    <t xml:space="preserve">PlanToApplyForCode
  CampusEmployment
  CoOp
  Fellowship
  FinancialAid
  HonorsProgram
  Housing
  Internship
  NationalStudentExchange
  ResearchAssistantship
  Scholarship
  StudyAbroad
  TeachingAssistantship
</t>
  </si>
  <si>
    <t xml:space="preserve">PostsecondarySchoolCategory
  PrivateFourYear
  PrivateGraduateProfessional
  PrivateTwoYear
  PublicFourYear
  PublicGraduateProfessional
  PublicTwoYear
</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</si>
  <si>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</si>
  <si>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 xml:space="preserve">ProgramSecondarySchoolCode
  CareerPrep
  CollegePrep
  CollegePrepOrCollegeTechhPrep
  CollegeTechPrep
  General
  Occupational
  Vocational
</t>
  </si>
  <si>
    <t xml:space="preserve">QuestionAreaCode
  AcademicRecord
  Admissions
  Biographical
  Education
  Employment
  Essay
  ExtraCurricularActivities
  Family
  FinancialAid
  General
  Health
  HonorsAwards
  Housing
  Immigration
  Other
  Personal
  References
  Residency
  Scholarship
  Tests
</t>
  </si>
  <si>
    <t xml:space="preserve">QuestionFormatCode
  CheckBox
  DropDownMenu
  NoInput
  OneLineText
  RadioButton
  TextArea
</t>
  </si>
  <si>
    <t xml:space="preserve">QuestionRequiredCode
  Optional
  Required
</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</si>
  <si>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</si>
  <si>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 xml:space="preserve">ResidencyStatusCode
  InCity
  InCounty
  InDistrict
  InState
  NonResident
  NotReported
  OtherResident
  Resident
</t>
  </si>
  <si>
    <t xml:space="preserve">SchoolAppliedEmployedCode
  Applicant
  FamilyMember
  Father
  Mother
</t>
  </si>
  <si>
    <t xml:space="preserve">SchoolOverrideCode
  Coop
  Institutional
  Internship
  MultiCampus
  Reciprocal
  StudyAbroad
  Transfer
</t>
  </si>
  <si>
    <t xml:space="preserve">SecondarySchoolCategoryCode
  Charter
  HomeSchool
  Independent
  Parochial
  Private
  Public
</t>
  </si>
  <si>
    <t xml:space="preserve">SponsorCode
  ForeignCompany
  ForeignGovernment
  Institution
  Organization
  Other
  Parent
  Relative
  Self
  Spouse
  Unknown
  USCompany
  USGovernment
</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</si>
  <si>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</si>
  <si>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 xml:space="preserve">SupplementalGradeCode
  BiCourseGrade
  BlendedFinalGrade
  ExamGrade
  InstructorAssignedGrade
  SubSessionGrade
  TriCourseGrade
</t>
  </si>
  <si>
    <t xml:space="preserve">TreatyCode
  NonTreaty
  Treaty
</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</si>
  <si>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</si>
  <si>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 xml:space="preserve">VisaReasonForUSBornCode
  BornInUSToForeignDiplomat
  Expatriated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</si>
</sst>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9">
    <xf numFmtId="0" fontId="0" fillId="0" borderId="0" xfId="0"/>
    <xf numFmtId="0" fontId="16" fillId="33" borderId="10" xfId="0" applyFont="1" applyFill="1" applyBorder="1" applyAlignment="1">
      <alignment horizontal="left" wrapText="1"/>
    </xf>
    <xf numFmtId="0" fontId="16" fillId="33" borderId="0" xfId="0" applyFont="1" applyFill="1" applyBorder="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16" fillId="33" borderId="0" xfId="0" applyFont="1" applyFill="1" applyAlignment="1">
      <alignment horizontal="left" wrapText="1"/>
    </xf>
    <xf numFmtId="0" fontId="16" fillId="33" borderId="10" xfId="0" applyFont="1" applyFill="1" applyBorder="1" applyAlignment="1">
      <alignment horizontal="left" vertical="top" wrapText="1"/>
    </xf>
    <xf numFmtId="0" fontId="0" fillId="0" borderId="10" xfId="0" applyBorder="1" applyAlignment="1">
      <alignment vertical="top" wrapText="1"/>
    </xf>
    <xf numFmtId="0" fontId="0" fillId="0" borderId="10" xfId="0" applyBorder="1" applyAlignment="1">
      <alignment horizontal="left" vertical="top" wrapText="1"/>
    </xf>
    <xf numFmtId="0" fontId="18" fillId="0" borderId="10" xfId="42" applyBorder="1" applyAlignment="1">
      <alignment horizontal="left" vertical="top" wrapText="1"/>
    </xf>
    <xf numFmtId="0" fontId="0" fillId="0" borderId="10" xfId="0" applyBorder="1" applyAlignment="1">
      <alignment horizontal="left" vertical="top" wrapText="1"/>
    </xf>
    <xf numFmtId="0" fontId="0" fillId="0" borderId="10" xfId="0" applyBorder="1" applyAlignment="1">
      <alignment vertical="top"/>
    </xf>
    <xf numFmtId="0" fontId="0" fillId="0" borderId="10" xfId="0" applyBorder="1" applyAlignment="1">
      <alignment horizontal="left" vertical="top" wrapText="1"/>
    </xf>
    <xf numFmtId="49" fontId="16" fillId="33" borderId="10" xfId="0" applyNumberFormat="1" applyFont="1" applyFill="1" applyBorder="1" applyAlignment="1">
      <alignment horizontal="left" wrapText="1"/>
    </xf>
    <xf numFmtId="49" fontId="0" fillId="0" borderId="10" xfId="0" applyNumberFormat="1" applyBorder="1" applyAlignment="1">
      <alignment horizontal="left" vertical="top" wrapText="1"/>
    </xf>
    <xf numFmtId="49" fontId="0" fillId="0" borderId="0" xfId="0" applyNumberFormat="1"/>
    <xf numFmtId="0" fontId="0" fillId="0" borderId="10" xfId="0" applyFont="1" applyBorder="1" applyAlignment="1">
      <alignment horizontal="left" vertical="top" wrapText="1"/>
    </xf>
    <xf numFmtId="0" fontId="0" fillId="0" borderId="0" xfId="0" applyFont="1"/>
    <xf numFmtId="0" fontId="0" fillId="0" borderId="10" xfId="0" applyFont="1" applyBorder="1" applyAlignment="1">
      <alignment vertical="top" wrapText="1"/>
    </xf>
    <xf numFmtId="49" fontId="0" fillId="0" borderId="10" xfId="0" applyNumberFormat="1" applyBorder="1" applyAlignment="1">
      <alignment vertical="top" wrapText="1"/>
    </xf>
    <xf numFmtId="0" fontId="0" fillId="0" borderId="0" xfId="0" applyAlignment="1">
      <alignment wrapText="1"/>
    </xf>
    <xf numFmtId="49" fontId="16" fillId="33" borderId="11" xfId="0" applyNumberFormat="1" applyFont="1" applyFill="1" applyBorder="1" applyAlignment="1">
      <alignment horizontal="left" wrapText="1"/>
    </xf>
    <xf numFmtId="0" fontId="0" fillId="0" borderId="10" xfId="0" applyBorder="1"/>
    <xf numFmtId="0" fontId="0" fillId="0" borderId="10" xfId="0" applyFont="1" applyBorder="1"/>
    <xf numFmtId="0" fontId="0" fillId="0" borderId="10" xfId="0" applyBorder="1" applyAlignment="1">
      <alignment wrapText="1"/>
    </xf>
    <xf numFmtId="49" fontId="0" fillId="0" borderId="10" xfId="0" applyNumberFormat="1" applyBorder="1"/>
    <xf numFmtId="0" fontId="0" fillId="0" borderId="10" xfId="0" applyFont="1" applyBorder="1" applyAlignment="1">
      <alignment wrapText="1"/>
    </xf>
    <xf numFmtId="49" fontId="16" fillId="33" borderId="10" xfId="0" applyNumberFormat="1" applyFont="1" applyFill="1" applyBorder="1" applyAlignment="1">
      <alignment horizontal="left" vertical="top" wrapText="1"/>
    </xf>
    <xf numFmtId="0" fontId="0" fillId="0" borderId="0" xfId="0" applyFont="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M24"/>
  <sheetViews>
    <sheetView showGridLines="0" workbookViewId="0">
      <selection activeCell="B2" sqref="B2"/>
    </sheetView>
  </sheetViews>
  <sheetFormatPr defaultRowHeight="14.4" x14ac:dyDescent="0.3"/>
  <cols>
    <col min="1" max="2" width="36.5546875" bestFit="1" customWidth="1"/>
    <col min="3" max="3" width="36.5546875" style="17" bestFit="1" customWidth="1"/>
    <col min="4" max="4" width="36.5546875" bestFit="1" customWidth="1"/>
    <col min="5" max="5" width="9.44140625" bestFit="1" customWidth="1"/>
    <col min="6" max="8" width="36.5546875" bestFit="1" customWidth="1"/>
    <col min="9" max="9" width="9.44140625" style="15" bestFit="1" customWidth="1"/>
    <col min="10" max="12" width="36.5546875" bestFit="1" customWidth="1"/>
    <col min="13" max="13" width="28" customWidth="1"/>
  </cols>
  <sheetData>
    <row r="1" spans="1:13" s="2" customFormat="1" x14ac:dyDescent="0.3">
      <c r="A1" s="1" t="s">
        <v>0</v>
      </c>
      <c r="B1" s="1" t="s">
        <v>1</v>
      </c>
      <c r="C1" s="1" t="s">
        <v>2</v>
      </c>
      <c r="D1" s="1" t="s">
        <v>3</v>
      </c>
      <c r="E1" s="1" t="s">
        <v>4</v>
      </c>
      <c r="F1" s="1" t="s">
        <v>5</v>
      </c>
      <c r="G1" s="1" t="s">
        <v>6</v>
      </c>
      <c r="H1" s="1" t="s">
        <v>7</v>
      </c>
      <c r="I1" s="13" t="s">
        <v>8</v>
      </c>
      <c r="J1" s="1" t="s">
        <v>9</v>
      </c>
      <c r="K1" s="1" t="s">
        <v>10</v>
      </c>
      <c r="L1" s="1" t="s">
        <v>11</v>
      </c>
      <c r="M1" s="1" t="s">
        <v>12</v>
      </c>
    </row>
    <row r="2" spans="1:13" ht="360" x14ac:dyDescent="0.3">
      <c r="A2" s="8" t="s">
        <v>7947</v>
      </c>
      <c r="B2" s="8" t="s">
        <v>7948</v>
      </c>
      <c r="C2" s="16" t="s">
        <v>32</v>
      </c>
      <c r="D2" s="8" t="s">
        <v>8384</v>
      </c>
      <c r="E2" s="8" t="s">
        <v>167</v>
      </c>
      <c r="F2" s="8" t="s">
        <v>148</v>
      </c>
      <c r="G2" s="8" t="s">
        <v>7949</v>
      </c>
      <c r="H2" s="8"/>
      <c r="I2" s="14" t="s">
        <v>8351</v>
      </c>
      <c r="J2" s="8"/>
      <c r="K2" s="8" t="s">
        <v>7950</v>
      </c>
      <c r="L2" s="8"/>
      <c r="M2" s="8" t="str">
        <f>HYPERLINK("https://ceds.ed.gov/cedselementdetails.aspx?termid=22972")</f>
        <v>https://ceds.ed.gov/cedselementdetails.aspx?termid=22972</v>
      </c>
    </row>
    <row r="3" spans="1:13" ht="360" x14ac:dyDescent="0.3">
      <c r="A3" s="8" t="s">
        <v>7951</v>
      </c>
      <c r="B3" s="8" t="s">
        <v>7952</v>
      </c>
      <c r="C3" s="16" t="s">
        <v>8376</v>
      </c>
      <c r="D3" s="8" t="s">
        <v>8384</v>
      </c>
      <c r="E3" s="8" t="s">
        <v>167</v>
      </c>
      <c r="F3" s="8" t="s">
        <v>2</v>
      </c>
      <c r="G3" s="8" t="s">
        <v>7949</v>
      </c>
      <c r="H3" s="8"/>
      <c r="I3" s="14" t="s">
        <v>8352</v>
      </c>
      <c r="J3" s="8"/>
      <c r="K3" s="8" t="s">
        <v>7953</v>
      </c>
      <c r="L3" s="8"/>
      <c r="M3" s="8" t="str">
        <f>HYPERLINK("https://ceds.ed.gov/cedselementdetails.aspx?termid=22973")</f>
        <v>https://ceds.ed.gov/cedselementdetails.aspx?termid=22973</v>
      </c>
    </row>
    <row r="4" spans="1:13" ht="86.4" x14ac:dyDescent="0.3">
      <c r="A4" s="8" t="s">
        <v>8023</v>
      </c>
      <c r="B4" s="8" t="s">
        <v>8024</v>
      </c>
      <c r="C4" s="16" t="s">
        <v>8377</v>
      </c>
      <c r="D4" s="8" t="s">
        <v>8374</v>
      </c>
      <c r="E4" s="8" t="s">
        <v>167</v>
      </c>
      <c r="F4" s="8" t="s">
        <v>2</v>
      </c>
      <c r="G4" s="8" t="s">
        <v>7949</v>
      </c>
      <c r="H4" s="8"/>
      <c r="I4" s="14" t="s">
        <v>8353</v>
      </c>
      <c r="J4" s="8"/>
      <c r="K4" s="8" t="s">
        <v>8025</v>
      </c>
      <c r="L4" s="8"/>
      <c r="M4" s="8" t="str">
        <f>HYPERLINK("https://ceds.ed.gov/cedselementdetails.aspx?termid=22974")</f>
        <v>https://ceds.ed.gov/cedselementdetails.aspx?termid=22974</v>
      </c>
    </row>
    <row r="5" spans="1:13" ht="158.4" x14ac:dyDescent="0.3">
      <c r="A5" s="8" t="s">
        <v>8059</v>
      </c>
      <c r="B5" s="8" t="s">
        <v>8060</v>
      </c>
      <c r="C5" s="16" t="s">
        <v>22</v>
      </c>
      <c r="D5" s="8" t="s">
        <v>8385</v>
      </c>
      <c r="E5" s="8" t="s">
        <v>167</v>
      </c>
      <c r="F5" s="8" t="s">
        <v>2</v>
      </c>
      <c r="G5" s="8" t="s">
        <v>7949</v>
      </c>
      <c r="H5" s="8" t="s">
        <v>8061</v>
      </c>
      <c r="I5" s="14" t="s">
        <v>8354</v>
      </c>
      <c r="J5" s="8"/>
      <c r="K5" s="8" t="s">
        <v>8062</v>
      </c>
      <c r="L5" s="8"/>
      <c r="M5" s="8" t="str">
        <f>HYPERLINK("https://ceds.ed.gov/cedselementdetails.aspx?termid=22975")</f>
        <v>https://ceds.ed.gov/cedselementdetails.aspx?termid=22975</v>
      </c>
    </row>
    <row r="6" spans="1:13" ht="72" x14ac:dyDescent="0.3">
      <c r="A6" s="8" t="s">
        <v>8086</v>
      </c>
      <c r="B6" s="8" t="s">
        <v>8087</v>
      </c>
      <c r="C6" s="16" t="s">
        <v>32</v>
      </c>
      <c r="D6" s="8" t="s">
        <v>8386</v>
      </c>
      <c r="E6" s="8" t="s">
        <v>167</v>
      </c>
      <c r="F6" s="8" t="s">
        <v>148</v>
      </c>
      <c r="G6" s="8" t="s">
        <v>7949</v>
      </c>
      <c r="H6" s="8"/>
      <c r="I6" s="14" t="s">
        <v>8355</v>
      </c>
      <c r="J6" s="8"/>
      <c r="K6" s="8" t="s">
        <v>8088</v>
      </c>
      <c r="L6" s="8"/>
      <c r="M6" s="8" t="str">
        <f>HYPERLINK("https://ceds.ed.gov/cedselementdetails.aspx?termid=22976")</f>
        <v>https://ceds.ed.gov/cedselementdetails.aspx?termid=22976</v>
      </c>
    </row>
    <row r="7" spans="1:13" ht="72" x14ac:dyDescent="0.3">
      <c r="A7" s="8" t="s">
        <v>8089</v>
      </c>
      <c r="B7" s="8" t="s">
        <v>8090</v>
      </c>
      <c r="C7" s="16" t="s">
        <v>32</v>
      </c>
      <c r="D7" s="8" t="s">
        <v>8386</v>
      </c>
      <c r="E7" s="8" t="s">
        <v>167</v>
      </c>
      <c r="F7" s="8" t="s">
        <v>148</v>
      </c>
      <c r="G7" s="8" t="s">
        <v>7949</v>
      </c>
      <c r="H7" s="8"/>
      <c r="I7" s="14" t="s">
        <v>8356</v>
      </c>
      <c r="J7" s="8"/>
      <c r="K7" s="8" t="s">
        <v>8091</v>
      </c>
      <c r="L7" s="8"/>
      <c r="M7" s="8" t="str">
        <f>HYPERLINK("https://ceds.ed.gov/cedselementdetails.aspx?termid=22977")</f>
        <v>https://ceds.ed.gov/cedselementdetails.aspx?termid=22977</v>
      </c>
    </row>
    <row r="8" spans="1:13" ht="43.2" x14ac:dyDescent="0.3">
      <c r="A8" s="8" t="s">
        <v>8102</v>
      </c>
      <c r="B8" s="8" t="s">
        <v>8103</v>
      </c>
      <c r="C8" s="16" t="s">
        <v>8378</v>
      </c>
      <c r="D8" s="8" t="s">
        <v>8375</v>
      </c>
      <c r="E8" s="8" t="s">
        <v>167</v>
      </c>
      <c r="F8" s="8" t="s">
        <v>2</v>
      </c>
      <c r="G8" s="8" t="s">
        <v>7949</v>
      </c>
      <c r="H8" s="8"/>
      <c r="I8" s="14" t="s">
        <v>8357</v>
      </c>
      <c r="J8" s="8"/>
      <c r="K8" s="8" t="s">
        <v>8104</v>
      </c>
      <c r="L8" s="8"/>
      <c r="M8" s="8" t="str">
        <f>HYPERLINK("https://ceds.ed.gov/cedselementdetails.aspx?termid=22978")</f>
        <v>https://ceds.ed.gov/cedselementdetails.aspx?termid=22978</v>
      </c>
    </row>
    <row r="9" spans="1:13" ht="403.2" x14ac:dyDescent="0.3">
      <c r="A9" s="8" t="s">
        <v>8109</v>
      </c>
      <c r="B9" s="8" t="s">
        <v>8110</v>
      </c>
      <c r="C9" s="16" t="s">
        <v>32</v>
      </c>
      <c r="D9" s="8" t="s">
        <v>8387</v>
      </c>
      <c r="E9" s="8" t="s">
        <v>167</v>
      </c>
      <c r="F9" s="8" t="s">
        <v>1699</v>
      </c>
      <c r="G9" s="8" t="s">
        <v>7949</v>
      </c>
      <c r="H9" s="8" t="s">
        <v>8111</v>
      </c>
      <c r="I9" s="14" t="s">
        <v>8358</v>
      </c>
      <c r="J9" s="8"/>
      <c r="K9" s="8" t="s">
        <v>8112</v>
      </c>
      <c r="L9" s="8"/>
      <c r="M9" s="8" t="str">
        <f>HYPERLINK("https://ceds.ed.gov/cedselementdetails.aspx?termid=22979")</f>
        <v>https://ceds.ed.gov/cedselementdetails.aspx?termid=22979</v>
      </c>
    </row>
    <row r="10" spans="1:13" ht="57.6" x14ac:dyDescent="0.3">
      <c r="A10" s="8" t="s">
        <v>8123</v>
      </c>
      <c r="B10" s="8" t="s">
        <v>8124</v>
      </c>
      <c r="C10" s="16" t="s">
        <v>8379</v>
      </c>
      <c r="D10" s="8" t="s">
        <v>8388</v>
      </c>
      <c r="E10" s="8" t="s">
        <v>167</v>
      </c>
      <c r="F10" s="8" t="s">
        <v>2</v>
      </c>
      <c r="G10" s="8" t="s">
        <v>7949</v>
      </c>
      <c r="H10" s="8"/>
      <c r="I10" s="14" t="s">
        <v>8359</v>
      </c>
      <c r="J10" s="8"/>
      <c r="K10" s="8" t="s">
        <v>8125</v>
      </c>
      <c r="L10" s="8"/>
      <c r="M10" s="8" t="str">
        <f>HYPERLINK("https://ceds.ed.gov/cedselementdetails.aspx?termid=22980")</f>
        <v>https://ceds.ed.gov/cedselementdetails.aspx?termid=22980</v>
      </c>
    </row>
    <row r="11" spans="1:13" ht="43.2" x14ac:dyDescent="0.3">
      <c r="A11" s="8" t="s">
        <v>8131</v>
      </c>
      <c r="B11" s="8" t="s">
        <v>8132</v>
      </c>
      <c r="C11" s="16" t="s">
        <v>8380</v>
      </c>
      <c r="D11" s="8" t="s">
        <v>8388</v>
      </c>
      <c r="E11" s="8" t="s">
        <v>167</v>
      </c>
      <c r="F11" s="8" t="s">
        <v>2</v>
      </c>
      <c r="G11" s="8" t="s">
        <v>7949</v>
      </c>
      <c r="H11" s="8"/>
      <c r="I11" s="14" t="s">
        <v>8360</v>
      </c>
      <c r="J11" s="8"/>
      <c r="K11" s="8" t="s">
        <v>8133</v>
      </c>
      <c r="L11" s="8"/>
      <c r="M11" s="8" t="str">
        <f>HYPERLINK("https://ceds.ed.gov/cedselementdetails.aspx?termid=22981")</f>
        <v>https://ceds.ed.gov/cedselementdetails.aspx?termid=22981</v>
      </c>
    </row>
    <row r="12" spans="1:13" ht="144" x14ac:dyDescent="0.3">
      <c r="A12" s="8" t="s">
        <v>8140</v>
      </c>
      <c r="B12" s="8" t="s">
        <v>8141</v>
      </c>
      <c r="C12" s="16" t="s">
        <v>8379</v>
      </c>
      <c r="D12" s="8" t="s">
        <v>8388</v>
      </c>
      <c r="E12" s="8" t="s">
        <v>167</v>
      </c>
      <c r="F12" s="8" t="s">
        <v>2</v>
      </c>
      <c r="G12" s="8" t="s">
        <v>7949</v>
      </c>
      <c r="H12" s="8"/>
      <c r="I12" s="14" t="s">
        <v>8361</v>
      </c>
      <c r="J12" s="8"/>
      <c r="K12" s="8" t="s">
        <v>8142</v>
      </c>
      <c r="L12" s="8"/>
      <c r="M12" s="8" t="str">
        <f>HYPERLINK("https://ceds.ed.gov/cedselementdetails.aspx?termid=22982")</f>
        <v>https://ceds.ed.gov/cedselementdetails.aspx?termid=22982</v>
      </c>
    </row>
    <row r="13" spans="1:13" ht="100.8" x14ac:dyDescent="0.3">
      <c r="A13" s="8" t="s">
        <v>8143</v>
      </c>
      <c r="B13" s="8" t="s">
        <v>8144</v>
      </c>
      <c r="C13" s="16" t="s">
        <v>8379</v>
      </c>
      <c r="D13" s="8" t="s">
        <v>8388</v>
      </c>
      <c r="E13" s="8" t="s">
        <v>167</v>
      </c>
      <c r="F13" s="8" t="s">
        <v>2</v>
      </c>
      <c r="G13" s="8" t="s">
        <v>7949</v>
      </c>
      <c r="H13" s="8"/>
      <c r="I13" s="14" t="s">
        <v>8362</v>
      </c>
      <c r="J13" s="8"/>
      <c r="K13" s="8" t="s">
        <v>8145</v>
      </c>
      <c r="L13" s="8"/>
      <c r="M13" s="8" t="str">
        <f>HYPERLINK("https://ceds.ed.gov/cedselementdetails.aspx?termid=22983")</f>
        <v>https://ceds.ed.gov/cedselementdetails.aspx?termid=22983</v>
      </c>
    </row>
    <row r="14" spans="1:13" ht="57.6" x14ac:dyDescent="0.3">
      <c r="A14" s="8" t="s">
        <v>8146</v>
      </c>
      <c r="B14" s="8" t="s">
        <v>8147</v>
      </c>
      <c r="C14" s="16" t="s">
        <v>8379</v>
      </c>
      <c r="D14" s="8" t="s">
        <v>8388</v>
      </c>
      <c r="E14" s="8" t="s">
        <v>167</v>
      </c>
      <c r="F14" s="8" t="s">
        <v>2</v>
      </c>
      <c r="G14" s="8" t="s">
        <v>7949</v>
      </c>
      <c r="H14" s="8"/>
      <c r="I14" s="14" t="s">
        <v>8363</v>
      </c>
      <c r="J14" s="8"/>
      <c r="K14" s="8" t="s">
        <v>8148</v>
      </c>
      <c r="L14" s="8"/>
      <c r="M14" s="8" t="str">
        <f>HYPERLINK("https://ceds.ed.gov/cedselementdetails.aspx?termid=22984")</f>
        <v>https://ceds.ed.gov/cedselementdetails.aspx?termid=22984</v>
      </c>
    </row>
    <row r="15" spans="1:13" ht="43.2" x14ac:dyDescent="0.3">
      <c r="A15" s="8" t="s">
        <v>8149</v>
      </c>
      <c r="B15" s="8" t="s">
        <v>8150</v>
      </c>
      <c r="C15" s="16" t="s">
        <v>8379</v>
      </c>
      <c r="D15" s="8" t="s">
        <v>8388</v>
      </c>
      <c r="E15" s="8" t="s">
        <v>167</v>
      </c>
      <c r="F15" s="8" t="s">
        <v>2</v>
      </c>
      <c r="G15" s="8" t="s">
        <v>7949</v>
      </c>
      <c r="H15" s="8"/>
      <c r="I15" s="14" t="s">
        <v>8364</v>
      </c>
      <c r="J15" s="8"/>
      <c r="K15" s="8" t="s">
        <v>8151</v>
      </c>
      <c r="L15" s="8"/>
      <c r="M15" s="8" t="str">
        <f>HYPERLINK("https://ceds.ed.gov/cedselementdetails.aspx?termid=22985")</f>
        <v>https://ceds.ed.gov/cedselementdetails.aspx?termid=22985</v>
      </c>
    </row>
    <row r="16" spans="1:13" ht="43.2" x14ac:dyDescent="0.3">
      <c r="A16" s="8" t="s">
        <v>8182</v>
      </c>
      <c r="B16" s="8" t="s">
        <v>8183</v>
      </c>
      <c r="C16" s="16" t="s">
        <v>8379</v>
      </c>
      <c r="D16" s="8" t="s">
        <v>8388</v>
      </c>
      <c r="E16" s="8" t="s">
        <v>167</v>
      </c>
      <c r="F16" s="8" t="s">
        <v>2</v>
      </c>
      <c r="G16" s="8" t="s">
        <v>7949</v>
      </c>
      <c r="H16" s="8"/>
      <c r="I16" s="14" t="s">
        <v>8365</v>
      </c>
      <c r="J16" s="8"/>
      <c r="K16" s="8" t="s">
        <v>8184</v>
      </c>
      <c r="L16" s="8"/>
      <c r="M16" s="8" t="str">
        <f>HYPERLINK("https://ceds.ed.gov/cedselementdetails.aspx?termid=22986")</f>
        <v>https://ceds.ed.gov/cedselementdetails.aspx?termid=22986</v>
      </c>
    </row>
    <row r="17" spans="1:13" ht="43.2" x14ac:dyDescent="0.3">
      <c r="A17" s="8" t="s">
        <v>8185</v>
      </c>
      <c r="B17" s="8" t="s">
        <v>8186</v>
      </c>
      <c r="C17" s="16" t="s">
        <v>8379</v>
      </c>
      <c r="D17" s="8" t="s">
        <v>8388</v>
      </c>
      <c r="E17" s="8" t="s">
        <v>167</v>
      </c>
      <c r="F17" s="8" t="s">
        <v>2</v>
      </c>
      <c r="G17" s="8" t="s">
        <v>7949</v>
      </c>
      <c r="H17" s="8"/>
      <c r="I17" s="14" t="s">
        <v>8366</v>
      </c>
      <c r="J17" s="8"/>
      <c r="K17" s="8" t="s">
        <v>8187</v>
      </c>
      <c r="L17" s="8"/>
      <c r="M17" s="8" t="str">
        <f>HYPERLINK("https://ceds.ed.gov/cedselementdetails.aspx?termid=22987")</f>
        <v>https://ceds.ed.gov/cedselementdetails.aspx?termid=22987</v>
      </c>
    </row>
    <row r="18" spans="1:13" ht="43.2" x14ac:dyDescent="0.3">
      <c r="A18" s="8" t="s">
        <v>8188</v>
      </c>
      <c r="B18" s="8" t="s">
        <v>8189</v>
      </c>
      <c r="C18" s="16" t="s">
        <v>8379</v>
      </c>
      <c r="D18" s="8" t="s">
        <v>8388</v>
      </c>
      <c r="E18" s="8" t="s">
        <v>167</v>
      </c>
      <c r="F18" s="8" t="s">
        <v>2</v>
      </c>
      <c r="G18" s="8" t="s">
        <v>7949</v>
      </c>
      <c r="H18" s="8"/>
      <c r="I18" s="14" t="s">
        <v>8367</v>
      </c>
      <c r="J18" s="8"/>
      <c r="K18" s="8" t="s">
        <v>8190</v>
      </c>
      <c r="L18" s="8"/>
      <c r="M18" s="8" t="str">
        <f>HYPERLINK("https://ceds.ed.gov/cedselementdetails.aspx?termid=22988")</f>
        <v>https://ceds.ed.gov/cedselementdetails.aspx?termid=22988</v>
      </c>
    </row>
    <row r="19" spans="1:13" ht="100.8" x14ac:dyDescent="0.3">
      <c r="A19" s="8" t="s">
        <v>8221</v>
      </c>
      <c r="B19" s="8" t="s">
        <v>8222</v>
      </c>
      <c r="C19" s="16" t="s">
        <v>22</v>
      </c>
      <c r="D19" s="8" t="s">
        <v>8389</v>
      </c>
      <c r="E19" s="8" t="s">
        <v>167</v>
      </c>
      <c r="F19" s="8" t="s">
        <v>2</v>
      </c>
      <c r="G19" s="8" t="s">
        <v>7949</v>
      </c>
      <c r="H19" s="8"/>
      <c r="I19" s="14" t="s">
        <v>8368</v>
      </c>
      <c r="J19" s="8"/>
      <c r="K19" s="8" t="s">
        <v>8223</v>
      </c>
      <c r="L19" s="8"/>
      <c r="M19" s="8" t="str">
        <f>HYPERLINK("https://ceds.ed.gov/cedselementdetails.aspx?termid=22989")</f>
        <v>https://ceds.ed.gov/cedselementdetails.aspx?termid=22989</v>
      </c>
    </row>
    <row r="20" spans="1:13" ht="43.2" x14ac:dyDescent="0.3">
      <c r="A20" s="8" t="s">
        <v>8275</v>
      </c>
      <c r="B20" s="8" t="s">
        <v>8276</v>
      </c>
      <c r="C20" s="16" t="s">
        <v>22</v>
      </c>
      <c r="D20" s="8" t="s">
        <v>8390</v>
      </c>
      <c r="E20" s="8" t="s">
        <v>167</v>
      </c>
      <c r="F20" s="8" t="s">
        <v>2</v>
      </c>
      <c r="G20" s="8" t="s">
        <v>7949</v>
      </c>
      <c r="H20" s="8" t="s">
        <v>8277</v>
      </c>
      <c r="I20" s="14" t="s">
        <v>8369</v>
      </c>
      <c r="J20" s="8"/>
      <c r="K20" s="8" t="s">
        <v>8278</v>
      </c>
      <c r="L20" s="8"/>
      <c r="M20" s="8" t="str">
        <f>HYPERLINK("https://ceds.ed.gov/cedselementdetails.aspx?termid=22990")</f>
        <v>https://ceds.ed.gov/cedselementdetails.aspx?termid=22990</v>
      </c>
    </row>
    <row r="21" spans="1:13" ht="100.8" x14ac:dyDescent="0.3">
      <c r="A21" s="8" t="s">
        <v>8286</v>
      </c>
      <c r="B21" s="8" t="s">
        <v>8287</v>
      </c>
      <c r="C21" s="16" t="s">
        <v>22</v>
      </c>
      <c r="D21" s="8" t="s">
        <v>8389</v>
      </c>
      <c r="E21" s="8" t="s">
        <v>167</v>
      </c>
      <c r="F21" s="8" t="s">
        <v>2</v>
      </c>
      <c r="G21" s="8" t="s">
        <v>7949</v>
      </c>
      <c r="H21" s="8"/>
      <c r="I21" s="14" t="s">
        <v>8370</v>
      </c>
      <c r="J21" s="8"/>
      <c r="K21" s="8" t="s">
        <v>8288</v>
      </c>
      <c r="L21" s="8"/>
      <c r="M21" s="8" t="str">
        <f>HYPERLINK("https://ceds.ed.gov/cedselementdetails.aspx?termid=22991")</f>
        <v>https://ceds.ed.gov/cedselementdetails.aspx?termid=22991</v>
      </c>
    </row>
    <row r="22" spans="1:13" ht="72" x14ac:dyDescent="0.3">
      <c r="A22" s="10" t="s">
        <v>8289</v>
      </c>
      <c r="B22" s="10" t="s">
        <v>8290</v>
      </c>
      <c r="C22" s="16" t="s">
        <v>8381</v>
      </c>
      <c r="D22" s="10" t="s">
        <v>8389</v>
      </c>
      <c r="E22" s="10" t="s">
        <v>167</v>
      </c>
      <c r="F22" s="10" t="s">
        <v>2</v>
      </c>
      <c r="G22" s="10" t="s">
        <v>7949</v>
      </c>
      <c r="H22" s="10" t="s">
        <v>8291</v>
      </c>
      <c r="I22" s="14" t="s">
        <v>8371</v>
      </c>
      <c r="J22" s="10"/>
      <c r="K22" s="10" t="s">
        <v>8292</v>
      </c>
      <c r="L22" s="10"/>
      <c r="M22" s="10" t="str">
        <f>HYPERLINK("https://ceds.ed.gov/cedselementdetails.aspx?termid=22992")</f>
        <v>https://ceds.ed.gov/cedselementdetails.aspx?termid=22992</v>
      </c>
    </row>
    <row r="23" spans="1:13" ht="43.2" x14ac:dyDescent="0.3">
      <c r="A23" s="10" t="s">
        <v>8318</v>
      </c>
      <c r="B23" s="10" t="s">
        <v>8319</v>
      </c>
      <c r="C23" s="16" t="s">
        <v>8382</v>
      </c>
      <c r="D23" s="10" t="s">
        <v>8375</v>
      </c>
      <c r="E23" s="10" t="s">
        <v>167</v>
      </c>
      <c r="F23" s="10" t="s">
        <v>2</v>
      </c>
      <c r="G23" s="10" t="s">
        <v>7949</v>
      </c>
      <c r="H23" s="10"/>
      <c r="I23" s="14" t="s">
        <v>8372</v>
      </c>
      <c r="J23" s="10"/>
      <c r="K23" s="10" t="s">
        <v>8320</v>
      </c>
      <c r="L23" s="10"/>
      <c r="M23" s="10" t="str">
        <f>HYPERLINK("https://ceds.ed.gov/cedselementdetails.aspx?termid=22993")</f>
        <v>https://ceds.ed.gov/cedselementdetails.aspx?termid=22993</v>
      </c>
    </row>
    <row r="24" spans="1:13" ht="216" x14ac:dyDescent="0.3">
      <c r="A24" s="10" t="s">
        <v>8333</v>
      </c>
      <c r="B24" s="10" t="s">
        <v>8334</v>
      </c>
      <c r="C24" s="16" t="s">
        <v>8383</v>
      </c>
      <c r="D24" s="10" t="s">
        <v>8391</v>
      </c>
      <c r="E24" s="10" t="s">
        <v>167</v>
      </c>
      <c r="F24" s="10" t="s">
        <v>2</v>
      </c>
      <c r="G24" s="10" t="s">
        <v>7949</v>
      </c>
      <c r="H24" s="10"/>
      <c r="I24" s="14" t="s">
        <v>8373</v>
      </c>
      <c r="J24" s="10"/>
      <c r="K24" s="10" t="s">
        <v>8335</v>
      </c>
      <c r="L24" s="10"/>
      <c r="M24" s="10" t="str">
        <f>HYPERLINK("https://ceds.ed.gov/cedselementdetails.aspx?termid=22994")</f>
        <v>https://ceds.ed.gov/cedselementdetails.aspx?termid=22994</v>
      </c>
    </row>
  </sheetData>
  <autoFilter ref="A1:M1"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M168"/>
  <sheetViews>
    <sheetView showGridLines="0" topLeftCell="G1" workbookViewId="0">
      <selection activeCell="F2" sqref="F2"/>
    </sheetView>
  </sheetViews>
  <sheetFormatPr defaultRowHeight="14.4" x14ac:dyDescent="0.3"/>
  <cols>
    <col min="1" max="2" width="36.5546875" bestFit="1" customWidth="1"/>
    <col min="3" max="3" width="36.5546875" style="17" bestFit="1" customWidth="1"/>
    <col min="4" max="4" width="36.5546875" bestFit="1" customWidth="1"/>
    <col min="5" max="5" width="9.44140625" bestFit="1" customWidth="1"/>
    <col min="6" max="8" width="36.5546875" bestFit="1" customWidth="1"/>
    <col min="9" max="9" width="9.44140625" style="15" bestFit="1" customWidth="1"/>
    <col min="10" max="12" width="36.5546875" bestFit="1" customWidth="1"/>
    <col min="13" max="13" width="28" customWidth="1"/>
  </cols>
  <sheetData>
    <row r="1" spans="1:13" s="2" customFormat="1" x14ac:dyDescent="0.3">
      <c r="A1" s="3" t="s">
        <v>0</v>
      </c>
      <c r="B1" s="3" t="s">
        <v>1</v>
      </c>
      <c r="C1" s="3" t="s">
        <v>2</v>
      </c>
      <c r="D1" s="3" t="s">
        <v>3</v>
      </c>
      <c r="E1" s="3" t="s">
        <v>4</v>
      </c>
      <c r="F1" s="3" t="s">
        <v>5</v>
      </c>
      <c r="G1" s="3" t="s">
        <v>6</v>
      </c>
      <c r="H1" s="3" t="s">
        <v>7</v>
      </c>
      <c r="I1" s="21" t="s">
        <v>8</v>
      </c>
      <c r="J1" s="3" t="s">
        <v>9</v>
      </c>
      <c r="K1" s="3" t="s">
        <v>10</v>
      </c>
      <c r="L1" s="3" t="s">
        <v>11</v>
      </c>
      <c r="M1" s="3" t="s">
        <v>12</v>
      </c>
    </row>
    <row r="2" spans="1:13" s="22" customFormat="1" ht="409.6" x14ac:dyDescent="0.3">
      <c r="A2" s="12" t="s">
        <v>170</v>
      </c>
      <c r="B2" s="12" t="s">
        <v>171</v>
      </c>
      <c r="C2" s="16" t="s">
        <v>32</v>
      </c>
      <c r="D2" s="12" t="s">
        <v>8392</v>
      </c>
      <c r="E2" s="12" t="s">
        <v>172</v>
      </c>
      <c r="F2" s="12" t="s">
        <v>157</v>
      </c>
      <c r="G2" s="12" t="s">
        <v>7946</v>
      </c>
      <c r="H2" s="12"/>
      <c r="I2" s="14" t="s">
        <v>173</v>
      </c>
      <c r="J2" s="12"/>
      <c r="K2" s="12" t="s">
        <v>174</v>
      </c>
      <c r="L2" s="12" t="s">
        <v>175</v>
      </c>
      <c r="M2" s="12" t="str">
        <f>HYPERLINK("https://ceds.ed.gov/cedselementdetails.aspx?termid=21019")</f>
        <v>https://ceds.ed.gov/cedselementdetails.aspx?termid=21019</v>
      </c>
    </row>
    <row r="3" spans="1:13" s="22" customFormat="1" ht="409.6" x14ac:dyDescent="0.3">
      <c r="A3" s="12" t="s">
        <v>176</v>
      </c>
      <c r="B3" s="12" t="s">
        <v>177</v>
      </c>
      <c r="C3" s="16" t="s">
        <v>32</v>
      </c>
      <c r="D3" s="12" t="s">
        <v>8392</v>
      </c>
      <c r="E3" s="12" t="s">
        <v>172</v>
      </c>
      <c r="F3" s="12" t="s">
        <v>85</v>
      </c>
      <c r="G3" s="12" t="s">
        <v>7946</v>
      </c>
      <c r="H3" s="12"/>
      <c r="I3" s="14" t="s">
        <v>178</v>
      </c>
      <c r="J3" s="12"/>
      <c r="K3" s="12" t="s">
        <v>179</v>
      </c>
      <c r="L3" s="12" t="s">
        <v>175</v>
      </c>
      <c r="M3" s="12" t="str">
        <f>HYPERLINK("https://ceds.ed.gov/cedselementdetails.aspx?termid=21040")</f>
        <v>https://ceds.ed.gov/cedselementdetails.aspx?termid=21040</v>
      </c>
    </row>
    <row r="4" spans="1:13" s="22" customFormat="1" ht="409.6" x14ac:dyDescent="0.3">
      <c r="A4" s="12" t="s">
        <v>180</v>
      </c>
      <c r="B4" s="12" t="s">
        <v>181</v>
      </c>
      <c r="C4" s="16" t="s">
        <v>32</v>
      </c>
      <c r="D4" s="12" t="s">
        <v>8393</v>
      </c>
      <c r="E4" s="12" t="s">
        <v>172</v>
      </c>
      <c r="F4" s="12" t="s">
        <v>85</v>
      </c>
      <c r="G4" s="12" t="s">
        <v>7946</v>
      </c>
      <c r="H4" s="12"/>
      <c r="I4" s="14" t="s">
        <v>182</v>
      </c>
      <c r="J4" s="12"/>
      <c r="K4" s="12" t="s">
        <v>183</v>
      </c>
      <c r="L4" s="12" t="s">
        <v>175</v>
      </c>
      <c r="M4" s="12" t="str">
        <f>HYPERLINK("https://ceds.ed.gov/cedselementdetails.aspx?termid=21190")</f>
        <v>https://ceds.ed.gov/cedselementdetails.aspx?termid=21190</v>
      </c>
    </row>
    <row r="5" spans="1:13" s="22" customFormat="1" ht="409.6" x14ac:dyDescent="0.3">
      <c r="A5" s="12" t="s">
        <v>184</v>
      </c>
      <c r="B5" s="12" t="s">
        <v>185</v>
      </c>
      <c r="C5" s="16" t="s">
        <v>32</v>
      </c>
      <c r="D5" s="12" t="s">
        <v>8392</v>
      </c>
      <c r="E5" s="12" t="s">
        <v>172</v>
      </c>
      <c r="F5" s="12" t="s">
        <v>186</v>
      </c>
      <c r="G5" s="12" t="s">
        <v>7946</v>
      </c>
      <c r="H5" s="12"/>
      <c r="I5" s="14" t="s">
        <v>187</v>
      </c>
      <c r="J5" s="12"/>
      <c r="K5" s="12" t="s">
        <v>188</v>
      </c>
      <c r="L5" s="12" t="s">
        <v>175</v>
      </c>
      <c r="M5" s="12" t="str">
        <f>HYPERLINK("https://ceds.ed.gov/cedselementdetails.aspx?termid=21214")</f>
        <v>https://ceds.ed.gov/cedselementdetails.aspx?termid=21214</v>
      </c>
    </row>
    <row r="6" spans="1:13" s="22" customFormat="1" ht="409.6" x14ac:dyDescent="0.3">
      <c r="A6" s="12" t="s">
        <v>189</v>
      </c>
      <c r="B6" s="12" t="s">
        <v>190</v>
      </c>
      <c r="C6" s="16" t="s">
        <v>32</v>
      </c>
      <c r="D6" s="12" t="s">
        <v>8392</v>
      </c>
      <c r="E6" s="12" t="s">
        <v>172</v>
      </c>
      <c r="F6" s="12" t="s">
        <v>191</v>
      </c>
      <c r="G6" s="12" t="s">
        <v>7946</v>
      </c>
      <c r="H6" s="12"/>
      <c r="I6" s="14" t="s">
        <v>192</v>
      </c>
      <c r="J6" s="12"/>
      <c r="K6" s="12" t="s">
        <v>193</v>
      </c>
      <c r="L6" s="12" t="s">
        <v>175</v>
      </c>
      <c r="M6" s="12" t="str">
        <f>HYPERLINK("https://ceds.ed.gov/cedselementdetails.aspx?termid=21269")</f>
        <v>https://ceds.ed.gov/cedselementdetails.aspx?termid=21269</v>
      </c>
    </row>
    <row r="7" spans="1:13" s="22" customFormat="1" ht="409.6" x14ac:dyDescent="0.3">
      <c r="A7" s="12" t="s">
        <v>199</v>
      </c>
      <c r="B7" s="12" t="s">
        <v>200</v>
      </c>
      <c r="C7" s="16" t="s">
        <v>8394</v>
      </c>
      <c r="D7" s="12" t="s">
        <v>8395</v>
      </c>
      <c r="E7" s="12" t="s">
        <v>172</v>
      </c>
      <c r="F7" s="12" t="s">
        <v>85</v>
      </c>
      <c r="G7" s="12" t="s">
        <v>7946</v>
      </c>
      <c r="H7" s="12"/>
      <c r="I7" s="14" t="s">
        <v>201</v>
      </c>
      <c r="J7" s="12"/>
      <c r="K7" s="12" t="s">
        <v>202</v>
      </c>
      <c r="L7" s="12" t="s">
        <v>64</v>
      </c>
      <c r="M7" s="12" t="str">
        <f>HYPERLINK("https://ceds.ed.gov/cedselementdetails.aspx?termid=21644")</f>
        <v>https://ceds.ed.gov/cedselementdetails.aspx?termid=21644</v>
      </c>
    </row>
    <row r="8" spans="1:13" s="22" customFormat="1" ht="144" x14ac:dyDescent="0.3">
      <c r="A8" s="12" t="s">
        <v>227</v>
      </c>
      <c r="B8" s="12" t="s">
        <v>228</v>
      </c>
      <c r="C8" s="16" t="s">
        <v>8396</v>
      </c>
      <c r="D8" s="12" t="s">
        <v>8397</v>
      </c>
      <c r="E8" s="12" t="s">
        <v>172</v>
      </c>
      <c r="F8" s="12"/>
      <c r="G8" s="7" t="s">
        <v>7946</v>
      </c>
      <c r="H8" s="12"/>
      <c r="I8" s="14" t="s">
        <v>230</v>
      </c>
      <c r="J8" s="12"/>
      <c r="K8" s="12" t="s">
        <v>231</v>
      </c>
      <c r="L8" s="12"/>
      <c r="M8" s="12" t="str">
        <f>HYPERLINK("https://ceds.ed.gov/cedselementdetails.aspx?termid=21012")</f>
        <v>https://ceds.ed.gov/cedselementdetails.aspx?termid=21012</v>
      </c>
    </row>
    <row r="9" spans="1:13" s="22" customFormat="1" ht="57.6" x14ac:dyDescent="0.3">
      <c r="A9" s="12" t="s">
        <v>366</v>
      </c>
      <c r="B9" s="12" t="s">
        <v>367</v>
      </c>
      <c r="C9" s="16" t="s">
        <v>32</v>
      </c>
      <c r="D9" s="12" t="s">
        <v>8398</v>
      </c>
      <c r="E9" s="12" t="s">
        <v>172</v>
      </c>
      <c r="F9" s="12" t="s">
        <v>317</v>
      </c>
      <c r="G9" s="12" t="s">
        <v>7946</v>
      </c>
      <c r="H9" s="12" t="s">
        <v>368</v>
      </c>
      <c r="I9" s="14" t="s">
        <v>369</v>
      </c>
      <c r="J9" s="12"/>
      <c r="K9" s="12" t="s">
        <v>370</v>
      </c>
      <c r="L9" s="12" t="s">
        <v>69</v>
      </c>
      <c r="M9" s="12" t="str">
        <f>HYPERLINK("https://ceds.ed.gov/cedselementdetails.aspx?termid=21722")</f>
        <v>https://ceds.ed.gov/cedselementdetails.aspx?termid=21722</v>
      </c>
    </row>
    <row r="10" spans="1:13" s="22" customFormat="1" ht="172.8" x14ac:dyDescent="0.3">
      <c r="A10" s="12" t="s">
        <v>623</v>
      </c>
      <c r="B10" s="12" t="s">
        <v>7972</v>
      </c>
      <c r="C10" s="16" t="s">
        <v>32</v>
      </c>
      <c r="D10" s="12" t="s">
        <v>624</v>
      </c>
      <c r="E10" s="12" t="s">
        <v>172</v>
      </c>
      <c r="F10" s="12" t="s">
        <v>780</v>
      </c>
      <c r="G10" s="12" t="s">
        <v>7973</v>
      </c>
      <c r="H10" s="12" t="s">
        <v>7945</v>
      </c>
      <c r="I10" s="14" t="s">
        <v>625</v>
      </c>
      <c r="J10" s="12"/>
      <c r="K10" s="12" t="s">
        <v>626</v>
      </c>
      <c r="L10" s="12" t="s">
        <v>627</v>
      </c>
      <c r="M10" s="12" t="str">
        <f>HYPERLINK("https://ceds.ed.gov/cedselementdetails.aspx?termid=21152")</f>
        <v>https://ceds.ed.gov/cedselementdetails.aspx?termid=21152</v>
      </c>
    </row>
    <row r="11" spans="1:13" s="22" customFormat="1" ht="360" x14ac:dyDescent="0.3">
      <c r="A11" s="12" t="s">
        <v>971</v>
      </c>
      <c r="B11" s="12" t="s">
        <v>972</v>
      </c>
      <c r="C11" s="16" t="s">
        <v>8399</v>
      </c>
      <c r="D11" s="12" t="s">
        <v>8400</v>
      </c>
      <c r="E11" s="12" t="s">
        <v>172</v>
      </c>
      <c r="F11" s="12"/>
      <c r="G11" s="12" t="s">
        <v>7995</v>
      </c>
      <c r="H11" s="12"/>
      <c r="I11" s="14" t="s">
        <v>973</v>
      </c>
      <c r="J11" s="12"/>
      <c r="K11" s="12" t="s">
        <v>974</v>
      </c>
      <c r="L11" s="12" t="s">
        <v>975</v>
      </c>
      <c r="M11" s="12" t="str">
        <f>HYPERLINK("https://ceds.ed.gov/cedselementdetails.aspx?termid=21177")</f>
        <v>https://ceds.ed.gov/cedselementdetails.aspx?termid=21177</v>
      </c>
    </row>
    <row r="12" spans="1:13" s="22" customFormat="1" ht="409.6" x14ac:dyDescent="0.3">
      <c r="A12" s="12" t="s">
        <v>1221</v>
      </c>
      <c r="B12" s="12" t="s">
        <v>1222</v>
      </c>
      <c r="C12" s="16" t="s">
        <v>8401</v>
      </c>
      <c r="D12" s="12" t="s">
        <v>1202</v>
      </c>
      <c r="E12" s="12" t="s">
        <v>172</v>
      </c>
      <c r="F12" s="12"/>
      <c r="G12" s="12" t="s">
        <v>8003</v>
      </c>
      <c r="H12" s="12" t="s">
        <v>8004</v>
      </c>
      <c r="I12" s="14" t="s">
        <v>1223</v>
      </c>
      <c r="J12" s="12"/>
      <c r="K12" s="12" t="s">
        <v>1224</v>
      </c>
      <c r="L12" s="12"/>
      <c r="M12" s="12" t="str">
        <f>HYPERLINK("https://ceds.ed.gov/cedselementdetails.aspx?termid=22063")</f>
        <v>https://ceds.ed.gov/cedselementdetails.aspx?termid=22063</v>
      </c>
    </row>
    <row r="13" spans="1:13" s="22" customFormat="1" ht="409.6" x14ac:dyDescent="0.3">
      <c r="A13" s="12" t="s">
        <v>1309</v>
      </c>
      <c r="B13" s="12" t="s">
        <v>1310</v>
      </c>
      <c r="C13" s="16" t="s">
        <v>8402</v>
      </c>
      <c r="D13" s="12" t="s">
        <v>1311</v>
      </c>
      <c r="E13" s="12" t="s">
        <v>172</v>
      </c>
      <c r="F13" s="12"/>
      <c r="G13" s="12" t="s">
        <v>7995</v>
      </c>
      <c r="H13" s="12"/>
      <c r="I13" s="14" t="s">
        <v>1312</v>
      </c>
      <c r="J13" s="12"/>
      <c r="K13" s="12" t="s">
        <v>1313</v>
      </c>
      <c r="L13" s="12" t="s">
        <v>1314</v>
      </c>
      <c r="M13" s="12" t="str">
        <f>HYPERLINK("https://ceds.ed.gov/cedselementdetails.aspx?termid=21368")</f>
        <v>https://ceds.ed.gov/cedselementdetails.aspx?termid=21368</v>
      </c>
    </row>
    <row r="14" spans="1:13" s="22" customFormat="1" ht="374.4" x14ac:dyDescent="0.3">
      <c r="A14" s="12" t="s">
        <v>8019</v>
      </c>
      <c r="B14" s="12" t="s">
        <v>8020</v>
      </c>
      <c r="C14" s="16" t="s">
        <v>8403</v>
      </c>
      <c r="D14" s="12" t="s">
        <v>1431</v>
      </c>
      <c r="E14" s="12" t="s">
        <v>172</v>
      </c>
      <c r="F14" s="12"/>
      <c r="G14" s="12" t="s">
        <v>8021</v>
      </c>
      <c r="H14" s="12"/>
      <c r="I14" s="14" t="s">
        <v>1438</v>
      </c>
      <c r="J14" s="12"/>
      <c r="K14" s="12" t="s">
        <v>8022</v>
      </c>
      <c r="L14" s="12" t="s">
        <v>1234</v>
      </c>
      <c r="M14" s="12" t="str">
        <f>HYPERLINK("https://ceds.ed.gov/cedselementdetails.aspx?termid=21405")</f>
        <v>https://ceds.ed.gov/cedselementdetails.aspx?termid=21405</v>
      </c>
    </row>
    <row r="15" spans="1:13" s="22" customFormat="1" ht="230.4" x14ac:dyDescent="0.3">
      <c r="A15" s="12" t="s">
        <v>1439</v>
      </c>
      <c r="B15" s="12" t="s">
        <v>1440</v>
      </c>
      <c r="C15" s="16" t="s">
        <v>32</v>
      </c>
      <c r="D15" s="12" t="s">
        <v>8404</v>
      </c>
      <c r="E15" s="12" t="s">
        <v>172</v>
      </c>
      <c r="F15" s="12" t="s">
        <v>118</v>
      </c>
      <c r="G15" s="12" t="s">
        <v>7946</v>
      </c>
      <c r="H15" s="12" t="s">
        <v>143</v>
      </c>
      <c r="I15" s="14" t="s">
        <v>1441</v>
      </c>
      <c r="J15" s="12"/>
      <c r="K15" s="12" t="s">
        <v>1442</v>
      </c>
      <c r="L15" s="12"/>
      <c r="M15" s="12" t="str">
        <f>HYPERLINK("https://ceds.ed.gov/cedselementdetails.aspx?termid=21518")</f>
        <v>https://ceds.ed.gov/cedselementdetails.aspx?termid=21518</v>
      </c>
    </row>
    <row r="16" spans="1:13" s="22" customFormat="1" ht="230.4" x14ac:dyDescent="0.3">
      <c r="A16" s="12" t="s">
        <v>1443</v>
      </c>
      <c r="B16" s="12" t="s">
        <v>1444</v>
      </c>
      <c r="C16" s="16" t="s">
        <v>32</v>
      </c>
      <c r="D16" s="12" t="s">
        <v>8404</v>
      </c>
      <c r="E16" s="12" t="s">
        <v>172</v>
      </c>
      <c r="F16" s="12" t="s">
        <v>118</v>
      </c>
      <c r="G16" s="12" t="s">
        <v>7946</v>
      </c>
      <c r="H16" s="12"/>
      <c r="I16" s="14" t="s">
        <v>1445</v>
      </c>
      <c r="J16" s="12"/>
      <c r="K16" s="12" t="s">
        <v>1446</v>
      </c>
      <c r="L16" s="12"/>
      <c r="M16" s="12" t="str">
        <f>HYPERLINK("https://ceds.ed.gov/cedselementdetails.aspx?termid=21517")</f>
        <v>https://ceds.ed.gov/cedselementdetails.aspx?termid=21517</v>
      </c>
    </row>
    <row r="17" spans="1:13" s="22" customFormat="1" ht="244.8" x14ac:dyDescent="0.3">
      <c r="A17" s="12" t="s">
        <v>1447</v>
      </c>
      <c r="B17" s="12" t="s">
        <v>1448</v>
      </c>
      <c r="C17" s="16" t="s">
        <v>32</v>
      </c>
      <c r="D17" s="12" t="s">
        <v>8405</v>
      </c>
      <c r="E17" s="7" t="s">
        <v>172</v>
      </c>
      <c r="F17" s="7" t="s">
        <v>118</v>
      </c>
      <c r="G17" s="7" t="s">
        <v>7946</v>
      </c>
      <c r="H17" s="12"/>
      <c r="I17" s="14" t="s">
        <v>1449</v>
      </c>
      <c r="J17" s="12"/>
      <c r="K17" s="12" t="s">
        <v>1450</v>
      </c>
      <c r="L17" s="12"/>
      <c r="M17" s="12" t="str">
        <f>HYPERLINK("https://ceds.ed.gov/cedselementdetails.aspx?termid=22630")</f>
        <v>https://ceds.ed.gov/cedselementdetails.aspx?termid=22630</v>
      </c>
    </row>
    <row r="18" spans="1:13" s="22" customFormat="1" ht="244.8" x14ac:dyDescent="0.3">
      <c r="A18" s="12" t="s">
        <v>1456</v>
      </c>
      <c r="B18" s="12" t="s">
        <v>1457</v>
      </c>
      <c r="C18" s="16" t="s">
        <v>8406</v>
      </c>
      <c r="D18" s="12" t="s">
        <v>8405</v>
      </c>
      <c r="E18" s="12" t="s">
        <v>172</v>
      </c>
      <c r="F18" s="12"/>
      <c r="G18" s="12" t="s">
        <v>7946</v>
      </c>
      <c r="H18" s="12"/>
      <c r="I18" s="14" t="s">
        <v>1458</v>
      </c>
      <c r="J18" s="12"/>
      <c r="K18" s="12" t="s">
        <v>1459</v>
      </c>
      <c r="L18" s="12"/>
      <c r="M18" s="12" t="str">
        <f>HYPERLINK("https://ceds.ed.gov/cedselementdetails.aspx?termid=21076")</f>
        <v>https://ceds.ed.gov/cedselementdetails.aspx?termid=21076</v>
      </c>
    </row>
    <row r="19" spans="1:13" s="22" customFormat="1" ht="158.4" x14ac:dyDescent="0.3">
      <c r="A19" s="12" t="s">
        <v>1559</v>
      </c>
      <c r="B19" s="12" t="s">
        <v>1560</v>
      </c>
      <c r="C19" s="16" t="s">
        <v>8407</v>
      </c>
      <c r="D19" s="12" t="s">
        <v>8408</v>
      </c>
      <c r="E19" s="12" t="s">
        <v>172</v>
      </c>
      <c r="F19" s="12"/>
      <c r="G19" s="12" t="s">
        <v>7946</v>
      </c>
      <c r="H19" s="12" t="s">
        <v>1561</v>
      </c>
      <c r="I19" s="14" t="s">
        <v>1562</v>
      </c>
      <c r="J19" s="12"/>
      <c r="K19" s="12" t="s">
        <v>1563</v>
      </c>
      <c r="L19" s="12"/>
      <c r="M19" s="12" t="str">
        <f>HYPERLINK("https://ceds.ed.gov/cedselementdetails.aspx?termid=22253")</f>
        <v>https://ceds.ed.gov/cedselementdetails.aspx?termid=22253</v>
      </c>
    </row>
    <row r="20" spans="1:13" s="22" customFormat="1" ht="244.8" x14ac:dyDescent="0.3">
      <c r="A20" s="12" t="s">
        <v>1798</v>
      </c>
      <c r="B20" s="12" t="s">
        <v>1799</v>
      </c>
      <c r="C20" s="18" t="s">
        <v>32</v>
      </c>
      <c r="D20" s="12" t="s">
        <v>8409</v>
      </c>
      <c r="E20" s="12" t="s">
        <v>172</v>
      </c>
      <c r="F20" s="12" t="s">
        <v>157</v>
      </c>
      <c r="G20" s="12" t="s">
        <v>7946</v>
      </c>
      <c r="H20" s="12"/>
      <c r="I20" s="14" t="s">
        <v>1800</v>
      </c>
      <c r="J20" s="12"/>
      <c r="K20" s="12" t="s">
        <v>1801</v>
      </c>
      <c r="L20" s="12"/>
      <c r="M20" s="12" t="str">
        <f>HYPERLINK("https://ceds.ed.gov/cedselementdetails.aspx?termid=21595")</f>
        <v>https://ceds.ed.gov/cedselementdetails.aspx?termid=21595</v>
      </c>
    </row>
    <row r="21" spans="1:13" s="22" customFormat="1" ht="172.8" x14ac:dyDescent="0.3">
      <c r="A21" s="12" t="s">
        <v>2021</v>
      </c>
      <c r="B21" s="12" t="s">
        <v>2022</v>
      </c>
      <c r="C21" s="16" t="s">
        <v>32</v>
      </c>
      <c r="D21" s="12" t="s">
        <v>8410</v>
      </c>
      <c r="E21" s="12" t="s">
        <v>172</v>
      </c>
      <c r="F21" s="12" t="s">
        <v>132</v>
      </c>
      <c r="G21" s="12" t="s">
        <v>7946</v>
      </c>
      <c r="H21" s="12" t="s">
        <v>7945</v>
      </c>
      <c r="I21" s="14" t="s">
        <v>2023</v>
      </c>
      <c r="J21" s="12"/>
      <c r="K21" s="12" t="s">
        <v>2024</v>
      </c>
      <c r="L21" s="12" t="s">
        <v>2020</v>
      </c>
      <c r="M21" s="12" t="str">
        <f>HYPERLINK("https://ceds.ed.gov/cedselementdetails.aspx?termid=21781")</f>
        <v>https://ceds.ed.gov/cedselementdetails.aspx?termid=21781</v>
      </c>
    </row>
    <row r="22" spans="1:13" s="22" customFormat="1" ht="244.8" x14ac:dyDescent="0.3">
      <c r="A22" s="12" t="s">
        <v>2104</v>
      </c>
      <c r="B22" s="12" t="s">
        <v>2105</v>
      </c>
      <c r="C22" s="16" t="s">
        <v>8411</v>
      </c>
      <c r="D22" s="12" t="s">
        <v>8412</v>
      </c>
      <c r="E22" s="12" t="s">
        <v>172</v>
      </c>
      <c r="F22" s="12"/>
      <c r="G22" s="12" t="s">
        <v>7946</v>
      </c>
      <c r="H22" s="12"/>
      <c r="I22" s="14" t="s">
        <v>2106</v>
      </c>
      <c r="J22" s="12"/>
      <c r="K22" s="12" t="s">
        <v>2107</v>
      </c>
      <c r="L22" s="12"/>
      <c r="M22" s="12" t="str">
        <f>HYPERLINK("https://ceds.ed.gov/cedselementdetails.aspx?termid=21615")</f>
        <v>https://ceds.ed.gov/cedselementdetails.aspx?termid=21615</v>
      </c>
    </row>
    <row r="23" spans="1:13" s="22" customFormat="1" ht="100.8" x14ac:dyDescent="0.3">
      <c r="A23" s="12" t="s">
        <v>2430</v>
      </c>
      <c r="B23" s="12" t="s">
        <v>2431</v>
      </c>
      <c r="C23" s="16" t="s">
        <v>8413</v>
      </c>
      <c r="D23" s="12" t="s">
        <v>8414</v>
      </c>
      <c r="E23" s="12" t="s">
        <v>172</v>
      </c>
      <c r="F23" s="12"/>
      <c r="G23" s="12" t="s">
        <v>8050</v>
      </c>
      <c r="H23" s="12" t="s">
        <v>2432</v>
      </c>
      <c r="I23" s="14" t="s">
        <v>2433</v>
      </c>
      <c r="J23" s="12"/>
      <c r="K23" s="12" t="s">
        <v>2434</v>
      </c>
      <c r="L23" s="12"/>
      <c r="M23" s="12" t="str">
        <f>HYPERLINK("https://ceds.ed.gov/cedselementdetails.aspx?termid=21877")</f>
        <v>https://ceds.ed.gov/cedselementdetails.aspx?termid=21877</v>
      </c>
    </row>
    <row r="24" spans="1:13" s="22" customFormat="1" ht="72" x14ac:dyDescent="0.3">
      <c r="A24" s="12" t="s">
        <v>2435</v>
      </c>
      <c r="B24" s="12" t="s">
        <v>2436</v>
      </c>
      <c r="C24" s="16" t="s">
        <v>32</v>
      </c>
      <c r="D24" s="12" t="s">
        <v>8414</v>
      </c>
      <c r="E24" s="12" t="s">
        <v>172</v>
      </c>
      <c r="F24" s="12" t="s">
        <v>317</v>
      </c>
      <c r="G24" s="12" t="s">
        <v>8050</v>
      </c>
      <c r="H24" s="12" t="s">
        <v>8051</v>
      </c>
      <c r="I24" s="14" t="s">
        <v>2437</v>
      </c>
      <c r="J24" s="12"/>
      <c r="K24" s="12" t="s">
        <v>2438</v>
      </c>
      <c r="L24" s="12"/>
      <c r="M24" s="12" t="str">
        <f>HYPERLINK("https://ceds.ed.gov/cedselementdetails.aspx?termid=21878")</f>
        <v>https://ceds.ed.gov/cedselementdetails.aspx?termid=21878</v>
      </c>
    </row>
    <row r="25" spans="1:13" s="22" customFormat="1" ht="57.6" x14ac:dyDescent="0.3">
      <c r="A25" s="12" t="s">
        <v>2488</v>
      </c>
      <c r="B25" s="12" t="s">
        <v>2489</v>
      </c>
      <c r="C25" s="16" t="s">
        <v>32</v>
      </c>
      <c r="D25" s="12" t="s">
        <v>8415</v>
      </c>
      <c r="E25" s="12" t="s">
        <v>172</v>
      </c>
      <c r="F25" s="12" t="s">
        <v>1518</v>
      </c>
      <c r="G25" s="12" t="s">
        <v>7946</v>
      </c>
      <c r="H25" s="12"/>
      <c r="I25" s="14" t="s">
        <v>2491</v>
      </c>
      <c r="J25" s="12"/>
      <c r="K25" s="12" t="s">
        <v>2492</v>
      </c>
      <c r="L25" s="12" t="s">
        <v>2493</v>
      </c>
      <c r="M25" s="12" t="str">
        <f>HYPERLINK("https://ceds.ed.gov/cedselementdetails.aspx?termid=21047")</f>
        <v>https://ceds.ed.gov/cedselementdetails.aspx?termid=21047</v>
      </c>
    </row>
    <row r="26" spans="1:13" s="22" customFormat="1" ht="72" x14ac:dyDescent="0.3">
      <c r="A26" s="12" t="s">
        <v>2494</v>
      </c>
      <c r="B26" s="12" t="s">
        <v>2495</v>
      </c>
      <c r="C26" s="16" t="s">
        <v>8416</v>
      </c>
      <c r="D26" s="12" t="s">
        <v>8398</v>
      </c>
      <c r="E26" s="12" t="s">
        <v>172</v>
      </c>
      <c r="F26" s="12"/>
      <c r="G26" s="12" t="s">
        <v>7946</v>
      </c>
      <c r="H26" s="12" t="s">
        <v>2496</v>
      </c>
      <c r="I26" s="14" t="s">
        <v>2497</v>
      </c>
      <c r="J26" s="12"/>
      <c r="K26" s="12" t="s">
        <v>2498</v>
      </c>
      <c r="L26" s="12" t="s">
        <v>69</v>
      </c>
      <c r="M26" s="12" t="str">
        <f>HYPERLINK("https://ceds.ed.gov/cedselementdetails.aspx?termid=21714")</f>
        <v>https://ceds.ed.gov/cedselementdetails.aspx?termid=21714</v>
      </c>
    </row>
    <row r="27" spans="1:13" s="22" customFormat="1" ht="100.8" x14ac:dyDescent="0.3">
      <c r="A27" s="12" t="s">
        <v>2499</v>
      </c>
      <c r="B27" s="12" t="s">
        <v>8054</v>
      </c>
      <c r="C27" s="16" t="s">
        <v>8417</v>
      </c>
      <c r="D27" s="12" t="s">
        <v>8418</v>
      </c>
      <c r="E27" s="12" t="s">
        <v>172</v>
      </c>
      <c r="F27" s="12"/>
      <c r="G27" s="12" t="s">
        <v>7946</v>
      </c>
      <c r="H27" s="12"/>
      <c r="I27" s="14" t="s">
        <v>2500</v>
      </c>
      <c r="J27" s="12"/>
      <c r="K27" s="12" t="s">
        <v>2501</v>
      </c>
      <c r="L27" s="12" t="s">
        <v>1965</v>
      </c>
      <c r="M27" s="12" t="str">
        <f>HYPERLINK("https://ceds.ed.gov/cedselementdetails.aspx?termid=21048")</f>
        <v>https://ceds.ed.gov/cedselementdetails.aspx?termid=21048</v>
      </c>
    </row>
    <row r="28" spans="1:13" s="22" customFormat="1" ht="144" x14ac:dyDescent="0.3">
      <c r="A28" s="12" t="s">
        <v>2571</v>
      </c>
      <c r="B28" s="12" t="s">
        <v>2572</v>
      </c>
      <c r="C28" s="16" t="s">
        <v>32</v>
      </c>
      <c r="D28" s="12" t="s">
        <v>8419</v>
      </c>
      <c r="E28" s="12" t="s">
        <v>172</v>
      </c>
      <c r="F28" s="12" t="s">
        <v>118</v>
      </c>
      <c r="G28" s="12" t="s">
        <v>7946</v>
      </c>
      <c r="H28" s="12"/>
      <c r="I28" s="14" t="s">
        <v>2573</v>
      </c>
      <c r="J28" s="12"/>
      <c r="K28" s="12" t="s">
        <v>2574</v>
      </c>
      <c r="L28" s="12" t="s">
        <v>1965</v>
      </c>
      <c r="M28" s="12" t="str">
        <f>HYPERLINK("https://ceds.ed.gov/cedselementdetails.aspx?termid=21054")</f>
        <v>https://ceds.ed.gov/cedselementdetails.aspx?termid=21054</v>
      </c>
    </row>
    <row r="29" spans="1:13" s="22" customFormat="1" ht="273.60000000000002" x14ac:dyDescent="0.3">
      <c r="A29" s="12" t="s">
        <v>2579</v>
      </c>
      <c r="B29" s="12" t="s">
        <v>2580</v>
      </c>
      <c r="C29" s="16" t="s">
        <v>8420</v>
      </c>
      <c r="D29" s="12" t="s">
        <v>8421</v>
      </c>
      <c r="E29" s="12" t="s">
        <v>172</v>
      </c>
      <c r="F29" s="12"/>
      <c r="G29" s="12" t="s">
        <v>7946</v>
      </c>
      <c r="H29" s="12"/>
      <c r="I29" s="14" t="s">
        <v>2582</v>
      </c>
      <c r="J29" s="12"/>
      <c r="K29" s="12" t="s">
        <v>2583</v>
      </c>
      <c r="L29" s="12" t="s">
        <v>1521</v>
      </c>
      <c r="M29" s="12" t="str">
        <f>HYPERLINK("https://ceds.ed.gov/cedselementdetails.aspx?termid=21056")</f>
        <v>https://ceds.ed.gov/cedselementdetails.aspx?termid=21056</v>
      </c>
    </row>
    <row r="30" spans="1:13" s="22" customFormat="1" ht="144" x14ac:dyDescent="0.3">
      <c r="A30" s="12" t="s">
        <v>2609</v>
      </c>
      <c r="B30" s="12" t="s">
        <v>2610</v>
      </c>
      <c r="C30" s="16" t="s">
        <v>32</v>
      </c>
      <c r="D30" s="12" t="s">
        <v>8419</v>
      </c>
      <c r="E30" s="12" t="s">
        <v>172</v>
      </c>
      <c r="F30" s="12" t="s">
        <v>118</v>
      </c>
      <c r="G30" s="12" t="s">
        <v>7946</v>
      </c>
      <c r="H30" s="12" t="s">
        <v>143</v>
      </c>
      <c r="I30" s="14" t="s">
        <v>2611</v>
      </c>
      <c r="J30" s="12"/>
      <c r="K30" s="12" t="s">
        <v>2612</v>
      </c>
      <c r="L30" s="12" t="s">
        <v>1965</v>
      </c>
      <c r="M30" s="12" t="str">
        <f>HYPERLINK("https://ceds.ed.gov/cedselementdetails.aspx?termid=21059")</f>
        <v>https://ceds.ed.gov/cedselementdetails.aspx?termid=21059</v>
      </c>
    </row>
    <row r="31" spans="1:13" s="22" customFormat="1" ht="345.6" x14ac:dyDescent="0.3">
      <c r="A31" s="12" t="s">
        <v>2654</v>
      </c>
      <c r="B31" s="12" t="s">
        <v>2655</v>
      </c>
      <c r="C31" s="16" t="s">
        <v>8422</v>
      </c>
      <c r="D31" s="12" t="s">
        <v>8423</v>
      </c>
      <c r="E31" s="12" t="s">
        <v>172</v>
      </c>
      <c r="F31" s="12"/>
      <c r="G31" s="12" t="s">
        <v>7946</v>
      </c>
      <c r="H31" s="12"/>
      <c r="I31" s="14" t="s">
        <v>2657</v>
      </c>
      <c r="J31" s="12"/>
      <c r="K31" s="12" t="s">
        <v>2658</v>
      </c>
      <c r="L31" s="12"/>
      <c r="M31" s="12" t="str">
        <f>HYPERLINK("https://ceds.ed.gov/cedselementdetails.aspx?termid=22278")</f>
        <v>https://ceds.ed.gov/cedselementdetails.aspx?termid=22278</v>
      </c>
    </row>
    <row r="32" spans="1:13" s="22" customFormat="1" ht="409.6" x14ac:dyDescent="0.3">
      <c r="A32" s="12" t="s">
        <v>2682</v>
      </c>
      <c r="B32" s="12" t="s">
        <v>2683</v>
      </c>
      <c r="C32" s="16" t="s">
        <v>8402</v>
      </c>
      <c r="D32" s="12" t="s">
        <v>2684</v>
      </c>
      <c r="E32" s="12" t="s">
        <v>172</v>
      </c>
      <c r="F32" s="12"/>
      <c r="G32" s="12" t="s">
        <v>7995</v>
      </c>
      <c r="H32" s="12"/>
      <c r="I32" s="14" t="s">
        <v>2685</v>
      </c>
      <c r="J32" s="12"/>
      <c r="K32" s="12" t="s">
        <v>2686</v>
      </c>
      <c r="L32" s="12" t="s">
        <v>2687</v>
      </c>
      <c r="M32" s="12" t="str">
        <f>HYPERLINK("https://ceds.ed.gov/cedselementdetails.aspx?termid=21027")</f>
        <v>https://ceds.ed.gov/cedselementdetails.aspx?termid=21027</v>
      </c>
    </row>
    <row r="33" spans="1:13" s="22" customFormat="1" ht="172.8" x14ac:dyDescent="0.3">
      <c r="A33" s="12" t="s">
        <v>2688</v>
      </c>
      <c r="B33" s="12" t="s">
        <v>2689</v>
      </c>
      <c r="C33" s="16" t="s">
        <v>32</v>
      </c>
      <c r="D33" s="12" t="s">
        <v>8424</v>
      </c>
      <c r="E33" s="12" t="s">
        <v>172</v>
      </c>
      <c r="F33" s="12" t="s">
        <v>118</v>
      </c>
      <c r="G33" s="12" t="s">
        <v>7946</v>
      </c>
      <c r="H33" s="12" t="s">
        <v>2691</v>
      </c>
      <c r="I33" s="14" t="s">
        <v>2692</v>
      </c>
      <c r="J33" s="12"/>
      <c r="K33" s="12" t="s">
        <v>2693</v>
      </c>
      <c r="L33" s="12"/>
      <c r="M33" s="12" t="str">
        <f>HYPERLINK("https://ceds.ed.gov/cedselementdetails.aspx?termid=21976")</f>
        <v>https://ceds.ed.gov/cedselementdetails.aspx?termid=21976</v>
      </c>
    </row>
    <row r="34" spans="1:13" s="22" customFormat="1" ht="115.2" x14ac:dyDescent="0.3">
      <c r="A34" s="12" t="s">
        <v>2694</v>
      </c>
      <c r="B34" s="12" t="s">
        <v>2695</v>
      </c>
      <c r="C34" s="16" t="s">
        <v>32</v>
      </c>
      <c r="D34" s="12" t="s">
        <v>8424</v>
      </c>
      <c r="E34" s="12" t="s">
        <v>172</v>
      </c>
      <c r="F34" s="12" t="s">
        <v>118</v>
      </c>
      <c r="G34" s="12" t="s">
        <v>7946</v>
      </c>
      <c r="H34" s="12" t="s">
        <v>2696</v>
      </c>
      <c r="I34" s="14" t="s">
        <v>2697</v>
      </c>
      <c r="J34" s="12"/>
      <c r="K34" s="12" t="s">
        <v>2698</v>
      </c>
      <c r="L34" s="12"/>
      <c r="M34" s="12" t="str">
        <f>HYPERLINK("https://ceds.ed.gov/cedselementdetails.aspx?termid=21975")</f>
        <v>https://ceds.ed.gov/cedselementdetails.aspx?termid=21975</v>
      </c>
    </row>
    <row r="35" spans="1:13" s="22" customFormat="1" ht="409.6" x14ac:dyDescent="0.3">
      <c r="A35" s="12" t="s">
        <v>3228</v>
      </c>
      <c r="B35" s="12" t="s">
        <v>3229</v>
      </c>
      <c r="C35" s="16" t="s">
        <v>3039</v>
      </c>
      <c r="D35" s="12" t="s">
        <v>8425</v>
      </c>
      <c r="E35" s="12" t="s">
        <v>172</v>
      </c>
      <c r="F35" s="12"/>
      <c r="G35" s="12" t="s">
        <v>7946</v>
      </c>
      <c r="H35" s="12"/>
      <c r="I35" s="14" t="s">
        <v>3230</v>
      </c>
      <c r="J35" s="12"/>
      <c r="K35" s="12" t="s">
        <v>3231</v>
      </c>
      <c r="L35" s="12"/>
      <c r="M35" s="12" t="str">
        <f>HYPERLINK("https://ceds.ed.gov/cedselementdetails.aspx?termid=22905")</f>
        <v>https://ceds.ed.gov/cedselementdetails.aspx?termid=22905</v>
      </c>
    </row>
    <row r="36" spans="1:13" s="22" customFormat="1" ht="57.6" x14ac:dyDescent="0.3">
      <c r="A36" s="12" t="s">
        <v>3257</v>
      </c>
      <c r="B36" s="12" t="s">
        <v>3258</v>
      </c>
      <c r="C36" s="16" t="s">
        <v>32</v>
      </c>
      <c r="D36" s="12" t="s">
        <v>8426</v>
      </c>
      <c r="E36" s="12" t="s">
        <v>172</v>
      </c>
      <c r="F36" s="12" t="s">
        <v>1699</v>
      </c>
      <c r="G36" s="12" t="s">
        <v>8050</v>
      </c>
      <c r="H36" s="12"/>
      <c r="I36" s="14" t="s">
        <v>3259</v>
      </c>
      <c r="J36" s="12"/>
      <c r="K36" s="12" t="s">
        <v>3260</v>
      </c>
      <c r="L36" s="12"/>
      <c r="M36" s="12" t="str">
        <f>HYPERLINK("https://ceds.ed.gov/cedselementdetails.aspx?termid=22697")</f>
        <v>https://ceds.ed.gov/cedselementdetails.aspx?termid=22697</v>
      </c>
    </row>
    <row r="37" spans="1:13" s="22" customFormat="1" ht="409.6" x14ac:dyDescent="0.3">
      <c r="A37" s="12" t="s">
        <v>3344</v>
      </c>
      <c r="B37" s="12" t="s">
        <v>3345</v>
      </c>
      <c r="C37" s="16" t="s">
        <v>8427</v>
      </c>
      <c r="D37" s="12" t="s">
        <v>8428</v>
      </c>
      <c r="E37" s="12" t="s">
        <v>172</v>
      </c>
      <c r="F37" s="12"/>
      <c r="G37" s="12" t="s">
        <v>7995</v>
      </c>
      <c r="H37" s="12"/>
      <c r="I37" s="14" t="s">
        <v>3346</v>
      </c>
      <c r="J37" s="12"/>
      <c r="K37" s="12" t="s">
        <v>3347</v>
      </c>
      <c r="L37" s="12"/>
      <c r="M37" s="12" t="str">
        <f>HYPERLINK("https://ceds.ed.gov/cedselementdetails.aspx?termid=22294")</f>
        <v>https://ceds.ed.gov/cedselementdetails.aspx?termid=22294</v>
      </c>
    </row>
    <row r="38" spans="1:13" s="22" customFormat="1" ht="409.6" x14ac:dyDescent="0.3">
      <c r="A38" s="12" t="s">
        <v>3461</v>
      </c>
      <c r="B38" s="12" t="s">
        <v>3462</v>
      </c>
      <c r="C38" s="16" t="s">
        <v>32</v>
      </c>
      <c r="D38" s="12" t="s">
        <v>8429</v>
      </c>
      <c r="E38" s="12" t="s">
        <v>172</v>
      </c>
      <c r="F38" s="12" t="s">
        <v>3463</v>
      </c>
      <c r="G38" s="12" t="s">
        <v>7946</v>
      </c>
      <c r="H38" s="12"/>
      <c r="I38" s="14" t="s">
        <v>3464</v>
      </c>
      <c r="J38" s="12" t="s">
        <v>3465</v>
      </c>
      <c r="K38" s="12" t="s">
        <v>3466</v>
      </c>
      <c r="L38" s="12" t="s">
        <v>64</v>
      </c>
      <c r="M38" s="12" t="str">
        <f>HYPERLINK("https://ceds.ed.gov/cedselementdetails.aspx?termid=21088")</f>
        <v>https://ceds.ed.gov/cedselementdetails.aspx?termid=21088</v>
      </c>
    </row>
    <row r="39" spans="1:13" s="22" customFormat="1" ht="409.6" x14ac:dyDescent="0.3">
      <c r="A39" s="12" t="s">
        <v>3467</v>
      </c>
      <c r="B39" s="12" t="s">
        <v>3468</v>
      </c>
      <c r="C39" s="16" t="s">
        <v>8430</v>
      </c>
      <c r="D39" s="12" t="s">
        <v>8429</v>
      </c>
      <c r="E39" s="12" t="s">
        <v>172</v>
      </c>
      <c r="F39" s="12"/>
      <c r="G39" s="12" t="s">
        <v>7946</v>
      </c>
      <c r="H39" s="12"/>
      <c r="I39" s="14" t="s">
        <v>3469</v>
      </c>
      <c r="J39" s="12" t="s">
        <v>3470</v>
      </c>
      <c r="K39" s="12" t="s">
        <v>3471</v>
      </c>
      <c r="L39" s="12" t="s">
        <v>64</v>
      </c>
      <c r="M39" s="12" t="str">
        <f>HYPERLINK("https://ceds.ed.gov/cedselementdetails.aspx?termid=21089")</f>
        <v>https://ceds.ed.gov/cedselementdetails.aspx?termid=21089</v>
      </c>
    </row>
    <row r="40" spans="1:13" s="22" customFormat="1" ht="409.6" x14ac:dyDescent="0.3">
      <c r="A40" s="12" t="s">
        <v>3577</v>
      </c>
      <c r="B40" s="12" t="s">
        <v>8107</v>
      </c>
      <c r="C40" s="16" t="s">
        <v>22</v>
      </c>
      <c r="D40" s="12" t="s">
        <v>8431</v>
      </c>
      <c r="E40" s="12" t="s">
        <v>172</v>
      </c>
      <c r="F40" s="12"/>
      <c r="G40" s="12" t="s">
        <v>8108</v>
      </c>
      <c r="H40" s="12" t="s">
        <v>3578</v>
      </c>
      <c r="I40" s="14" t="s">
        <v>3579</v>
      </c>
      <c r="J40" s="12"/>
      <c r="K40" s="12" t="s">
        <v>3580</v>
      </c>
      <c r="L40" s="12" t="s">
        <v>1901</v>
      </c>
      <c r="M40" s="12" t="str">
        <f>HYPERLINK("https://ceds.ed.gov/cedselementdetails.aspx?termid=21180")</f>
        <v>https://ceds.ed.gov/cedselementdetails.aspx?termid=21180</v>
      </c>
    </row>
    <row r="41" spans="1:13" s="22" customFormat="1" ht="172.8" x14ac:dyDescent="0.3">
      <c r="A41" s="12" t="s">
        <v>3585</v>
      </c>
      <c r="B41" s="12" t="s">
        <v>3586</v>
      </c>
      <c r="C41" s="16" t="s">
        <v>32</v>
      </c>
      <c r="D41" s="12" t="s">
        <v>8432</v>
      </c>
      <c r="E41" s="12" t="s">
        <v>172</v>
      </c>
      <c r="F41" s="12" t="s">
        <v>118</v>
      </c>
      <c r="G41" s="12" t="s">
        <v>7946</v>
      </c>
      <c r="H41" s="12"/>
      <c r="I41" s="14" t="s">
        <v>3587</v>
      </c>
      <c r="J41" s="12"/>
      <c r="K41" s="12" t="s">
        <v>3588</v>
      </c>
      <c r="L41" s="12" t="s">
        <v>3589</v>
      </c>
      <c r="M41" s="12" t="str">
        <f>HYPERLINK("https://ceds.ed.gov/cedselementdetails.aspx?termid=21097")</f>
        <v>https://ceds.ed.gov/cedselementdetails.aspx?termid=21097</v>
      </c>
    </row>
    <row r="42" spans="1:13" s="22" customFormat="1" ht="331.2" x14ac:dyDescent="0.3">
      <c r="A42" s="12" t="s">
        <v>3616</v>
      </c>
      <c r="B42" s="12" t="s">
        <v>3617</v>
      </c>
      <c r="C42" s="16" t="s">
        <v>8433</v>
      </c>
      <c r="D42" s="12" t="s">
        <v>3609</v>
      </c>
      <c r="E42" s="12" t="s">
        <v>172</v>
      </c>
      <c r="F42" s="12"/>
      <c r="G42" s="12" t="s">
        <v>7995</v>
      </c>
      <c r="H42" s="12"/>
      <c r="I42" s="14" t="s">
        <v>3618</v>
      </c>
      <c r="J42" s="12"/>
      <c r="K42" s="12" t="s">
        <v>3619</v>
      </c>
      <c r="L42" s="12"/>
      <c r="M42" s="12" t="str">
        <f>HYPERLINK("https://ceds.ed.gov/cedselementdetails.aspx?termid=22177")</f>
        <v>https://ceds.ed.gov/cedselementdetails.aspx?termid=22177</v>
      </c>
    </row>
    <row r="43" spans="1:13" s="22" customFormat="1" ht="86.4" x14ac:dyDescent="0.3">
      <c r="A43" s="12" t="s">
        <v>3620</v>
      </c>
      <c r="B43" s="12" t="s">
        <v>3621</v>
      </c>
      <c r="C43" s="16" t="s">
        <v>8434</v>
      </c>
      <c r="D43" s="12" t="s">
        <v>8435</v>
      </c>
      <c r="E43" s="12" t="s">
        <v>172</v>
      </c>
      <c r="F43" s="12"/>
      <c r="G43" s="12" t="s">
        <v>7946</v>
      </c>
      <c r="H43" s="12"/>
      <c r="I43" s="14" t="s">
        <v>3623</v>
      </c>
      <c r="J43" s="12"/>
      <c r="K43" s="12" t="s">
        <v>3624</v>
      </c>
      <c r="L43" s="12" t="s">
        <v>2707</v>
      </c>
      <c r="M43" s="12" t="str">
        <f>HYPERLINK("https://ceds.ed.gov/cedselementdetails.aspx?termid=21108")</f>
        <v>https://ceds.ed.gov/cedselementdetails.aspx?termid=21108</v>
      </c>
    </row>
    <row r="44" spans="1:13" s="22" customFormat="1" ht="172.8" x14ac:dyDescent="0.3">
      <c r="A44" s="12" t="s">
        <v>3633</v>
      </c>
      <c r="B44" s="12" t="s">
        <v>3634</v>
      </c>
      <c r="C44" s="16" t="s">
        <v>32</v>
      </c>
      <c r="D44" s="12" t="s">
        <v>8436</v>
      </c>
      <c r="E44" s="12" t="s">
        <v>172</v>
      </c>
      <c r="F44" s="12" t="s">
        <v>132</v>
      </c>
      <c r="G44" s="12" t="s">
        <v>7946</v>
      </c>
      <c r="H44" s="12" t="s">
        <v>7945</v>
      </c>
      <c r="I44" s="14" t="s">
        <v>3635</v>
      </c>
      <c r="J44" s="12"/>
      <c r="K44" s="12" t="s">
        <v>3636</v>
      </c>
      <c r="L44" s="12"/>
      <c r="M44" s="12" t="str">
        <f>HYPERLINK("https://ceds.ed.gov/cedselementdetails.aspx?termid=21495")</f>
        <v>https://ceds.ed.gov/cedselementdetails.aspx?termid=21495</v>
      </c>
    </row>
    <row r="45" spans="1:13" s="22" customFormat="1" ht="72" x14ac:dyDescent="0.3">
      <c r="A45" s="12" t="s">
        <v>3735</v>
      </c>
      <c r="B45" s="12" t="s">
        <v>3736</v>
      </c>
      <c r="C45" s="16" t="s">
        <v>32</v>
      </c>
      <c r="D45" s="12" t="s">
        <v>1524</v>
      </c>
      <c r="E45" s="12" t="s">
        <v>172</v>
      </c>
      <c r="F45" s="12" t="s">
        <v>1699</v>
      </c>
      <c r="G45" s="12" t="s">
        <v>8116</v>
      </c>
      <c r="H45" s="12" t="s">
        <v>8117</v>
      </c>
      <c r="I45" s="14" t="s">
        <v>3737</v>
      </c>
      <c r="J45" s="12"/>
      <c r="K45" s="12" t="s">
        <v>3738</v>
      </c>
      <c r="L45" s="12"/>
      <c r="M45" s="12" t="str">
        <f>HYPERLINK("https://ceds.ed.gov/cedselementdetails.aspx?termid=22885")</f>
        <v>https://ceds.ed.gov/cedselementdetails.aspx?termid=22885</v>
      </c>
    </row>
    <row r="46" spans="1:13" s="22" customFormat="1" ht="158.4" x14ac:dyDescent="0.3">
      <c r="A46" s="12" t="s">
        <v>3916</v>
      </c>
      <c r="B46" s="12" t="s">
        <v>8121</v>
      </c>
      <c r="C46" s="16" t="s">
        <v>32</v>
      </c>
      <c r="D46" s="12" t="s">
        <v>8437</v>
      </c>
      <c r="E46" s="12" t="s">
        <v>172</v>
      </c>
      <c r="F46" s="12" t="s">
        <v>3917</v>
      </c>
      <c r="G46" s="12" t="s">
        <v>8122</v>
      </c>
      <c r="H46" s="12"/>
      <c r="I46" s="14" t="s">
        <v>3918</v>
      </c>
      <c r="J46" s="12"/>
      <c r="K46" s="12" t="s">
        <v>3919</v>
      </c>
      <c r="L46" s="12" t="s">
        <v>226</v>
      </c>
      <c r="M46" s="12" t="str">
        <f>HYPERLINK("https://ceds.ed.gov/cedselementdetails.aspx?termid=21538")</f>
        <v>https://ceds.ed.gov/cedselementdetails.aspx?termid=21538</v>
      </c>
    </row>
    <row r="47" spans="1:13" s="11" customFormat="1" ht="409.6" x14ac:dyDescent="0.3">
      <c r="A47" s="7" t="s">
        <v>8127</v>
      </c>
      <c r="B47" s="7" t="s">
        <v>3941</v>
      </c>
      <c r="C47" s="18" t="s">
        <v>8438</v>
      </c>
      <c r="D47" s="7" t="s">
        <v>3942</v>
      </c>
      <c r="E47" s="7" t="s">
        <v>172</v>
      </c>
      <c r="F47" s="7"/>
      <c r="G47" s="7" t="s">
        <v>8128</v>
      </c>
      <c r="H47" s="7" t="s">
        <v>8129</v>
      </c>
      <c r="I47" s="19" t="s">
        <v>3943</v>
      </c>
      <c r="J47" s="7"/>
      <c r="K47" s="7" t="s">
        <v>8130</v>
      </c>
      <c r="L47" s="7"/>
      <c r="M47" s="7" t="str">
        <f>HYPERLINK("https://ceds.ed.gov/cedselementdetails.aspx?termid=22320")</f>
        <v>https://ceds.ed.gov/cedselementdetails.aspx?termid=22320</v>
      </c>
    </row>
    <row r="48" spans="1:13" s="22" customFormat="1" ht="201.6" x14ac:dyDescent="0.3">
      <c r="A48" s="12" t="s">
        <v>3934</v>
      </c>
      <c r="B48" s="12" t="s">
        <v>3935</v>
      </c>
      <c r="C48" s="16" t="s">
        <v>8439</v>
      </c>
      <c r="D48" s="12" t="s">
        <v>8440</v>
      </c>
      <c r="E48" s="12" t="s">
        <v>172</v>
      </c>
      <c r="F48" s="12"/>
      <c r="G48" s="12" t="s">
        <v>7946</v>
      </c>
      <c r="H48" s="12"/>
      <c r="I48" s="14" t="s">
        <v>3936</v>
      </c>
      <c r="J48" s="12"/>
      <c r="K48" s="12" t="s">
        <v>3937</v>
      </c>
      <c r="L48" s="12"/>
      <c r="M48" s="12" t="str">
        <f>HYPERLINK("https://ceds.ed.gov/cedselementdetails.aspx?termid=22312")</f>
        <v>https://ceds.ed.gov/cedselementdetails.aspx?termid=22312</v>
      </c>
    </row>
    <row r="49" spans="1:13" s="22" customFormat="1" ht="201.6" x14ac:dyDescent="0.3">
      <c r="A49" s="12" t="s">
        <v>3938</v>
      </c>
      <c r="B49" s="12" t="s">
        <v>8134</v>
      </c>
      <c r="C49" s="16" t="s">
        <v>32</v>
      </c>
      <c r="D49" s="12" t="s">
        <v>8440</v>
      </c>
      <c r="E49" s="12" t="s">
        <v>172</v>
      </c>
      <c r="F49" s="12" t="s">
        <v>113</v>
      </c>
      <c r="G49" s="12" t="s">
        <v>8135</v>
      </c>
      <c r="H49" s="12"/>
      <c r="I49" s="14" t="s">
        <v>3939</v>
      </c>
      <c r="J49" s="12"/>
      <c r="K49" s="12" t="s">
        <v>3940</v>
      </c>
      <c r="L49" s="12"/>
      <c r="M49" s="12" t="str">
        <f>HYPERLINK("https://ceds.ed.gov/cedselementdetails.aspx?termid=22313")</f>
        <v>https://ceds.ed.gov/cedselementdetails.aspx?termid=22313</v>
      </c>
    </row>
    <row r="50" spans="1:13" s="22" customFormat="1" ht="144" x14ac:dyDescent="0.3">
      <c r="A50" s="12" t="s">
        <v>8136</v>
      </c>
      <c r="B50" s="12" t="s">
        <v>3944</v>
      </c>
      <c r="C50" s="16" t="s">
        <v>8441</v>
      </c>
      <c r="D50" s="12" t="s">
        <v>8442</v>
      </c>
      <c r="E50" s="12" t="s">
        <v>172</v>
      </c>
      <c r="F50" s="12"/>
      <c r="G50" s="12" t="s">
        <v>8137</v>
      </c>
      <c r="H50" s="12" t="s">
        <v>8138</v>
      </c>
      <c r="I50" s="14" t="s">
        <v>3945</v>
      </c>
      <c r="J50" s="12"/>
      <c r="K50" s="12" t="s">
        <v>8139</v>
      </c>
      <c r="L50" s="12"/>
      <c r="M50" s="12" t="str">
        <f>HYPERLINK("https://ceds.ed.gov/cedselementdetails.aspx?termid=22314")</f>
        <v>https://ceds.ed.gov/cedselementdetails.aspx?termid=22314</v>
      </c>
    </row>
    <row r="51" spans="1:13" s="22" customFormat="1" ht="172.8" x14ac:dyDescent="0.3">
      <c r="A51" s="12" t="s">
        <v>3948</v>
      </c>
      <c r="B51" s="12" t="s">
        <v>8152</v>
      </c>
      <c r="C51" s="16" t="s">
        <v>32</v>
      </c>
      <c r="D51" s="12" t="s">
        <v>8443</v>
      </c>
      <c r="E51" s="12" t="s">
        <v>172</v>
      </c>
      <c r="F51" s="12" t="s">
        <v>780</v>
      </c>
      <c r="G51" s="12" t="s">
        <v>8135</v>
      </c>
      <c r="H51" s="12"/>
      <c r="I51" s="14" t="s">
        <v>3949</v>
      </c>
      <c r="J51" s="12"/>
      <c r="K51" s="12" t="s">
        <v>3950</v>
      </c>
      <c r="L51" s="12"/>
      <c r="M51" s="12" t="str">
        <f>HYPERLINK("https://ceds.ed.gov/cedselementdetails.aspx?termid=22315")</f>
        <v>https://ceds.ed.gov/cedselementdetails.aspx?termid=22315</v>
      </c>
    </row>
    <row r="52" spans="1:13" s="11" customFormat="1" ht="172.8" x14ac:dyDescent="0.3">
      <c r="A52" s="7" t="s">
        <v>3951</v>
      </c>
      <c r="B52" s="7" t="s">
        <v>8153</v>
      </c>
      <c r="C52" s="18" t="s">
        <v>32</v>
      </c>
      <c r="D52" s="7" t="s">
        <v>8443</v>
      </c>
      <c r="E52" s="7" t="s">
        <v>172</v>
      </c>
      <c r="F52" s="7" t="s">
        <v>85</v>
      </c>
      <c r="G52" s="7" t="s">
        <v>7946</v>
      </c>
      <c r="H52" s="7"/>
      <c r="I52" s="19" t="s">
        <v>3952</v>
      </c>
      <c r="J52" s="7"/>
      <c r="K52" s="7" t="s">
        <v>3953</v>
      </c>
      <c r="L52" s="7"/>
      <c r="M52" s="7" t="str">
        <f>HYPERLINK("https://ceds.ed.gov/cedselementdetails.aspx?termid=22530")</f>
        <v>https://ceds.ed.gov/cedselementdetails.aspx?termid=22530</v>
      </c>
    </row>
    <row r="53" spans="1:13" s="22" customFormat="1" ht="201.6" x14ac:dyDescent="0.3">
      <c r="A53" s="12" t="s">
        <v>8154</v>
      </c>
      <c r="B53" s="12" t="s">
        <v>8155</v>
      </c>
      <c r="C53" s="16" t="s">
        <v>8444</v>
      </c>
      <c r="D53" s="12" t="s">
        <v>8442</v>
      </c>
      <c r="E53" s="12" t="s">
        <v>172</v>
      </c>
      <c r="F53" s="12"/>
      <c r="G53" s="12" t="s">
        <v>8137</v>
      </c>
      <c r="H53" s="9" t="s">
        <v>8156</v>
      </c>
      <c r="I53" s="14" t="s">
        <v>3946</v>
      </c>
      <c r="J53" s="12"/>
      <c r="K53" s="12" t="s">
        <v>8157</v>
      </c>
      <c r="L53" s="12"/>
      <c r="M53" s="12" t="str">
        <f>HYPERLINK("https://ceds.ed.gov/cedselementdetails.aspx?termid=22316")</f>
        <v>https://ceds.ed.gov/cedselementdetails.aspx?termid=22316</v>
      </c>
    </row>
    <row r="54" spans="1:13" s="22" customFormat="1" ht="172.8" x14ac:dyDescent="0.3">
      <c r="A54" s="12" t="s">
        <v>3954</v>
      </c>
      <c r="B54" s="12" t="s">
        <v>8158</v>
      </c>
      <c r="C54" s="16" t="s">
        <v>32</v>
      </c>
      <c r="D54" s="12" t="s">
        <v>8443</v>
      </c>
      <c r="E54" s="12" t="s">
        <v>172</v>
      </c>
      <c r="F54" s="12" t="s">
        <v>780</v>
      </c>
      <c r="G54" s="12" t="s">
        <v>8159</v>
      </c>
      <c r="H54" s="12"/>
      <c r="I54" s="14" t="s">
        <v>3955</v>
      </c>
      <c r="J54" s="12"/>
      <c r="K54" s="12" t="s">
        <v>3956</v>
      </c>
      <c r="L54" s="12"/>
      <c r="M54" s="12" t="str">
        <f>HYPERLINK("https://ceds.ed.gov/cedselementdetails.aspx?termid=22626")</f>
        <v>https://ceds.ed.gov/cedselementdetails.aspx?termid=22626</v>
      </c>
    </row>
    <row r="55" spans="1:13" s="22" customFormat="1" ht="172.8" x14ac:dyDescent="0.3">
      <c r="A55" s="12" t="s">
        <v>3957</v>
      </c>
      <c r="B55" s="12" t="s">
        <v>8160</v>
      </c>
      <c r="C55" s="16" t="s">
        <v>32</v>
      </c>
      <c r="D55" s="12" t="s">
        <v>8443</v>
      </c>
      <c r="E55" s="12" t="s">
        <v>172</v>
      </c>
      <c r="F55" s="12" t="s">
        <v>85</v>
      </c>
      <c r="G55" s="12" t="s">
        <v>8159</v>
      </c>
      <c r="H55" s="12"/>
      <c r="I55" s="14" t="s">
        <v>3958</v>
      </c>
      <c r="J55" s="12"/>
      <c r="K55" s="12" t="s">
        <v>3959</v>
      </c>
      <c r="L55" s="12"/>
      <c r="M55" s="12" t="str">
        <f>HYPERLINK("https://ceds.ed.gov/cedselementdetails.aspx?termid=22627")</f>
        <v>https://ceds.ed.gov/cedselementdetails.aspx?termid=22627</v>
      </c>
    </row>
    <row r="56" spans="1:13" s="22" customFormat="1" ht="409.6" x14ac:dyDescent="0.3">
      <c r="A56" s="12" t="s">
        <v>8161</v>
      </c>
      <c r="B56" s="12" t="s">
        <v>8162</v>
      </c>
      <c r="C56" s="16" t="s">
        <v>8445</v>
      </c>
      <c r="D56" s="12" t="s">
        <v>8446</v>
      </c>
      <c r="E56" s="12" t="s">
        <v>172</v>
      </c>
      <c r="F56" s="12"/>
      <c r="G56" s="12" t="s">
        <v>8137</v>
      </c>
      <c r="H56" s="12" t="s">
        <v>8163</v>
      </c>
      <c r="I56" s="14" t="s">
        <v>3947</v>
      </c>
      <c r="J56" s="12"/>
      <c r="K56" s="12" t="s">
        <v>8164</v>
      </c>
      <c r="L56" s="12"/>
      <c r="M56" s="12" t="str">
        <f>HYPERLINK("https://ceds.ed.gov/cedselementdetails.aspx?termid=22440")</f>
        <v>https://ceds.ed.gov/cedselementdetails.aspx?termid=22440</v>
      </c>
    </row>
    <row r="57" spans="1:13" s="22" customFormat="1" ht="172.8" x14ac:dyDescent="0.3">
      <c r="A57" s="12" t="s">
        <v>3960</v>
      </c>
      <c r="B57" s="12" t="s">
        <v>3961</v>
      </c>
      <c r="C57" s="16" t="s">
        <v>32</v>
      </c>
      <c r="D57" s="12" t="s">
        <v>8443</v>
      </c>
      <c r="E57" s="12" t="s">
        <v>172</v>
      </c>
      <c r="F57" s="12" t="s">
        <v>118</v>
      </c>
      <c r="G57" s="12" t="s">
        <v>7946</v>
      </c>
      <c r="H57" s="12"/>
      <c r="I57" s="14" t="s">
        <v>3962</v>
      </c>
      <c r="J57" s="12"/>
      <c r="K57" s="12" t="s">
        <v>3963</v>
      </c>
      <c r="L57" s="12"/>
      <c r="M57" s="12" t="str">
        <f>HYPERLINK("https://ceds.ed.gov/cedselementdetails.aspx?termid=22629")</f>
        <v>https://ceds.ed.gov/cedselementdetails.aspx?termid=22629</v>
      </c>
    </row>
    <row r="58" spans="1:13" s="22" customFormat="1" ht="201.6" x14ac:dyDescent="0.3">
      <c r="A58" s="12" t="s">
        <v>3964</v>
      </c>
      <c r="B58" s="12" t="s">
        <v>3965</v>
      </c>
      <c r="C58" s="16" t="s">
        <v>32</v>
      </c>
      <c r="D58" s="12" t="s">
        <v>8440</v>
      </c>
      <c r="E58" s="12" t="s">
        <v>172</v>
      </c>
      <c r="F58" s="12" t="s">
        <v>1518</v>
      </c>
      <c r="G58" s="12" t="s">
        <v>7946</v>
      </c>
      <c r="H58" s="12"/>
      <c r="I58" s="14" t="s">
        <v>3966</v>
      </c>
      <c r="J58" s="12"/>
      <c r="K58" s="12" t="s">
        <v>3967</v>
      </c>
      <c r="L58" s="12"/>
      <c r="M58" s="12" t="str">
        <f>HYPERLINK("https://ceds.ed.gov/cedselementdetails.aspx?termid=22317")</f>
        <v>https://ceds.ed.gov/cedselementdetails.aspx?termid=22317</v>
      </c>
    </row>
    <row r="59" spans="1:13" s="22" customFormat="1" ht="201.6" x14ac:dyDescent="0.3">
      <c r="A59" s="12" t="s">
        <v>3968</v>
      </c>
      <c r="B59" s="12" t="s">
        <v>3969</v>
      </c>
      <c r="C59" s="16" t="s">
        <v>32</v>
      </c>
      <c r="D59" s="12" t="s">
        <v>8440</v>
      </c>
      <c r="E59" s="12" t="s">
        <v>172</v>
      </c>
      <c r="F59" s="12" t="s">
        <v>1518</v>
      </c>
      <c r="G59" s="12" t="s">
        <v>7946</v>
      </c>
      <c r="H59" s="12"/>
      <c r="I59" s="14" t="s">
        <v>3970</v>
      </c>
      <c r="J59" s="12"/>
      <c r="K59" s="12" t="s">
        <v>3971</v>
      </c>
      <c r="L59" s="12"/>
      <c r="M59" s="12" t="str">
        <f>HYPERLINK("https://ceds.ed.gov/cedselementdetails.aspx?termid=22318")</f>
        <v>https://ceds.ed.gov/cedselementdetails.aspx?termid=22318</v>
      </c>
    </row>
    <row r="60" spans="1:13" s="22" customFormat="1" ht="201.6" x14ac:dyDescent="0.3">
      <c r="A60" s="12" t="s">
        <v>3972</v>
      </c>
      <c r="B60" s="12" t="s">
        <v>3973</v>
      </c>
      <c r="C60" s="16" t="s">
        <v>32</v>
      </c>
      <c r="D60" s="12" t="s">
        <v>8440</v>
      </c>
      <c r="E60" s="12" t="s">
        <v>172</v>
      </c>
      <c r="F60" s="12" t="s">
        <v>1518</v>
      </c>
      <c r="G60" s="12" t="s">
        <v>7946</v>
      </c>
      <c r="H60" s="12" t="s">
        <v>3974</v>
      </c>
      <c r="I60" s="14" t="s">
        <v>3975</v>
      </c>
      <c r="J60" s="12"/>
      <c r="K60" s="12" t="s">
        <v>3976</v>
      </c>
      <c r="L60" s="12"/>
      <c r="M60" s="12" t="str">
        <f>HYPERLINK("https://ceds.ed.gov/cedselementdetails.aspx?termid=22625")</f>
        <v>https://ceds.ed.gov/cedselementdetails.aspx?termid=22625</v>
      </c>
    </row>
    <row r="61" spans="1:13" s="22" customFormat="1" ht="172.8" x14ac:dyDescent="0.3">
      <c r="A61" s="12" t="s">
        <v>3977</v>
      </c>
      <c r="B61" s="12" t="s">
        <v>3978</v>
      </c>
      <c r="C61" s="16" t="s">
        <v>32</v>
      </c>
      <c r="D61" s="12" t="s">
        <v>8443</v>
      </c>
      <c r="E61" s="12" t="s">
        <v>172</v>
      </c>
      <c r="F61" s="12" t="s">
        <v>1518</v>
      </c>
      <c r="G61" s="12" t="s">
        <v>7946</v>
      </c>
      <c r="H61" s="12" t="s">
        <v>3979</v>
      </c>
      <c r="I61" s="14" t="s">
        <v>3980</v>
      </c>
      <c r="J61" s="12"/>
      <c r="K61" s="12" t="s">
        <v>3981</v>
      </c>
      <c r="L61" s="12"/>
      <c r="M61" s="12" t="str">
        <f>HYPERLINK("https://ceds.ed.gov/cedselementdetails.aspx?termid=22628")</f>
        <v>https://ceds.ed.gov/cedselementdetails.aspx?termid=22628</v>
      </c>
    </row>
    <row r="62" spans="1:13" s="22" customFormat="1" ht="409.6" x14ac:dyDescent="0.3">
      <c r="A62" s="12" t="s">
        <v>8173</v>
      </c>
      <c r="B62" s="12" t="s">
        <v>8174</v>
      </c>
      <c r="C62" s="16" t="s">
        <v>8447</v>
      </c>
      <c r="D62" s="12" t="s">
        <v>8442</v>
      </c>
      <c r="E62" s="12" t="s">
        <v>172</v>
      </c>
      <c r="F62" s="12"/>
      <c r="G62" s="12" t="s">
        <v>8175</v>
      </c>
      <c r="H62" s="12" t="s">
        <v>8176</v>
      </c>
      <c r="I62" s="14" t="s">
        <v>4017</v>
      </c>
      <c r="J62" s="12"/>
      <c r="K62" s="12" t="s">
        <v>8177</v>
      </c>
      <c r="L62" s="12"/>
      <c r="M62" s="12" t="str">
        <f>HYPERLINK("https://ceds.ed.gov/cedselementdetails.aspx?termid=22321")</f>
        <v>https://ceds.ed.gov/cedselementdetails.aspx?termid=22321</v>
      </c>
    </row>
    <row r="63" spans="1:13" s="22" customFormat="1" ht="187.2" x14ac:dyDescent="0.3">
      <c r="A63" s="12" t="s">
        <v>8178</v>
      </c>
      <c r="B63" s="12" t="s">
        <v>4018</v>
      </c>
      <c r="C63" s="16" t="s">
        <v>8448</v>
      </c>
      <c r="D63" s="12" t="s">
        <v>8442</v>
      </c>
      <c r="E63" s="12" t="s">
        <v>172</v>
      </c>
      <c r="F63" s="12"/>
      <c r="G63" s="12" t="s">
        <v>8179</v>
      </c>
      <c r="H63" s="12" t="s">
        <v>8180</v>
      </c>
      <c r="I63" s="14" t="s">
        <v>4019</v>
      </c>
      <c r="J63" s="12"/>
      <c r="K63" s="12" t="s">
        <v>8181</v>
      </c>
      <c r="L63" s="12"/>
      <c r="M63" s="12" t="str">
        <f>HYPERLINK("https://ceds.ed.gov/cedselementdetails.aspx?termid=22531")</f>
        <v>https://ceds.ed.gov/cedselementdetails.aspx?termid=22531</v>
      </c>
    </row>
    <row r="64" spans="1:13" s="22" customFormat="1" ht="409.6" x14ac:dyDescent="0.3">
      <c r="A64" s="12" t="s">
        <v>8191</v>
      </c>
      <c r="B64" s="12" t="s">
        <v>8192</v>
      </c>
      <c r="C64" s="16" t="s">
        <v>8449</v>
      </c>
      <c r="D64" s="12" t="s">
        <v>8442</v>
      </c>
      <c r="E64" s="12" t="s">
        <v>172</v>
      </c>
      <c r="F64" s="12"/>
      <c r="G64" s="12" t="s">
        <v>8137</v>
      </c>
      <c r="H64" s="12" t="s">
        <v>8193</v>
      </c>
      <c r="I64" s="14" t="s">
        <v>4020</v>
      </c>
      <c r="J64" s="12"/>
      <c r="K64" s="12" t="s">
        <v>8194</v>
      </c>
      <c r="L64" s="12"/>
      <c r="M64" s="12" t="str">
        <f>HYPERLINK("https://ceds.ed.gov/cedselementdetails.aspx?termid=22322")</f>
        <v>https://ceds.ed.gov/cedselementdetails.aspx?termid=22322</v>
      </c>
    </row>
    <row r="65" spans="1:13" s="22" customFormat="1" ht="259.2" x14ac:dyDescent="0.3">
      <c r="A65" s="12" t="s">
        <v>8195</v>
      </c>
      <c r="B65" s="12" t="s">
        <v>8196</v>
      </c>
      <c r="C65" s="16" t="s">
        <v>32</v>
      </c>
      <c r="D65" s="12" t="s">
        <v>8442</v>
      </c>
      <c r="E65" s="12" t="s">
        <v>172</v>
      </c>
      <c r="F65" s="12" t="s">
        <v>148</v>
      </c>
      <c r="G65" s="12" t="s">
        <v>8197</v>
      </c>
      <c r="H65" s="12" t="s">
        <v>8198</v>
      </c>
      <c r="I65" s="14" t="s">
        <v>4021</v>
      </c>
      <c r="J65" s="12"/>
      <c r="K65" s="12" t="s">
        <v>8199</v>
      </c>
      <c r="L65" s="12"/>
      <c r="M65" s="12" t="str">
        <f>HYPERLINK("https://ceds.ed.gov/cedselementdetails.aspx?termid=22532")</f>
        <v>https://ceds.ed.gov/cedselementdetails.aspx?termid=22532</v>
      </c>
    </row>
    <row r="66" spans="1:13" s="22" customFormat="1" ht="172.8" x14ac:dyDescent="0.3">
      <c r="A66" s="12" t="s">
        <v>4058</v>
      </c>
      <c r="B66" s="12" t="s">
        <v>4059</v>
      </c>
      <c r="C66" s="16" t="s">
        <v>32</v>
      </c>
      <c r="D66" s="12" t="s">
        <v>8443</v>
      </c>
      <c r="E66" s="12" t="s">
        <v>172</v>
      </c>
      <c r="F66" s="12" t="s">
        <v>118</v>
      </c>
      <c r="G66" s="12" t="s">
        <v>7946</v>
      </c>
      <c r="H66" s="12"/>
      <c r="I66" s="14" t="s">
        <v>4060</v>
      </c>
      <c r="J66" s="12"/>
      <c r="K66" s="12" t="s">
        <v>4061</v>
      </c>
      <c r="L66" s="12"/>
      <c r="M66" s="12" t="str">
        <f>HYPERLINK("https://ceds.ed.gov/cedselementdetails.aspx?termid=22623")</f>
        <v>https://ceds.ed.gov/cedselementdetails.aspx?termid=22623</v>
      </c>
    </row>
    <row r="67" spans="1:13" s="22" customFormat="1" ht="172.8" x14ac:dyDescent="0.3">
      <c r="A67" s="12" t="s">
        <v>4062</v>
      </c>
      <c r="B67" s="12" t="s">
        <v>4063</v>
      </c>
      <c r="C67" s="16" t="s">
        <v>32</v>
      </c>
      <c r="D67" s="12" t="s">
        <v>8443</v>
      </c>
      <c r="E67" s="12" t="s">
        <v>172</v>
      </c>
      <c r="F67" s="12" t="s">
        <v>118</v>
      </c>
      <c r="G67" s="12" t="s">
        <v>7946</v>
      </c>
      <c r="H67" s="12" t="s">
        <v>143</v>
      </c>
      <c r="I67" s="14" t="s">
        <v>4064</v>
      </c>
      <c r="J67" s="12"/>
      <c r="K67" s="12" t="s">
        <v>4065</v>
      </c>
      <c r="L67" s="12"/>
      <c r="M67" s="12" t="str">
        <f>HYPERLINK("https://ceds.ed.gov/cedselementdetails.aspx?termid=22624")</f>
        <v>https://ceds.ed.gov/cedselementdetails.aspx?termid=22624</v>
      </c>
    </row>
    <row r="68" spans="1:13" s="22" customFormat="1" ht="201.6" x14ac:dyDescent="0.3">
      <c r="A68" s="12" t="s">
        <v>4066</v>
      </c>
      <c r="B68" s="12" t="s">
        <v>8202</v>
      </c>
      <c r="C68" s="16" t="s">
        <v>32</v>
      </c>
      <c r="D68" s="12" t="s">
        <v>8440</v>
      </c>
      <c r="E68" s="12" t="s">
        <v>172</v>
      </c>
      <c r="F68" s="12" t="s">
        <v>1844</v>
      </c>
      <c r="G68" s="12" t="s">
        <v>8159</v>
      </c>
      <c r="H68" s="12"/>
      <c r="I68" s="14" t="s">
        <v>4067</v>
      </c>
      <c r="J68" s="12"/>
      <c r="K68" s="12" t="s">
        <v>4068</v>
      </c>
      <c r="L68" s="12"/>
      <c r="M68" s="12" t="str">
        <f>HYPERLINK("https://ceds.ed.gov/cedselementdetails.aspx?termid=22620")</f>
        <v>https://ceds.ed.gov/cedselementdetails.aspx?termid=22620</v>
      </c>
    </row>
    <row r="69" spans="1:13" s="22" customFormat="1" ht="72" x14ac:dyDescent="0.3">
      <c r="A69" s="12" t="s">
        <v>4073</v>
      </c>
      <c r="B69" s="12" t="s">
        <v>4074</v>
      </c>
      <c r="C69" s="16" t="s">
        <v>32</v>
      </c>
      <c r="D69" s="12" t="s">
        <v>8450</v>
      </c>
      <c r="E69" s="12" t="s">
        <v>172</v>
      </c>
      <c r="F69" s="12" t="s">
        <v>1699</v>
      </c>
      <c r="G69" s="12" t="s">
        <v>7946</v>
      </c>
      <c r="H69" s="12"/>
      <c r="I69" s="14" t="s">
        <v>4075</v>
      </c>
      <c r="J69" s="12"/>
      <c r="K69" s="12" t="s">
        <v>4076</v>
      </c>
      <c r="L69" s="12"/>
      <c r="M69" s="12" t="str">
        <f>HYPERLINK("https://ceds.ed.gov/cedselementdetails.aspx?termid=22695")</f>
        <v>https://ceds.ed.gov/cedselementdetails.aspx?termid=22695</v>
      </c>
    </row>
    <row r="70" spans="1:13" s="22" customFormat="1" ht="86.4" x14ac:dyDescent="0.3">
      <c r="A70" s="12" t="s">
        <v>4077</v>
      </c>
      <c r="B70" s="12" t="s">
        <v>4078</v>
      </c>
      <c r="C70" s="16" t="s">
        <v>32</v>
      </c>
      <c r="D70" s="12" t="s">
        <v>8450</v>
      </c>
      <c r="E70" s="12" t="s">
        <v>172</v>
      </c>
      <c r="F70" s="12" t="s">
        <v>1699</v>
      </c>
      <c r="G70" s="12" t="s">
        <v>7946</v>
      </c>
      <c r="H70" s="12"/>
      <c r="I70" s="14" t="s">
        <v>4079</v>
      </c>
      <c r="J70" s="12"/>
      <c r="K70" s="12" t="s">
        <v>4080</v>
      </c>
      <c r="L70" s="12"/>
      <c r="M70" s="12" t="str">
        <f>HYPERLINK("https://ceds.ed.gov/cedselementdetails.aspx?termid=22696")</f>
        <v>https://ceds.ed.gov/cedselementdetails.aspx?termid=22696</v>
      </c>
    </row>
    <row r="71" spans="1:13" s="22" customFormat="1" ht="115.2" x14ac:dyDescent="0.3">
      <c r="A71" s="12" t="s">
        <v>4081</v>
      </c>
      <c r="B71" s="12" t="s">
        <v>8203</v>
      </c>
      <c r="C71" s="16" t="s">
        <v>8451</v>
      </c>
      <c r="D71" s="12" t="s">
        <v>8452</v>
      </c>
      <c r="E71" s="12" t="s">
        <v>172</v>
      </c>
      <c r="F71" s="12"/>
      <c r="G71" s="12" t="s">
        <v>8204</v>
      </c>
      <c r="H71" s="12" t="s">
        <v>8205</v>
      </c>
      <c r="I71" s="14" t="s">
        <v>4082</v>
      </c>
      <c r="J71" s="12"/>
      <c r="K71" s="12" t="s">
        <v>4083</v>
      </c>
      <c r="L71" s="12"/>
      <c r="M71" s="12" t="str">
        <f>HYPERLINK("https://ceds.ed.gov/cedselementdetails.aspx?termid=22323")</f>
        <v>https://ceds.ed.gov/cedselementdetails.aspx?termid=22323</v>
      </c>
    </row>
    <row r="72" spans="1:13" s="11" customFormat="1" ht="100.8" x14ac:dyDescent="0.3">
      <c r="A72" s="7" t="s">
        <v>4084</v>
      </c>
      <c r="B72" s="7" t="s">
        <v>4085</v>
      </c>
      <c r="C72" s="18" t="s">
        <v>8453</v>
      </c>
      <c r="D72" s="7" t="s">
        <v>8450</v>
      </c>
      <c r="E72" s="7" t="s">
        <v>172</v>
      </c>
      <c r="F72" s="7"/>
      <c r="G72" s="7" t="s">
        <v>7946</v>
      </c>
      <c r="H72" s="7"/>
      <c r="I72" s="19" t="s">
        <v>4086</v>
      </c>
      <c r="J72" s="7"/>
      <c r="K72" s="7" t="s">
        <v>4087</v>
      </c>
      <c r="L72" s="7"/>
      <c r="M72" s="7" t="str">
        <f>HYPERLINK("https://ceds.ed.gov/cedselementdetails.aspx?termid=22694")</f>
        <v>https://ceds.ed.gov/cedselementdetails.aspx?termid=22694</v>
      </c>
    </row>
    <row r="73" spans="1:13" s="22" customFormat="1" ht="144" x14ac:dyDescent="0.3">
      <c r="A73" s="12" t="s">
        <v>4101</v>
      </c>
      <c r="B73" s="12" t="s">
        <v>4102</v>
      </c>
      <c r="C73" s="16" t="s">
        <v>8454</v>
      </c>
      <c r="D73" s="12" t="s">
        <v>8398</v>
      </c>
      <c r="E73" s="12" t="s">
        <v>172</v>
      </c>
      <c r="F73" s="12"/>
      <c r="G73" s="12" t="s">
        <v>7946</v>
      </c>
      <c r="H73" s="12" t="s">
        <v>8206</v>
      </c>
      <c r="I73" s="14" t="s">
        <v>4103</v>
      </c>
      <c r="J73" s="12"/>
      <c r="K73" s="12" t="s">
        <v>4104</v>
      </c>
      <c r="L73" s="12" t="s">
        <v>69</v>
      </c>
      <c r="M73" s="12" t="str">
        <f>HYPERLINK("https://ceds.ed.gov/cedselementdetails.aspx?termid=21713")</f>
        <v>https://ceds.ed.gov/cedselementdetails.aspx?termid=21713</v>
      </c>
    </row>
    <row r="74" spans="1:13" s="22" customFormat="1" ht="172.8" x14ac:dyDescent="0.3">
      <c r="A74" s="12" t="s">
        <v>4129</v>
      </c>
      <c r="B74" s="12" t="s">
        <v>4130</v>
      </c>
      <c r="C74" s="16" t="s">
        <v>32</v>
      </c>
      <c r="D74" s="12" t="s">
        <v>8455</v>
      </c>
      <c r="E74" s="12" t="s">
        <v>172</v>
      </c>
      <c r="F74" s="12" t="s">
        <v>113</v>
      </c>
      <c r="G74" s="12" t="s">
        <v>8050</v>
      </c>
      <c r="H74" s="12"/>
      <c r="I74" s="14" t="s">
        <v>4131</v>
      </c>
      <c r="J74" s="12"/>
      <c r="K74" s="12" t="s">
        <v>4132</v>
      </c>
      <c r="L74" s="12"/>
      <c r="M74" s="12" t="str">
        <f>HYPERLINK("https://ceds.ed.gov/cedselementdetails.aspx?termid=21903")</f>
        <v>https://ceds.ed.gov/cedselementdetails.aspx?termid=21903</v>
      </c>
    </row>
    <row r="75" spans="1:13" s="22" customFormat="1" ht="57.6" x14ac:dyDescent="0.3">
      <c r="A75" s="12" t="s">
        <v>4148</v>
      </c>
      <c r="B75" s="12" t="s">
        <v>4149</v>
      </c>
      <c r="C75" s="16" t="s">
        <v>32</v>
      </c>
      <c r="D75" s="12" t="s">
        <v>8456</v>
      </c>
      <c r="E75" s="12" t="s">
        <v>172</v>
      </c>
      <c r="F75" s="12" t="s">
        <v>157</v>
      </c>
      <c r="G75" s="12" t="s">
        <v>8050</v>
      </c>
      <c r="H75" s="12"/>
      <c r="I75" s="14" t="s">
        <v>4150</v>
      </c>
      <c r="J75" s="12"/>
      <c r="K75" s="12" t="s">
        <v>4151</v>
      </c>
      <c r="L75" s="12"/>
      <c r="M75" s="12" t="str">
        <f>HYPERLINK("https://ceds.ed.gov/cedselementdetails.aspx?termid=22674")</f>
        <v>https://ceds.ed.gov/cedselementdetails.aspx?termid=22674</v>
      </c>
    </row>
    <row r="76" spans="1:13" s="22" customFormat="1" ht="172.8" x14ac:dyDescent="0.3">
      <c r="A76" s="12" t="s">
        <v>4181</v>
      </c>
      <c r="B76" s="12" t="s">
        <v>4182</v>
      </c>
      <c r="C76" s="16" t="s">
        <v>32</v>
      </c>
      <c r="D76" s="12" t="s">
        <v>8455</v>
      </c>
      <c r="E76" s="12" t="s">
        <v>172</v>
      </c>
      <c r="F76" s="12" t="s">
        <v>113</v>
      </c>
      <c r="G76" s="12" t="s">
        <v>8050</v>
      </c>
      <c r="H76" s="12"/>
      <c r="I76" s="14" t="s">
        <v>4183</v>
      </c>
      <c r="J76" s="12"/>
      <c r="K76" s="12" t="s">
        <v>4184</v>
      </c>
      <c r="L76" s="12"/>
      <c r="M76" s="12" t="str">
        <f>HYPERLINK("https://ceds.ed.gov/cedselementdetails.aspx?termid=21902")</f>
        <v>https://ceds.ed.gov/cedselementdetails.aspx?termid=21902</v>
      </c>
    </row>
    <row r="77" spans="1:13" s="22" customFormat="1" ht="345.6" x14ac:dyDescent="0.3">
      <c r="A77" s="12" t="s">
        <v>4189</v>
      </c>
      <c r="B77" s="12" t="s">
        <v>4190</v>
      </c>
      <c r="C77" s="16" t="s">
        <v>8457</v>
      </c>
      <c r="D77" s="12" t="s">
        <v>1202</v>
      </c>
      <c r="E77" s="12" t="s">
        <v>172</v>
      </c>
      <c r="F77" s="12"/>
      <c r="G77" s="12" t="s">
        <v>7995</v>
      </c>
      <c r="H77" s="12"/>
      <c r="I77" s="14" t="s">
        <v>4191</v>
      </c>
      <c r="J77" s="12"/>
      <c r="K77" s="12" t="s">
        <v>4192</v>
      </c>
      <c r="L77" s="12" t="s">
        <v>4193</v>
      </c>
      <c r="M77" s="12" t="str">
        <f>HYPERLINK("https://ceds.ed.gov/cedselementdetails.aspx?termid=21126")</f>
        <v>https://ceds.ed.gov/cedselementdetails.aspx?termid=21126</v>
      </c>
    </row>
    <row r="78" spans="1:13" s="22" customFormat="1" ht="331.2" x14ac:dyDescent="0.3">
      <c r="A78" s="12" t="s">
        <v>4194</v>
      </c>
      <c r="B78" s="12" t="s">
        <v>4195</v>
      </c>
      <c r="C78" s="16" t="s">
        <v>8433</v>
      </c>
      <c r="D78" s="12" t="s">
        <v>4196</v>
      </c>
      <c r="E78" s="12" t="s">
        <v>172</v>
      </c>
      <c r="F78" s="12"/>
      <c r="G78" s="12" t="s">
        <v>7995</v>
      </c>
      <c r="H78" s="12"/>
      <c r="I78" s="14" t="s">
        <v>4197</v>
      </c>
      <c r="J78" s="12"/>
      <c r="K78" s="12" t="s">
        <v>4198</v>
      </c>
      <c r="L78" s="12" t="s">
        <v>64</v>
      </c>
      <c r="M78" s="12" t="str">
        <f>HYPERLINK("https://ceds.ed.gov/cedselementdetails.aspx?termid=21125")</f>
        <v>https://ceds.ed.gov/cedselementdetails.aspx?termid=21125</v>
      </c>
    </row>
    <row r="79" spans="1:13" s="22" customFormat="1" ht="331.2" x14ac:dyDescent="0.3">
      <c r="A79" s="12" t="s">
        <v>4199</v>
      </c>
      <c r="B79" s="12" t="s">
        <v>4200</v>
      </c>
      <c r="C79" s="16" t="s">
        <v>8458</v>
      </c>
      <c r="D79" s="12" t="s">
        <v>1989</v>
      </c>
      <c r="E79" s="12" t="s">
        <v>172</v>
      </c>
      <c r="F79" s="12"/>
      <c r="G79" s="12" t="s">
        <v>8003</v>
      </c>
      <c r="H79" s="12"/>
      <c r="I79" s="14" t="s">
        <v>4201</v>
      </c>
      <c r="J79" s="12"/>
      <c r="K79" s="12" t="s">
        <v>4202</v>
      </c>
      <c r="L79" s="12"/>
      <c r="M79" s="12" t="str">
        <f>HYPERLINK("https://ceds.ed.gov/cedselementdetails.aspx?termid=22907")</f>
        <v>https://ceds.ed.gov/cedselementdetails.aspx?termid=22907</v>
      </c>
    </row>
    <row r="80" spans="1:13" s="22" customFormat="1" ht="331.2" x14ac:dyDescent="0.3">
      <c r="A80" s="12" t="s">
        <v>4241</v>
      </c>
      <c r="B80" s="12" t="s">
        <v>4242</v>
      </c>
      <c r="C80" s="16" t="s">
        <v>8433</v>
      </c>
      <c r="D80" s="12" t="s">
        <v>1989</v>
      </c>
      <c r="E80" s="12" t="s">
        <v>172</v>
      </c>
      <c r="F80" s="12"/>
      <c r="G80" s="12" t="s">
        <v>8209</v>
      </c>
      <c r="H80" s="12"/>
      <c r="I80" s="14" t="s">
        <v>4243</v>
      </c>
      <c r="J80" s="12"/>
      <c r="K80" s="12" t="s">
        <v>4244</v>
      </c>
      <c r="L80" s="12" t="s">
        <v>64</v>
      </c>
      <c r="M80" s="12" t="str">
        <f>HYPERLINK("https://ceds.ed.gov/cedselementdetails.aspx?termid=21131")</f>
        <v>https://ceds.ed.gov/cedselementdetails.aspx?termid=21131</v>
      </c>
    </row>
    <row r="81" spans="1:13" s="22" customFormat="1" ht="115.2" x14ac:dyDescent="0.3">
      <c r="A81" s="12" t="s">
        <v>4652</v>
      </c>
      <c r="B81" s="12" t="s">
        <v>4657</v>
      </c>
      <c r="C81" s="16" t="s">
        <v>32</v>
      </c>
      <c r="D81" s="12" t="s">
        <v>8459</v>
      </c>
      <c r="E81" s="12" t="s">
        <v>172</v>
      </c>
      <c r="F81" s="12" t="s">
        <v>317</v>
      </c>
      <c r="G81" s="12" t="s">
        <v>8217</v>
      </c>
      <c r="H81" s="12"/>
      <c r="I81" s="14" t="s">
        <v>4654</v>
      </c>
      <c r="J81" s="12"/>
      <c r="K81" s="12" t="s">
        <v>4655</v>
      </c>
      <c r="L81" s="12"/>
      <c r="M81" s="12" t="str">
        <f>HYPERLINK("https://ceds.ed.gov/cedselementdetails.aspx?termid=22199")</f>
        <v>https://ceds.ed.gov/cedselementdetails.aspx?termid=22199</v>
      </c>
    </row>
    <row r="82" spans="1:13" s="22" customFormat="1" ht="115.2" x14ac:dyDescent="0.3">
      <c r="A82" s="12" t="s">
        <v>4656</v>
      </c>
      <c r="B82" s="12" t="s">
        <v>4653</v>
      </c>
      <c r="C82" s="16" t="s">
        <v>32</v>
      </c>
      <c r="D82" s="12" t="s">
        <v>8459</v>
      </c>
      <c r="E82" s="12" t="s">
        <v>172</v>
      </c>
      <c r="F82" s="12" t="s">
        <v>317</v>
      </c>
      <c r="G82" s="12" t="s">
        <v>8217</v>
      </c>
      <c r="H82" s="12"/>
      <c r="I82" s="14" t="s">
        <v>4658</v>
      </c>
      <c r="J82" s="12"/>
      <c r="K82" s="12" t="s">
        <v>4659</v>
      </c>
      <c r="L82" s="12"/>
      <c r="M82" s="12" t="str">
        <f>HYPERLINK("https://ceds.ed.gov/cedselementdetails.aspx?termid=22198")</f>
        <v>https://ceds.ed.gov/cedselementdetails.aspx?termid=22198</v>
      </c>
    </row>
    <row r="83" spans="1:13" s="22" customFormat="1" ht="72" x14ac:dyDescent="0.3">
      <c r="A83" s="12" t="s">
        <v>4806</v>
      </c>
      <c r="B83" s="12" t="s">
        <v>4807</v>
      </c>
      <c r="C83" s="16" t="s">
        <v>32</v>
      </c>
      <c r="D83" s="12" t="s">
        <v>8460</v>
      </c>
      <c r="E83" s="12" t="s">
        <v>172</v>
      </c>
      <c r="F83" s="12" t="s">
        <v>317</v>
      </c>
      <c r="G83" s="12" t="s">
        <v>8050</v>
      </c>
      <c r="H83" s="12"/>
      <c r="I83" s="14" t="s">
        <v>4808</v>
      </c>
      <c r="J83" s="12"/>
      <c r="K83" s="12" t="s">
        <v>4809</v>
      </c>
      <c r="L83" s="12"/>
      <c r="M83" s="12" t="str">
        <f>HYPERLINK("https://ceds.ed.gov/cedselementdetails.aspx?termid=21490")</f>
        <v>https://ceds.ed.gov/cedselementdetails.aspx?termid=21490</v>
      </c>
    </row>
    <row r="84" spans="1:13" s="22" customFormat="1" ht="86.4" x14ac:dyDescent="0.3">
      <c r="A84" s="12" t="s">
        <v>4814</v>
      </c>
      <c r="B84" s="12" t="s">
        <v>4815</v>
      </c>
      <c r="C84" s="16" t="s">
        <v>8461</v>
      </c>
      <c r="D84" s="12" t="s">
        <v>8462</v>
      </c>
      <c r="E84" s="12" t="s">
        <v>172</v>
      </c>
      <c r="F84" s="12"/>
      <c r="G84" s="12" t="s">
        <v>7946</v>
      </c>
      <c r="H84" s="12" t="s">
        <v>4816</v>
      </c>
      <c r="I84" s="14" t="s">
        <v>4817</v>
      </c>
      <c r="J84" s="12"/>
      <c r="K84" s="12" t="s">
        <v>4818</v>
      </c>
      <c r="L84" s="12" t="s">
        <v>69</v>
      </c>
      <c r="M84" s="12" t="str">
        <f>HYPERLINK("https://ceds.ed.gov/cedselementdetails.aspx?termid=21712")</f>
        <v>https://ceds.ed.gov/cedselementdetails.aspx?termid=21712</v>
      </c>
    </row>
    <row r="85" spans="1:13" s="22" customFormat="1" ht="57.6" x14ac:dyDescent="0.3">
      <c r="A85" s="12" t="s">
        <v>4842</v>
      </c>
      <c r="B85" s="12" t="s">
        <v>4843</v>
      </c>
      <c r="C85" s="16" t="s">
        <v>8463</v>
      </c>
      <c r="D85" s="12" t="s">
        <v>8464</v>
      </c>
      <c r="E85" s="12" t="s">
        <v>172</v>
      </c>
      <c r="F85" s="12"/>
      <c r="G85" s="12" t="s">
        <v>7946</v>
      </c>
      <c r="H85" s="12"/>
      <c r="I85" s="14" t="s">
        <v>4844</v>
      </c>
      <c r="J85" s="12"/>
      <c r="K85" s="12" t="s">
        <v>4845</v>
      </c>
      <c r="L85" s="12" t="s">
        <v>226</v>
      </c>
      <c r="M85" s="12" t="str">
        <f>HYPERLINK("https://ceds.ed.gov/cedselementdetails.aspx?termid=21580")</f>
        <v>https://ceds.ed.gov/cedselementdetails.aspx?termid=21580</v>
      </c>
    </row>
    <row r="86" spans="1:13" s="22" customFormat="1" ht="360" x14ac:dyDescent="0.3">
      <c r="A86" s="12" t="s">
        <v>4918</v>
      </c>
      <c r="B86" s="12" t="s">
        <v>4919</v>
      </c>
      <c r="C86" s="16" t="s">
        <v>8465</v>
      </c>
      <c r="D86" s="12" t="s">
        <v>8398</v>
      </c>
      <c r="E86" s="12" t="s">
        <v>172</v>
      </c>
      <c r="F86" s="12"/>
      <c r="G86" s="12" t="s">
        <v>7946</v>
      </c>
      <c r="H86" s="12" t="s">
        <v>4920</v>
      </c>
      <c r="I86" s="14" t="s">
        <v>4921</v>
      </c>
      <c r="J86" s="12"/>
      <c r="K86" s="12" t="s">
        <v>4922</v>
      </c>
      <c r="L86" s="12" t="s">
        <v>69</v>
      </c>
      <c r="M86" s="12" t="str">
        <f>HYPERLINK("https://ceds.ed.gov/cedselementdetails.aspx?termid=21708")</f>
        <v>https://ceds.ed.gov/cedselementdetails.aspx?termid=21708</v>
      </c>
    </row>
    <row r="87" spans="1:13" s="22" customFormat="1" ht="409.6" x14ac:dyDescent="0.3">
      <c r="A87" s="12" t="s">
        <v>4928</v>
      </c>
      <c r="B87" s="12" t="s">
        <v>4924</v>
      </c>
      <c r="C87" s="16" t="s">
        <v>7423</v>
      </c>
      <c r="D87" s="12" t="s">
        <v>8466</v>
      </c>
      <c r="E87" s="12" t="s">
        <v>172</v>
      </c>
      <c r="F87" s="12"/>
      <c r="G87" s="12" t="s">
        <v>8231</v>
      </c>
      <c r="H87" s="12" t="s">
        <v>8232</v>
      </c>
      <c r="I87" s="14" t="s">
        <v>4929</v>
      </c>
      <c r="J87" s="12"/>
      <c r="K87" s="12" t="s">
        <v>4930</v>
      </c>
      <c r="L87" s="12"/>
      <c r="M87" s="12" t="str">
        <f>HYPERLINK("https://ceds.ed.gov/cedselementdetails.aspx?termid=22618")</f>
        <v>https://ceds.ed.gov/cedselementdetails.aspx?termid=22618</v>
      </c>
    </row>
    <row r="88" spans="1:13" s="22" customFormat="1" ht="57.6" x14ac:dyDescent="0.3">
      <c r="A88" s="12" t="s">
        <v>4939</v>
      </c>
      <c r="B88" s="12" t="s">
        <v>4940</v>
      </c>
      <c r="C88" s="16" t="s">
        <v>22</v>
      </c>
      <c r="D88" s="12" t="s">
        <v>8467</v>
      </c>
      <c r="E88" s="12" t="s">
        <v>172</v>
      </c>
      <c r="F88" s="12"/>
      <c r="G88" s="12" t="s">
        <v>7946</v>
      </c>
      <c r="H88" s="12"/>
      <c r="I88" s="14" t="s">
        <v>4942</v>
      </c>
      <c r="J88" s="12"/>
      <c r="K88" s="12" t="s">
        <v>4943</v>
      </c>
      <c r="L88" s="12"/>
      <c r="M88" s="12" t="str">
        <f>HYPERLINK("https://ceds.ed.gov/cedselementdetails.aspx?termid=21519")</f>
        <v>https://ceds.ed.gov/cedselementdetails.aspx?termid=21519</v>
      </c>
    </row>
    <row r="89" spans="1:13" s="11" customFormat="1" ht="409.6" x14ac:dyDescent="0.3">
      <c r="A89" s="7" t="s">
        <v>4949</v>
      </c>
      <c r="B89" s="7" t="s">
        <v>4950</v>
      </c>
      <c r="C89" s="18" t="s">
        <v>8468</v>
      </c>
      <c r="D89" s="7" t="s">
        <v>8469</v>
      </c>
      <c r="E89" s="7" t="s">
        <v>172</v>
      </c>
      <c r="F89" s="7"/>
      <c r="G89" s="7" t="s">
        <v>7946</v>
      </c>
      <c r="H89" s="7"/>
      <c r="I89" s="19" t="s">
        <v>4951</v>
      </c>
      <c r="J89" s="7"/>
      <c r="K89" s="7" t="s">
        <v>4952</v>
      </c>
      <c r="L89" s="7" t="s">
        <v>4953</v>
      </c>
      <c r="M89" s="7" t="str">
        <f>HYPERLINK("https://ceds.ed.gov/cedselementdetails.aspx?termid=21087")</f>
        <v>https://ceds.ed.gov/cedselementdetails.aspx?termid=21087</v>
      </c>
    </row>
    <row r="90" spans="1:13" s="22" customFormat="1" ht="331.2" x14ac:dyDescent="0.3">
      <c r="A90" s="12" t="s">
        <v>5290</v>
      </c>
      <c r="B90" s="12" t="s">
        <v>5291</v>
      </c>
      <c r="C90" s="16" t="s">
        <v>8470</v>
      </c>
      <c r="D90" s="12" t="s">
        <v>8471</v>
      </c>
      <c r="E90" s="12" t="s">
        <v>172</v>
      </c>
      <c r="F90" s="12"/>
      <c r="G90" s="12" t="s">
        <v>7946</v>
      </c>
      <c r="H90" s="12"/>
      <c r="I90" s="14" t="s">
        <v>5292</v>
      </c>
      <c r="J90" s="12"/>
      <c r="K90" s="12" t="s">
        <v>5293</v>
      </c>
      <c r="L90" s="12"/>
      <c r="M90" s="12" t="str">
        <f>HYPERLINK("https://ceds.ed.gov/cedselementdetails.aspx?termid=21617")</f>
        <v>https://ceds.ed.gov/cedselementdetails.aspx?termid=21617</v>
      </c>
    </row>
    <row r="91" spans="1:13" s="22" customFormat="1" ht="244.8" x14ac:dyDescent="0.3">
      <c r="A91" s="12" t="s">
        <v>5337</v>
      </c>
      <c r="B91" s="12" t="s">
        <v>5338</v>
      </c>
      <c r="C91" s="16" t="s">
        <v>8472</v>
      </c>
      <c r="D91" s="12" t="s">
        <v>8473</v>
      </c>
      <c r="E91" s="12" t="s">
        <v>172</v>
      </c>
      <c r="F91" s="12"/>
      <c r="G91" s="12" t="s">
        <v>7946</v>
      </c>
      <c r="H91" s="12"/>
      <c r="I91" s="14" t="s">
        <v>5339</v>
      </c>
      <c r="J91" s="12" t="s">
        <v>5340</v>
      </c>
      <c r="K91" s="12" t="s">
        <v>5341</v>
      </c>
      <c r="L91" s="12" t="s">
        <v>5342</v>
      </c>
      <c r="M91" s="12" t="str">
        <f>HYPERLINK("https://ceds.ed.gov/cedselementdetails.aspx?termid=21159")</f>
        <v>https://ceds.ed.gov/cedselementdetails.aspx?termid=21159</v>
      </c>
    </row>
    <row r="92" spans="1:13" s="22" customFormat="1" ht="244.8" x14ac:dyDescent="0.3">
      <c r="A92" s="12" t="s">
        <v>5343</v>
      </c>
      <c r="B92" s="12" t="s">
        <v>5344</v>
      </c>
      <c r="C92" s="16" t="s">
        <v>32</v>
      </c>
      <c r="D92" s="12" t="s">
        <v>8473</v>
      </c>
      <c r="E92" s="12" t="s">
        <v>172</v>
      </c>
      <c r="F92" s="12" t="s">
        <v>132</v>
      </c>
      <c r="G92" s="12" t="s">
        <v>7946</v>
      </c>
      <c r="H92" s="12" t="s">
        <v>8043</v>
      </c>
      <c r="I92" s="14" t="s">
        <v>5345</v>
      </c>
      <c r="J92" s="12" t="s">
        <v>5346</v>
      </c>
      <c r="K92" s="12" t="s">
        <v>5347</v>
      </c>
      <c r="L92" s="12" t="s">
        <v>5342</v>
      </c>
      <c r="M92" s="12" t="str">
        <f>HYPERLINK("https://ceds.ed.gov/cedselementdetails.aspx?termid=21153")</f>
        <v>https://ceds.ed.gov/cedselementdetails.aspx?termid=21153</v>
      </c>
    </row>
    <row r="93" spans="1:13" s="22" customFormat="1" ht="129.6" x14ac:dyDescent="0.3">
      <c r="A93" s="12" t="s">
        <v>5353</v>
      </c>
      <c r="B93" s="12" t="s">
        <v>5354</v>
      </c>
      <c r="C93" s="16" t="s">
        <v>8474</v>
      </c>
      <c r="D93" s="12" t="s">
        <v>8475</v>
      </c>
      <c r="E93" s="12" t="s">
        <v>172</v>
      </c>
      <c r="F93" s="12"/>
      <c r="G93" s="12" t="s">
        <v>7946</v>
      </c>
      <c r="H93" s="12"/>
      <c r="I93" s="14" t="s">
        <v>5356</v>
      </c>
      <c r="J93" s="12" t="s">
        <v>5357</v>
      </c>
      <c r="K93" s="12" t="s">
        <v>5358</v>
      </c>
      <c r="L93" s="12" t="s">
        <v>226</v>
      </c>
      <c r="M93" s="12" t="str">
        <f>HYPERLINK("https://ceds.ed.gov/cedselementdetails.aspx?termid=21174")</f>
        <v>https://ceds.ed.gov/cedselementdetails.aspx?termid=21174</v>
      </c>
    </row>
    <row r="94" spans="1:13" s="22" customFormat="1" ht="259.2" x14ac:dyDescent="0.3">
      <c r="A94" s="12" t="s">
        <v>5369</v>
      </c>
      <c r="B94" s="12" t="s">
        <v>8249</v>
      </c>
      <c r="C94" s="16" t="s">
        <v>8476</v>
      </c>
      <c r="D94" s="12" t="s">
        <v>8475</v>
      </c>
      <c r="E94" s="12" t="s">
        <v>172</v>
      </c>
      <c r="F94" s="12"/>
      <c r="G94" s="12" t="s">
        <v>7946</v>
      </c>
      <c r="H94" s="9" t="s">
        <v>8250</v>
      </c>
      <c r="I94" s="14" t="s">
        <v>5370</v>
      </c>
      <c r="J94" s="12"/>
      <c r="K94" s="12" t="s">
        <v>5371</v>
      </c>
      <c r="L94" s="12" t="s">
        <v>226</v>
      </c>
      <c r="M94" s="12" t="str">
        <f>HYPERLINK("https://ceds.ed.gov/cedselementdetails.aspx?termid=21528")</f>
        <v>https://ceds.ed.gov/cedselementdetails.aspx?termid=21528</v>
      </c>
    </row>
    <row r="95" spans="1:13" s="11" customFormat="1" ht="57.6" x14ac:dyDescent="0.3">
      <c r="A95" s="7" t="s">
        <v>5439</v>
      </c>
      <c r="B95" s="7" t="s">
        <v>5440</v>
      </c>
      <c r="C95" s="18" t="s">
        <v>22</v>
      </c>
      <c r="D95" s="7" t="s">
        <v>8415</v>
      </c>
      <c r="E95" s="7" t="s">
        <v>172</v>
      </c>
      <c r="F95" s="7"/>
      <c r="G95" s="7" t="s">
        <v>7946</v>
      </c>
      <c r="H95" s="7"/>
      <c r="I95" s="19" t="s">
        <v>5441</v>
      </c>
      <c r="J95" s="7" t="s">
        <v>5442</v>
      </c>
      <c r="K95" s="7" t="s">
        <v>5443</v>
      </c>
      <c r="L95" s="7" t="s">
        <v>226</v>
      </c>
      <c r="M95" s="7" t="str">
        <f>HYPERLINK("https://ceds.ed.gov/cedselementdetails.aspx?termid=21534")</f>
        <v>https://ceds.ed.gov/cedselementdetails.aspx?termid=21534</v>
      </c>
    </row>
    <row r="96" spans="1:13" s="22" customFormat="1" ht="100.8" x14ac:dyDescent="0.3">
      <c r="A96" s="12" t="s">
        <v>5489</v>
      </c>
      <c r="B96" s="12" t="s">
        <v>5490</v>
      </c>
      <c r="C96" s="16" t="s">
        <v>8477</v>
      </c>
      <c r="D96" s="12" t="s">
        <v>8478</v>
      </c>
      <c r="E96" s="12" t="s">
        <v>172</v>
      </c>
      <c r="F96" s="12"/>
      <c r="G96" s="12" t="s">
        <v>7946</v>
      </c>
      <c r="H96" s="12"/>
      <c r="I96" s="14" t="s">
        <v>5491</v>
      </c>
      <c r="J96" s="12"/>
      <c r="K96" s="12" t="s">
        <v>5492</v>
      </c>
      <c r="L96" s="12"/>
      <c r="M96" s="12" t="str">
        <f>HYPERLINK("https://ceds.ed.gov/cedselementdetails.aspx?termid=22555")</f>
        <v>https://ceds.ed.gov/cedselementdetails.aspx?termid=22555</v>
      </c>
    </row>
    <row r="97" spans="1:13" s="22" customFormat="1" ht="345.6" x14ac:dyDescent="0.3">
      <c r="A97" s="12" t="s">
        <v>5525</v>
      </c>
      <c r="B97" s="12" t="s">
        <v>5526</v>
      </c>
      <c r="C97" s="16" t="s">
        <v>32</v>
      </c>
      <c r="D97" s="12" t="s">
        <v>8479</v>
      </c>
      <c r="E97" s="12" t="s">
        <v>172</v>
      </c>
      <c r="F97" s="12" t="s">
        <v>157</v>
      </c>
      <c r="G97" s="12" t="s">
        <v>7946</v>
      </c>
      <c r="H97" s="12"/>
      <c r="I97" s="14" t="s">
        <v>5527</v>
      </c>
      <c r="J97" s="12"/>
      <c r="K97" s="12" t="s">
        <v>5528</v>
      </c>
      <c r="L97" s="12" t="s">
        <v>5529</v>
      </c>
      <c r="M97" s="12" t="str">
        <f>HYPERLINK("https://ceds.ed.gov/cedselementdetails.aspx?termid=21191")</f>
        <v>https://ceds.ed.gov/cedselementdetails.aspx?termid=21191</v>
      </c>
    </row>
    <row r="98" spans="1:13" s="22" customFormat="1" ht="115.2" x14ac:dyDescent="0.3">
      <c r="A98" s="12" t="s">
        <v>5544</v>
      </c>
      <c r="B98" s="12" t="s">
        <v>5545</v>
      </c>
      <c r="C98" s="16" t="s">
        <v>8480</v>
      </c>
      <c r="D98" s="12" t="s">
        <v>8481</v>
      </c>
      <c r="E98" s="12" t="s">
        <v>172</v>
      </c>
      <c r="F98" s="12"/>
      <c r="G98" s="12" t="s">
        <v>7946</v>
      </c>
      <c r="H98" s="12"/>
      <c r="I98" s="14" t="s">
        <v>5546</v>
      </c>
      <c r="J98" s="12"/>
      <c r="K98" s="12" t="s">
        <v>5547</v>
      </c>
      <c r="L98" s="12"/>
      <c r="M98" s="12" t="str">
        <f>HYPERLINK("https://ceds.ed.gov/cedselementdetails.aspx?termid=22748")</f>
        <v>https://ceds.ed.gov/cedselementdetails.aspx?termid=22748</v>
      </c>
    </row>
    <row r="99" spans="1:13" s="22" customFormat="1" ht="158.4" x14ac:dyDescent="0.3">
      <c r="A99" s="12" t="s">
        <v>5603</v>
      </c>
      <c r="B99" s="12" t="s">
        <v>5604</v>
      </c>
      <c r="C99" s="16" t="s">
        <v>32</v>
      </c>
      <c r="D99" s="12" t="s">
        <v>8482</v>
      </c>
      <c r="E99" s="12" t="s">
        <v>172</v>
      </c>
      <c r="F99" s="12" t="s">
        <v>1518</v>
      </c>
      <c r="G99" s="12" t="s">
        <v>7946</v>
      </c>
      <c r="H99" s="12"/>
      <c r="I99" s="14" t="s">
        <v>5605</v>
      </c>
      <c r="J99" s="12"/>
      <c r="K99" s="12" t="s">
        <v>5606</v>
      </c>
      <c r="L99" s="12" t="s">
        <v>5607</v>
      </c>
      <c r="M99" s="12" t="str">
        <f>HYPERLINK("https://ceds.ed.gov/cedselementdetails.aspx?termid=21201")</f>
        <v>https://ceds.ed.gov/cedselementdetails.aspx?termid=21201</v>
      </c>
    </row>
    <row r="100" spans="1:13" s="22" customFormat="1" ht="230.4" x14ac:dyDescent="0.3">
      <c r="A100" s="12" t="s">
        <v>5612</v>
      </c>
      <c r="B100" s="12" t="s">
        <v>5613</v>
      </c>
      <c r="C100" s="16" t="s">
        <v>32</v>
      </c>
      <c r="D100" s="12" t="s">
        <v>8483</v>
      </c>
      <c r="E100" s="12" t="s">
        <v>172</v>
      </c>
      <c r="F100" s="12" t="s">
        <v>1518</v>
      </c>
      <c r="G100" s="12" t="s">
        <v>7946</v>
      </c>
      <c r="H100" s="12" t="s">
        <v>8258</v>
      </c>
      <c r="I100" s="14" t="s">
        <v>5614</v>
      </c>
      <c r="J100" s="12"/>
      <c r="K100" s="12" t="s">
        <v>5615</v>
      </c>
      <c r="L100" s="12" t="s">
        <v>5616</v>
      </c>
      <c r="M100" s="12" t="str">
        <f>HYPERLINK("https://ceds.ed.gov/cedselementdetails.aspx?termid=21202")</f>
        <v>https://ceds.ed.gov/cedselementdetails.aspx?termid=21202</v>
      </c>
    </row>
    <row r="101" spans="1:13" s="22" customFormat="1" ht="187.2" x14ac:dyDescent="0.3">
      <c r="A101" s="12" t="s">
        <v>5667</v>
      </c>
      <c r="B101" s="12" t="s">
        <v>5668</v>
      </c>
      <c r="C101" s="16" t="s">
        <v>32</v>
      </c>
      <c r="D101" s="12" t="s">
        <v>8484</v>
      </c>
      <c r="E101" s="12" t="s">
        <v>172</v>
      </c>
      <c r="F101" s="12" t="s">
        <v>118</v>
      </c>
      <c r="G101" s="12" t="s">
        <v>7946</v>
      </c>
      <c r="H101" s="12"/>
      <c r="I101" s="14" t="s">
        <v>5669</v>
      </c>
      <c r="J101" s="12"/>
      <c r="K101" s="12" t="s">
        <v>5670</v>
      </c>
      <c r="L101" s="12" t="s">
        <v>226</v>
      </c>
      <c r="M101" s="12" t="str">
        <f>HYPERLINK("https://ceds.ed.gov/cedselementdetails.aspx?termid=21525")</f>
        <v>https://ceds.ed.gov/cedselementdetails.aspx?termid=21525</v>
      </c>
    </row>
    <row r="102" spans="1:13" s="22" customFormat="1" ht="409.6" x14ac:dyDescent="0.3">
      <c r="A102" s="12" t="s">
        <v>5679</v>
      </c>
      <c r="B102" s="12" t="s">
        <v>5680</v>
      </c>
      <c r="C102" s="16" t="s">
        <v>8485</v>
      </c>
      <c r="D102" s="12" t="s">
        <v>8486</v>
      </c>
      <c r="E102" s="12" t="s">
        <v>172</v>
      </c>
      <c r="F102" s="12"/>
      <c r="G102" s="12" t="s">
        <v>7946</v>
      </c>
      <c r="H102" s="12"/>
      <c r="I102" s="14" t="s">
        <v>5681</v>
      </c>
      <c r="J102" s="12"/>
      <c r="K102" s="12" t="s">
        <v>5682</v>
      </c>
      <c r="L102" s="12" t="s">
        <v>109</v>
      </c>
      <c r="M102" s="12" t="str">
        <f>HYPERLINK("https://ceds.ed.gov/cedselementdetails.aspx?termid=21827")</f>
        <v>https://ceds.ed.gov/cedselementdetails.aspx?termid=21827</v>
      </c>
    </row>
    <row r="103" spans="1:13" s="22" customFormat="1" ht="409.6" x14ac:dyDescent="0.3">
      <c r="A103" s="12" t="s">
        <v>5683</v>
      </c>
      <c r="B103" s="12" t="s">
        <v>5684</v>
      </c>
      <c r="C103" s="16" t="s">
        <v>32</v>
      </c>
      <c r="D103" s="12" t="s">
        <v>8487</v>
      </c>
      <c r="E103" s="12" t="s">
        <v>172</v>
      </c>
      <c r="F103" s="12" t="s">
        <v>132</v>
      </c>
      <c r="G103" s="12" t="s">
        <v>7946</v>
      </c>
      <c r="H103" s="12" t="s">
        <v>7945</v>
      </c>
      <c r="I103" s="14" t="s">
        <v>5685</v>
      </c>
      <c r="J103" s="12"/>
      <c r="K103" s="12" t="s">
        <v>5686</v>
      </c>
      <c r="L103" s="12" t="s">
        <v>109</v>
      </c>
      <c r="M103" s="12" t="str">
        <f>HYPERLINK("https://ceds.ed.gov/cedselementdetails.aspx?termid=21825")</f>
        <v>https://ceds.ed.gov/cedselementdetails.aspx?termid=21825</v>
      </c>
    </row>
    <row r="104" spans="1:13" s="22" customFormat="1" ht="288" x14ac:dyDescent="0.3">
      <c r="A104" s="12" t="s">
        <v>5695</v>
      </c>
      <c r="B104" s="12" t="s">
        <v>5696</v>
      </c>
      <c r="C104" s="16" t="s">
        <v>32</v>
      </c>
      <c r="D104" s="12" t="s">
        <v>8488</v>
      </c>
      <c r="E104" s="12" t="s">
        <v>172</v>
      </c>
      <c r="F104" s="12" t="s">
        <v>157</v>
      </c>
      <c r="G104" s="12" t="s">
        <v>7946</v>
      </c>
      <c r="H104" s="12"/>
      <c r="I104" s="14" t="s">
        <v>5697</v>
      </c>
      <c r="J104" s="12"/>
      <c r="K104" s="12" t="s">
        <v>5698</v>
      </c>
      <c r="L104" s="12" t="s">
        <v>207</v>
      </c>
      <c r="M104" s="12" t="str">
        <f>HYPERLINK("https://ceds.ed.gov/cedselementdetails.aspx?termid=21204")</f>
        <v>https://ceds.ed.gov/cedselementdetails.aspx?termid=21204</v>
      </c>
    </row>
    <row r="105" spans="1:13" s="22" customFormat="1" ht="144" x14ac:dyDescent="0.3">
      <c r="A105" s="12" t="s">
        <v>5699</v>
      </c>
      <c r="B105" s="12" t="s">
        <v>5700</v>
      </c>
      <c r="C105" s="16" t="s">
        <v>8489</v>
      </c>
      <c r="D105" s="12" t="s">
        <v>8490</v>
      </c>
      <c r="E105" s="12" t="s">
        <v>172</v>
      </c>
      <c r="F105" s="12"/>
      <c r="G105" s="12" t="s">
        <v>7946</v>
      </c>
      <c r="H105" s="12"/>
      <c r="I105" s="14" t="s">
        <v>5701</v>
      </c>
      <c r="J105" s="12"/>
      <c r="K105" s="12" t="s">
        <v>5702</v>
      </c>
      <c r="L105" s="12"/>
      <c r="M105" s="12" t="str">
        <f>HYPERLINK("https://ceds.ed.gov/cedselementdetails.aspx?termid=22387")</f>
        <v>https://ceds.ed.gov/cedselementdetails.aspx?termid=22387</v>
      </c>
    </row>
    <row r="106" spans="1:13" s="22" customFormat="1" ht="216" x14ac:dyDescent="0.3">
      <c r="A106" s="12" t="s">
        <v>5707</v>
      </c>
      <c r="B106" s="12" t="s">
        <v>5708</v>
      </c>
      <c r="C106" s="16" t="s">
        <v>8491</v>
      </c>
      <c r="D106" s="12" t="s">
        <v>8492</v>
      </c>
      <c r="E106" s="12" t="s">
        <v>172</v>
      </c>
      <c r="F106" s="12"/>
      <c r="G106" s="12" t="s">
        <v>8263</v>
      </c>
      <c r="H106" s="12" t="s">
        <v>8264</v>
      </c>
      <c r="I106" s="14" t="s">
        <v>5709</v>
      </c>
      <c r="J106" s="12"/>
      <c r="K106" s="12" t="s">
        <v>5710</v>
      </c>
      <c r="L106" s="12"/>
      <c r="M106" s="12" t="str">
        <f>HYPERLINK("https://ceds.ed.gov/cedselementdetails.aspx?termid=22886")</f>
        <v>https://ceds.ed.gov/cedselementdetails.aspx?termid=22886</v>
      </c>
    </row>
    <row r="107" spans="1:13" s="11" customFormat="1" ht="409.6" x14ac:dyDescent="0.3">
      <c r="A107" s="7" t="s">
        <v>5715</v>
      </c>
      <c r="B107" s="7" t="s">
        <v>5716</v>
      </c>
      <c r="C107" s="18" t="s">
        <v>8493</v>
      </c>
      <c r="D107" s="7" t="s">
        <v>8492</v>
      </c>
      <c r="E107" s="7" t="s">
        <v>172</v>
      </c>
      <c r="F107" s="7"/>
      <c r="G107" s="7" t="s">
        <v>8265</v>
      </c>
      <c r="H107" s="7" t="s">
        <v>5717</v>
      </c>
      <c r="I107" s="19" t="s">
        <v>5718</v>
      </c>
      <c r="J107" s="7"/>
      <c r="K107" s="7" t="s">
        <v>5719</v>
      </c>
      <c r="L107" s="7"/>
      <c r="M107" s="7" t="str">
        <f>HYPERLINK("https://ceds.ed.gov/cedselementdetails.aspx?termid=22165")</f>
        <v>https://ceds.ed.gov/cedselementdetails.aspx?termid=22165</v>
      </c>
    </row>
    <row r="108" spans="1:13" s="22" customFormat="1" ht="115.2" x14ac:dyDescent="0.3">
      <c r="A108" s="12" t="s">
        <v>8269</v>
      </c>
      <c r="B108" s="12" t="s">
        <v>8270</v>
      </c>
      <c r="C108" s="16" t="s">
        <v>22</v>
      </c>
      <c r="D108" s="12" t="s">
        <v>5816</v>
      </c>
      <c r="E108" s="12" t="s">
        <v>172</v>
      </c>
      <c r="F108" s="12"/>
      <c r="G108" s="12" t="s">
        <v>8271</v>
      </c>
      <c r="H108" s="12"/>
      <c r="I108" s="14" t="s">
        <v>5817</v>
      </c>
      <c r="J108" s="12"/>
      <c r="K108" s="12" t="s">
        <v>8272</v>
      </c>
      <c r="L108" s="12" t="s">
        <v>226</v>
      </c>
      <c r="M108" s="12" t="str">
        <f>HYPERLINK("https://ceds.ed.gov/cedselementdetails.aspx?termid=21574")</f>
        <v>https://ceds.ed.gov/cedselementdetails.aspx?termid=21574</v>
      </c>
    </row>
    <row r="109" spans="1:13" s="22" customFormat="1" ht="409.6" x14ac:dyDescent="0.3">
      <c r="A109" s="12" t="s">
        <v>5831</v>
      </c>
      <c r="B109" s="12" t="s">
        <v>5832</v>
      </c>
      <c r="C109" s="16" t="s">
        <v>8494</v>
      </c>
      <c r="D109" s="12" t="s">
        <v>8495</v>
      </c>
      <c r="E109" s="12" t="s">
        <v>172</v>
      </c>
      <c r="F109" s="12"/>
      <c r="G109" s="12" t="s">
        <v>7946</v>
      </c>
      <c r="H109" s="12"/>
      <c r="I109" s="14" t="s">
        <v>5833</v>
      </c>
      <c r="J109" s="12"/>
      <c r="K109" s="12" t="s">
        <v>5834</v>
      </c>
      <c r="L109" s="12"/>
      <c r="M109" s="12" t="str">
        <f>HYPERLINK("https://ceds.ed.gov/cedselementdetails.aspx?termid=22550")</f>
        <v>https://ceds.ed.gov/cedselementdetails.aspx?termid=22550</v>
      </c>
    </row>
    <row r="110" spans="1:13" s="22" customFormat="1" ht="409.6" x14ac:dyDescent="0.3">
      <c r="A110" s="12" t="s">
        <v>5835</v>
      </c>
      <c r="B110" s="12" t="s">
        <v>5836</v>
      </c>
      <c r="C110" s="16" t="s">
        <v>32</v>
      </c>
      <c r="D110" s="12" t="s">
        <v>8495</v>
      </c>
      <c r="E110" s="12" t="s">
        <v>172</v>
      </c>
      <c r="F110" s="12" t="s">
        <v>132</v>
      </c>
      <c r="G110" s="12" t="s">
        <v>7946</v>
      </c>
      <c r="H110" s="12" t="s">
        <v>8043</v>
      </c>
      <c r="I110" s="14" t="s">
        <v>5837</v>
      </c>
      <c r="J110" s="12"/>
      <c r="K110" s="12" t="s">
        <v>5838</v>
      </c>
      <c r="L110" s="12"/>
      <c r="M110" s="12" t="str">
        <f>HYPERLINK("https://ceds.ed.gov/cedselementdetails.aspx?termid=22551")</f>
        <v>https://ceds.ed.gov/cedselementdetails.aspx?termid=22551</v>
      </c>
    </row>
    <row r="111" spans="1:13" s="22" customFormat="1" ht="409.6" x14ac:dyDescent="0.3">
      <c r="A111" s="12" t="s">
        <v>7621</v>
      </c>
      <c r="B111" s="12" t="s">
        <v>7622</v>
      </c>
      <c r="C111" s="16" t="s">
        <v>8496</v>
      </c>
      <c r="D111" s="12" t="s">
        <v>8497</v>
      </c>
      <c r="E111" s="12" t="s">
        <v>172</v>
      </c>
      <c r="F111" s="12"/>
      <c r="G111" s="12" t="s">
        <v>7946</v>
      </c>
      <c r="H111" s="12"/>
      <c r="I111" s="14" t="s">
        <v>7623</v>
      </c>
      <c r="J111" s="12"/>
      <c r="K111" s="12" t="s">
        <v>7624</v>
      </c>
      <c r="L111" s="12"/>
      <c r="M111" s="12" t="str">
        <f>HYPERLINK("https://ceds.ed.gov/cedselementdetails.aspx?termid=22951")</f>
        <v>https://ceds.ed.gov/cedselementdetails.aspx?termid=22951</v>
      </c>
    </row>
    <row r="112" spans="1:13" s="22" customFormat="1" ht="409.6" x14ac:dyDescent="0.3">
      <c r="A112" s="12" t="s">
        <v>5856</v>
      </c>
      <c r="B112" s="12" t="s">
        <v>5857</v>
      </c>
      <c r="C112" s="16" t="s">
        <v>8498</v>
      </c>
      <c r="D112" s="12" t="s">
        <v>8497</v>
      </c>
      <c r="E112" s="12" t="s">
        <v>172</v>
      </c>
      <c r="F112" s="12"/>
      <c r="G112" s="12" t="s">
        <v>7946</v>
      </c>
      <c r="H112" s="12"/>
      <c r="I112" s="14" t="s">
        <v>5858</v>
      </c>
      <c r="J112" s="12"/>
      <c r="K112" s="12" t="s">
        <v>5859</v>
      </c>
      <c r="L112" s="12"/>
      <c r="M112" s="12" t="str">
        <f>HYPERLINK("https://ceds.ed.gov/cedselementdetails.aspx?termid=21611")</f>
        <v>https://ceds.ed.gov/cedselementdetails.aspx?termid=21611</v>
      </c>
    </row>
    <row r="113" spans="1:13" s="22" customFormat="1" ht="302.39999999999998" x14ac:dyDescent="0.3">
      <c r="A113" s="22" t="s">
        <v>5873</v>
      </c>
      <c r="B113" s="22" t="s">
        <v>5874</v>
      </c>
      <c r="C113" s="23" t="s">
        <v>32</v>
      </c>
      <c r="D113" s="24" t="s">
        <v>8499</v>
      </c>
      <c r="E113" s="22" t="s">
        <v>172</v>
      </c>
      <c r="F113" s="22" t="s">
        <v>1339</v>
      </c>
      <c r="G113" s="22" t="s">
        <v>7946</v>
      </c>
      <c r="I113" s="25" t="s">
        <v>5875</v>
      </c>
      <c r="K113" s="22" t="s">
        <v>5876</v>
      </c>
      <c r="L113" s="24" t="s">
        <v>64</v>
      </c>
      <c r="M113" s="22" t="str">
        <f>HYPERLINK("https://ceds.ed.gov/cedselementdetails.aspx?termid=21213")</f>
        <v>https://ceds.ed.gov/cedselementdetails.aspx?termid=21213</v>
      </c>
    </row>
    <row r="114" spans="1:13" s="22" customFormat="1" ht="115.2" x14ac:dyDescent="0.3">
      <c r="A114" s="22" t="s">
        <v>5927</v>
      </c>
      <c r="B114" s="22" t="s">
        <v>5928</v>
      </c>
      <c r="C114" s="26" t="s">
        <v>8500</v>
      </c>
      <c r="D114" s="24" t="s">
        <v>8418</v>
      </c>
      <c r="E114" s="22" t="s">
        <v>172</v>
      </c>
      <c r="G114" s="22" t="s">
        <v>7946</v>
      </c>
      <c r="H114" s="22" t="s">
        <v>5929</v>
      </c>
      <c r="I114" s="25" t="s">
        <v>5930</v>
      </c>
      <c r="K114" s="22" t="s">
        <v>5931</v>
      </c>
      <c r="L114" s="24" t="s">
        <v>5932</v>
      </c>
      <c r="M114" s="22" t="str">
        <f>HYPERLINK("https://ceds.ed.gov/cedselementdetails.aspx?termid=21705")</f>
        <v>https://ceds.ed.gov/cedselementdetails.aspx?termid=21705</v>
      </c>
    </row>
    <row r="115" spans="1:13" s="22" customFormat="1" ht="230.4" x14ac:dyDescent="0.3">
      <c r="A115" s="22" t="s">
        <v>6130</v>
      </c>
      <c r="B115" s="22" t="s">
        <v>6131</v>
      </c>
      <c r="C115" s="26" t="s">
        <v>8501</v>
      </c>
      <c r="D115" s="24" t="s">
        <v>8467</v>
      </c>
      <c r="E115" s="22" t="s">
        <v>172</v>
      </c>
      <c r="G115" s="22" t="s">
        <v>7946</v>
      </c>
      <c r="I115" s="25" t="s">
        <v>6132</v>
      </c>
      <c r="K115" s="22" t="s">
        <v>6133</v>
      </c>
      <c r="M115" s="22" t="str">
        <f>HYPERLINK("https://ceds.ed.gov/cedselementdetails.aspx?termid=21220")</f>
        <v>https://ceds.ed.gov/cedselementdetails.aspx?termid=21220</v>
      </c>
    </row>
    <row r="116" spans="1:13" s="22" customFormat="1" ht="409.6" x14ac:dyDescent="0.3">
      <c r="A116" s="22" t="s">
        <v>6174</v>
      </c>
      <c r="B116" s="22" t="s">
        <v>6175</v>
      </c>
      <c r="C116" s="23" t="s">
        <v>32</v>
      </c>
      <c r="D116" s="24" t="s">
        <v>8502</v>
      </c>
      <c r="E116" s="22" t="s">
        <v>172</v>
      </c>
      <c r="F116" s="22" t="s">
        <v>132</v>
      </c>
      <c r="G116" s="22" t="s">
        <v>8282</v>
      </c>
      <c r="H116" s="22" t="s">
        <v>7945</v>
      </c>
      <c r="I116" s="25" t="s">
        <v>6176</v>
      </c>
      <c r="K116" s="22" t="s">
        <v>6177</v>
      </c>
      <c r="L116" s="22" t="s">
        <v>2608</v>
      </c>
      <c r="M116" s="22" t="str">
        <f>HYPERLINK("https://ceds.ed.gov/cedselementdetails.aspx?termid=21618")</f>
        <v>https://ceds.ed.gov/cedselementdetails.aspx?termid=21618</v>
      </c>
    </row>
    <row r="117" spans="1:13" s="22" customFormat="1" ht="244.8" x14ac:dyDescent="0.3">
      <c r="A117" s="22" t="s">
        <v>6189</v>
      </c>
      <c r="B117" s="22" t="s">
        <v>6190</v>
      </c>
      <c r="C117" s="23" t="s">
        <v>32</v>
      </c>
      <c r="D117" s="24" t="s">
        <v>8503</v>
      </c>
      <c r="E117" s="22" t="s">
        <v>172</v>
      </c>
      <c r="F117" s="22" t="s">
        <v>157</v>
      </c>
      <c r="G117" s="22" t="s">
        <v>8282</v>
      </c>
      <c r="I117" s="25" t="s">
        <v>6191</v>
      </c>
      <c r="K117" s="22" t="s">
        <v>6192</v>
      </c>
      <c r="L117" s="22" t="s">
        <v>2608</v>
      </c>
      <c r="M117" s="22" t="str">
        <f>HYPERLINK("https://ceds.ed.gov/cedselementdetails.aspx?termid=21619")</f>
        <v>https://ceds.ed.gov/cedselementdetails.aspx?termid=21619</v>
      </c>
    </row>
    <row r="118" spans="1:13" s="22" customFormat="1" ht="244.8" x14ac:dyDescent="0.3">
      <c r="A118" s="22" t="s">
        <v>6222</v>
      </c>
      <c r="B118" s="22" t="s">
        <v>6223</v>
      </c>
      <c r="C118" s="26" t="s">
        <v>8504</v>
      </c>
      <c r="D118" s="24" t="s">
        <v>8505</v>
      </c>
      <c r="E118" s="22" t="s">
        <v>172</v>
      </c>
      <c r="G118" s="22" t="s">
        <v>7946</v>
      </c>
      <c r="I118" s="25" t="s">
        <v>6224</v>
      </c>
      <c r="K118" s="22" t="s">
        <v>6225</v>
      </c>
      <c r="M118" s="22" t="str">
        <f>HYPERLINK("https://ceds.ed.gov/cedselementdetails.aspx?termid=21692")</f>
        <v>https://ceds.ed.gov/cedselementdetails.aspx?termid=21692</v>
      </c>
    </row>
    <row r="119" spans="1:13" s="22" customFormat="1" ht="409.6" x14ac:dyDescent="0.3">
      <c r="A119" s="22" t="s">
        <v>6230</v>
      </c>
      <c r="B119" s="22" t="s">
        <v>6231</v>
      </c>
      <c r="C119" s="26" t="s">
        <v>8506</v>
      </c>
      <c r="D119" s="24" t="s">
        <v>8507</v>
      </c>
      <c r="E119" s="22" t="s">
        <v>172</v>
      </c>
      <c r="G119" s="22" t="s">
        <v>8285</v>
      </c>
      <c r="I119" s="25" t="s">
        <v>6232</v>
      </c>
      <c r="K119" s="22" t="s">
        <v>6233</v>
      </c>
      <c r="L119" s="24" t="s">
        <v>64</v>
      </c>
      <c r="M119" s="22" t="str">
        <f>HYPERLINK("https://ceds.ed.gov/cedselementdetails.aspx?termid=21225")</f>
        <v>https://ceds.ed.gov/cedselementdetails.aspx?termid=21225</v>
      </c>
    </row>
    <row r="120" spans="1:13" s="22" customFormat="1" ht="144" x14ac:dyDescent="0.3">
      <c r="A120" s="22" t="s">
        <v>6279</v>
      </c>
      <c r="B120" s="22" t="s">
        <v>6280</v>
      </c>
      <c r="C120" s="26" t="s">
        <v>8508</v>
      </c>
      <c r="D120" s="24" t="s">
        <v>8509</v>
      </c>
      <c r="E120" s="22" t="s">
        <v>172</v>
      </c>
      <c r="G120" s="22" t="s">
        <v>7946</v>
      </c>
      <c r="I120" s="25" t="s">
        <v>6281</v>
      </c>
      <c r="K120" s="22" t="s">
        <v>6282</v>
      </c>
      <c r="M120" s="22" t="str">
        <f>HYPERLINK("https://ceds.ed.gov/cedselementdetails.aspx?termid=21523")</f>
        <v>https://ceds.ed.gov/cedselementdetails.aspx?termid=21523</v>
      </c>
    </row>
    <row r="121" spans="1:13" s="22" customFormat="1" ht="158.4" x14ac:dyDescent="0.3">
      <c r="A121" s="22" t="s">
        <v>6361</v>
      </c>
      <c r="B121" s="22" t="s">
        <v>6362</v>
      </c>
      <c r="C121" s="26" t="s">
        <v>8510</v>
      </c>
      <c r="D121" s="24" t="s">
        <v>8511</v>
      </c>
      <c r="E121" s="22" t="s">
        <v>172</v>
      </c>
      <c r="G121" s="22" t="s">
        <v>8050</v>
      </c>
      <c r="I121" s="25" t="s">
        <v>6363</v>
      </c>
      <c r="K121" s="22" t="s">
        <v>6364</v>
      </c>
      <c r="M121" s="22" t="str">
        <f>HYPERLINK("https://ceds.ed.gov/cedselementdetails.aspx?termid=21515")</f>
        <v>https://ceds.ed.gov/cedselementdetails.aspx?termid=21515</v>
      </c>
    </row>
    <row r="122" spans="1:13" s="22" customFormat="1" ht="144" x14ac:dyDescent="0.3">
      <c r="A122" s="22" t="s">
        <v>6463</v>
      </c>
      <c r="B122" s="22" t="s">
        <v>6464</v>
      </c>
      <c r="C122" s="26" t="s">
        <v>8512</v>
      </c>
      <c r="D122" s="24" t="s">
        <v>8513</v>
      </c>
      <c r="E122" s="22" t="s">
        <v>172</v>
      </c>
      <c r="G122" s="22" t="s">
        <v>7946</v>
      </c>
      <c r="I122" s="25" t="s">
        <v>6465</v>
      </c>
      <c r="K122" s="22" t="s">
        <v>6466</v>
      </c>
      <c r="L122" s="22" t="s">
        <v>226</v>
      </c>
      <c r="M122" s="22" t="str">
        <f>HYPERLINK("https://ceds.ed.gov/cedselementdetails.aspx?termid=21588")</f>
        <v>https://ceds.ed.gov/cedselementdetails.aspx?termid=21588</v>
      </c>
    </row>
    <row r="123" spans="1:13" s="22" customFormat="1" ht="409.6" x14ac:dyDescent="0.3">
      <c r="A123" s="22" t="s">
        <v>7656</v>
      </c>
      <c r="B123" s="22" t="s">
        <v>7657</v>
      </c>
      <c r="C123" s="26" t="s">
        <v>8514</v>
      </c>
      <c r="D123" s="24" t="s">
        <v>8515</v>
      </c>
      <c r="E123" s="22" t="s">
        <v>172</v>
      </c>
      <c r="G123" s="22" t="s">
        <v>7995</v>
      </c>
      <c r="I123" s="25" t="s">
        <v>7658</v>
      </c>
      <c r="K123" s="22" t="s">
        <v>7656</v>
      </c>
      <c r="M123" s="22" t="str">
        <f>HYPERLINK("https://ceds.ed.gov/cedselementdetails.aspx?termid=22959")</f>
        <v>https://ceds.ed.gov/cedselementdetails.aspx?termid=22959</v>
      </c>
    </row>
    <row r="124" spans="1:13" s="22" customFormat="1" ht="129.6" x14ac:dyDescent="0.3">
      <c r="A124" s="22" t="s">
        <v>6590</v>
      </c>
      <c r="B124" s="22" t="s">
        <v>6591</v>
      </c>
      <c r="C124" s="23" t="s">
        <v>7423</v>
      </c>
      <c r="D124" s="24" t="s">
        <v>8516</v>
      </c>
      <c r="E124" s="22" t="s">
        <v>172</v>
      </c>
      <c r="G124" s="22" t="s">
        <v>8305</v>
      </c>
      <c r="H124" s="22" t="s">
        <v>8306</v>
      </c>
      <c r="I124" s="25" t="s">
        <v>6592</v>
      </c>
      <c r="J124" s="22" t="s">
        <v>6593</v>
      </c>
      <c r="K124" s="22" t="s">
        <v>6594</v>
      </c>
      <c r="M124" s="22" t="str">
        <f>HYPERLINK("https://ceds.ed.gov/cedselementdetails.aspx?termid=22490")</f>
        <v>https://ceds.ed.gov/cedselementdetails.aspx?termid=22490</v>
      </c>
    </row>
    <row r="125" spans="1:13" s="22" customFormat="1" ht="129.6" x14ac:dyDescent="0.3">
      <c r="A125" s="22" t="s">
        <v>6595</v>
      </c>
      <c r="B125" s="22" t="s">
        <v>8307</v>
      </c>
      <c r="C125" s="26" t="s">
        <v>8517</v>
      </c>
      <c r="D125" s="24" t="s">
        <v>8516</v>
      </c>
      <c r="E125" s="22" t="s">
        <v>172</v>
      </c>
      <c r="G125" s="22" t="s">
        <v>7946</v>
      </c>
      <c r="I125" s="25" t="s">
        <v>6596</v>
      </c>
      <c r="J125" s="22" t="s">
        <v>6597</v>
      </c>
      <c r="K125" s="22" t="s">
        <v>6598</v>
      </c>
      <c r="M125" s="22" t="str">
        <f>HYPERLINK("https://ceds.ed.gov/cedselementdetails.aspx?termid=22488")</f>
        <v>https://ceds.ed.gov/cedselementdetails.aspx?termid=22488</v>
      </c>
    </row>
    <row r="126" spans="1:13" s="22" customFormat="1" ht="403.2" x14ac:dyDescent="0.3">
      <c r="A126" s="22" t="s">
        <v>6599</v>
      </c>
      <c r="B126" s="22" t="s">
        <v>6600</v>
      </c>
      <c r="C126" s="26" t="s">
        <v>8518</v>
      </c>
      <c r="D126" s="24" t="s">
        <v>8519</v>
      </c>
      <c r="E126" s="22" t="s">
        <v>172</v>
      </c>
      <c r="G126" s="22" t="s">
        <v>7946</v>
      </c>
      <c r="H126" s="22" t="s">
        <v>8308</v>
      </c>
      <c r="I126" s="25" t="s">
        <v>6601</v>
      </c>
      <c r="J126" s="22" t="s">
        <v>6602</v>
      </c>
      <c r="K126" s="22" t="s">
        <v>6603</v>
      </c>
      <c r="M126" s="22" t="str">
        <f>HYPERLINK("https://ceds.ed.gov/cedselementdetails.aspx?termid=22491")</f>
        <v>https://ceds.ed.gov/cedselementdetails.aspx?termid=22491</v>
      </c>
    </row>
    <row r="127" spans="1:13" s="22" customFormat="1" ht="244.8" x14ac:dyDescent="0.3">
      <c r="A127" s="22" t="s">
        <v>6611</v>
      </c>
      <c r="B127" s="22" t="s">
        <v>6612</v>
      </c>
      <c r="C127" s="23" t="s">
        <v>32</v>
      </c>
      <c r="D127" s="24" t="s">
        <v>8520</v>
      </c>
      <c r="E127" s="22" t="s">
        <v>172</v>
      </c>
      <c r="F127" s="22" t="s">
        <v>2743</v>
      </c>
      <c r="G127" s="22" t="s">
        <v>7946</v>
      </c>
      <c r="H127" s="22" t="s">
        <v>6613</v>
      </c>
      <c r="I127" s="25" t="s">
        <v>6614</v>
      </c>
      <c r="J127" s="22" t="s">
        <v>6615</v>
      </c>
      <c r="K127" s="22" t="s">
        <v>6616</v>
      </c>
      <c r="L127" s="24" t="s">
        <v>1521</v>
      </c>
      <c r="M127" s="22" t="str">
        <f>HYPERLINK("https://ceds.ed.gov/cedselementdetails.aspx?termid=21250")</f>
        <v>https://ceds.ed.gov/cedselementdetails.aspx?termid=21250</v>
      </c>
    </row>
    <row r="128" spans="1:13" s="22" customFormat="1" ht="331.2" x14ac:dyDescent="0.3">
      <c r="A128" s="22" t="s">
        <v>6621</v>
      </c>
      <c r="B128" s="22" t="s">
        <v>275</v>
      </c>
      <c r="C128" s="26" t="s">
        <v>8521</v>
      </c>
      <c r="D128" s="24" t="s">
        <v>8522</v>
      </c>
      <c r="E128" s="22" t="s">
        <v>172</v>
      </c>
      <c r="G128" s="22" t="s">
        <v>7946</v>
      </c>
      <c r="I128" s="25" t="s">
        <v>6622</v>
      </c>
      <c r="K128" s="22" t="s">
        <v>6623</v>
      </c>
      <c r="L128" s="24" t="s">
        <v>6624</v>
      </c>
      <c r="M128" s="22" t="str">
        <f>HYPERLINK("https://ceds.ed.gov/cedselementdetails.aspx?termid=21161")</f>
        <v>https://ceds.ed.gov/cedselementdetails.aspx?termid=21161</v>
      </c>
    </row>
    <row r="129" spans="1:13" s="22" customFormat="1" ht="331.2" x14ac:dyDescent="0.3">
      <c r="A129" s="22" t="s">
        <v>6625</v>
      </c>
      <c r="B129" s="22" t="s">
        <v>280</v>
      </c>
      <c r="C129" s="23" t="s">
        <v>32</v>
      </c>
      <c r="D129" s="24" t="s">
        <v>8522</v>
      </c>
      <c r="E129" s="22" t="s">
        <v>172</v>
      </c>
      <c r="F129" s="22" t="s">
        <v>132</v>
      </c>
      <c r="G129" s="22" t="s">
        <v>7946</v>
      </c>
      <c r="H129" s="22" t="s">
        <v>7945</v>
      </c>
      <c r="I129" s="25" t="s">
        <v>6626</v>
      </c>
      <c r="K129" s="22" t="s">
        <v>6627</v>
      </c>
      <c r="L129" s="24" t="s">
        <v>6624</v>
      </c>
      <c r="M129" s="22" t="str">
        <f>HYPERLINK("https://ceds.ed.gov/cedselementdetails.aspx?termid=21155")</f>
        <v>https://ceds.ed.gov/cedselementdetails.aspx?termid=21155</v>
      </c>
    </row>
    <row r="130" spans="1:13" s="22" customFormat="1" ht="201.6" x14ac:dyDescent="0.3">
      <c r="A130" s="22" t="s">
        <v>6652</v>
      </c>
      <c r="B130" s="22" t="s">
        <v>6653</v>
      </c>
      <c r="C130" s="26" t="s">
        <v>8523</v>
      </c>
      <c r="D130" s="24" t="s">
        <v>8464</v>
      </c>
      <c r="E130" s="22" t="s">
        <v>172</v>
      </c>
      <c r="G130" s="22" t="s">
        <v>7946</v>
      </c>
      <c r="I130" s="25" t="s">
        <v>6654</v>
      </c>
      <c r="K130" s="22" t="s">
        <v>6655</v>
      </c>
      <c r="M130" s="22" t="str">
        <f>HYPERLINK("https://ceds.ed.gov/cedselementdetails.aspx?termid=21241")</f>
        <v>https://ceds.ed.gov/cedselementdetails.aspx?termid=21241</v>
      </c>
    </row>
    <row r="131" spans="1:13" s="22" customFormat="1" ht="129.6" x14ac:dyDescent="0.3">
      <c r="A131" s="22" t="s">
        <v>6656</v>
      </c>
      <c r="B131" s="22" t="s">
        <v>6657</v>
      </c>
      <c r="C131" s="26" t="s">
        <v>8524</v>
      </c>
      <c r="D131" s="24" t="s">
        <v>8464</v>
      </c>
      <c r="E131" s="22" t="s">
        <v>172</v>
      </c>
      <c r="G131" s="22" t="s">
        <v>7946</v>
      </c>
      <c r="I131" s="25" t="s">
        <v>6658</v>
      </c>
      <c r="K131" s="22" t="s">
        <v>6659</v>
      </c>
      <c r="L131" s="22" t="s">
        <v>226</v>
      </c>
      <c r="M131" s="22" t="str">
        <f>HYPERLINK("https://ceds.ed.gov/cedselementdetails.aspx?termid=21524")</f>
        <v>https://ceds.ed.gov/cedselementdetails.aspx?termid=21524</v>
      </c>
    </row>
    <row r="132" spans="1:13" s="22" customFormat="1" ht="86.4" x14ac:dyDescent="0.3">
      <c r="A132" s="22" t="s">
        <v>6742</v>
      </c>
      <c r="B132" s="22" t="s">
        <v>6743</v>
      </c>
      <c r="C132" s="23" t="s">
        <v>32</v>
      </c>
      <c r="D132" s="24" t="s">
        <v>8525</v>
      </c>
      <c r="E132" s="22" t="s">
        <v>172</v>
      </c>
      <c r="F132" s="22" t="s">
        <v>430</v>
      </c>
      <c r="G132" s="22" t="s">
        <v>8050</v>
      </c>
      <c r="I132" s="25" t="s">
        <v>6744</v>
      </c>
      <c r="K132" s="22" t="s">
        <v>6745</v>
      </c>
      <c r="L132" s="24" t="s">
        <v>2063</v>
      </c>
      <c r="M132" s="22" t="str">
        <f>HYPERLINK("https://ceds.ed.gov/cedselementdetails.aspx?termid=21988")</f>
        <v>https://ceds.ed.gov/cedselementdetails.aspx?termid=21988</v>
      </c>
    </row>
    <row r="133" spans="1:13" s="22" customFormat="1" ht="86.4" x14ac:dyDescent="0.3">
      <c r="A133" s="22" t="s">
        <v>6754</v>
      </c>
      <c r="B133" s="22" t="s">
        <v>6755</v>
      </c>
      <c r="C133" s="23" t="s">
        <v>32</v>
      </c>
      <c r="D133" s="24" t="s">
        <v>8525</v>
      </c>
      <c r="E133" s="22" t="s">
        <v>172</v>
      </c>
      <c r="F133" s="22" t="s">
        <v>430</v>
      </c>
      <c r="G133" s="22" t="s">
        <v>8050</v>
      </c>
      <c r="I133" s="25" t="s">
        <v>6756</v>
      </c>
      <c r="K133" s="22" t="s">
        <v>6757</v>
      </c>
      <c r="L133" s="24" t="s">
        <v>2063</v>
      </c>
      <c r="M133" s="22" t="str">
        <f>HYPERLINK("https://ceds.ed.gov/cedselementdetails.aspx?termid=21986")</f>
        <v>https://ceds.ed.gov/cedselementdetails.aspx?termid=21986</v>
      </c>
    </row>
    <row r="134" spans="1:13" s="22" customFormat="1" ht="409.6" x14ac:dyDescent="0.3">
      <c r="A134" s="22" t="s">
        <v>8312</v>
      </c>
      <c r="B134" s="22" t="s">
        <v>8313</v>
      </c>
      <c r="C134" s="23" t="s">
        <v>32</v>
      </c>
      <c r="D134" s="24" t="s">
        <v>8526</v>
      </c>
      <c r="E134" s="22" t="s">
        <v>172</v>
      </c>
      <c r="F134" s="22" t="s">
        <v>85</v>
      </c>
      <c r="G134" s="22" t="s">
        <v>8314</v>
      </c>
      <c r="H134" s="22" t="s">
        <v>6772</v>
      </c>
      <c r="I134" s="25" t="s">
        <v>6773</v>
      </c>
      <c r="K134" s="22" t="s">
        <v>8315</v>
      </c>
      <c r="M134" s="22" t="str">
        <f>HYPERLINK("https://ceds.ed.gov/cedselementdetails.aspx?termid=22459")</f>
        <v>https://ceds.ed.gov/cedselementdetails.aspx?termid=22459</v>
      </c>
    </row>
    <row r="135" spans="1:13" s="22" customFormat="1" ht="57.6" x14ac:dyDescent="0.3">
      <c r="A135" s="22" t="s">
        <v>6810</v>
      </c>
      <c r="B135" s="22" t="s">
        <v>6811</v>
      </c>
      <c r="C135" s="26" t="s">
        <v>8527</v>
      </c>
      <c r="D135" s="24" t="s">
        <v>8467</v>
      </c>
      <c r="E135" s="22" t="s">
        <v>172</v>
      </c>
      <c r="G135" s="22" t="s">
        <v>7946</v>
      </c>
      <c r="I135" s="25" t="s">
        <v>6812</v>
      </c>
      <c r="K135" s="22" t="s">
        <v>6813</v>
      </c>
      <c r="L135" s="22" t="s">
        <v>226</v>
      </c>
      <c r="M135" s="22" t="str">
        <f>HYPERLINK("https://ceds.ed.gov/cedselementdetails.aspx?termid=21556")</f>
        <v>https://ceds.ed.gov/cedselementdetails.aspx?termid=21556</v>
      </c>
    </row>
    <row r="136" spans="1:13" s="22" customFormat="1" ht="57.6" x14ac:dyDescent="0.3">
      <c r="A136" s="22" t="s">
        <v>6823</v>
      </c>
      <c r="B136" s="22" t="s">
        <v>6824</v>
      </c>
      <c r="C136" s="26" t="s">
        <v>22</v>
      </c>
      <c r="D136" s="24" t="s">
        <v>8467</v>
      </c>
      <c r="E136" s="22" t="s">
        <v>172</v>
      </c>
      <c r="G136" s="22" t="s">
        <v>7946</v>
      </c>
      <c r="I136" s="25" t="s">
        <v>6825</v>
      </c>
      <c r="K136" s="22" t="s">
        <v>6826</v>
      </c>
      <c r="L136" s="22" t="s">
        <v>226</v>
      </c>
      <c r="M136" s="22" t="str">
        <f>HYPERLINK("https://ceds.ed.gov/cedselementdetails.aspx?termid=21261")</f>
        <v>https://ceds.ed.gov/cedselementdetails.aspx?termid=21261</v>
      </c>
    </row>
    <row r="137" spans="1:13" s="22" customFormat="1" ht="57.6" x14ac:dyDescent="0.3">
      <c r="A137" s="22" t="s">
        <v>6827</v>
      </c>
      <c r="B137" s="22" t="s">
        <v>6828</v>
      </c>
      <c r="C137" s="26" t="s">
        <v>22</v>
      </c>
      <c r="D137" s="24" t="s">
        <v>8467</v>
      </c>
      <c r="E137" s="22" t="s">
        <v>172</v>
      </c>
      <c r="G137" s="22" t="s">
        <v>7946</v>
      </c>
      <c r="I137" s="25" t="s">
        <v>6829</v>
      </c>
      <c r="K137" s="22" t="s">
        <v>6830</v>
      </c>
      <c r="L137" s="22" t="s">
        <v>226</v>
      </c>
      <c r="M137" s="22" t="str">
        <f>HYPERLINK("https://ceds.ed.gov/cedselementdetails.aspx?termid=21262")</f>
        <v>https://ceds.ed.gov/cedselementdetails.aspx?termid=21262</v>
      </c>
    </row>
    <row r="138" spans="1:13" s="22" customFormat="1" ht="259.2" x14ac:dyDescent="0.3">
      <c r="A138" s="22" t="s">
        <v>6836</v>
      </c>
      <c r="B138" s="22" t="s">
        <v>6837</v>
      </c>
      <c r="C138" s="26" t="s">
        <v>8528</v>
      </c>
      <c r="D138" s="24" t="s">
        <v>8529</v>
      </c>
      <c r="E138" s="22" t="s">
        <v>172</v>
      </c>
      <c r="G138" s="22" t="s">
        <v>7946</v>
      </c>
      <c r="I138" s="25" t="s">
        <v>6838</v>
      </c>
      <c r="K138" s="22" t="s">
        <v>6839</v>
      </c>
      <c r="L138" s="22" t="s">
        <v>226</v>
      </c>
      <c r="M138" s="22" t="str">
        <f>HYPERLINK("https://ceds.ed.gov/cedselementdetails.aspx?termid=21549")</f>
        <v>https://ceds.ed.gov/cedselementdetails.aspx?termid=21549</v>
      </c>
    </row>
    <row r="139" spans="1:13" s="22" customFormat="1" ht="57.6" x14ac:dyDescent="0.3">
      <c r="A139" s="22" t="s">
        <v>6840</v>
      </c>
      <c r="B139" s="22" t="s">
        <v>6841</v>
      </c>
      <c r="C139" s="26" t="s">
        <v>22</v>
      </c>
      <c r="D139" s="24" t="s">
        <v>8467</v>
      </c>
      <c r="E139" s="22" t="s">
        <v>172</v>
      </c>
      <c r="G139" s="22" t="s">
        <v>7946</v>
      </c>
      <c r="I139" s="25" t="s">
        <v>6842</v>
      </c>
      <c r="K139" s="22" t="s">
        <v>6843</v>
      </c>
      <c r="L139" s="22" t="s">
        <v>226</v>
      </c>
      <c r="M139" s="22" t="str">
        <f>HYPERLINK("https://ceds.ed.gov/cedselementdetails.aspx?termid=21264")</f>
        <v>https://ceds.ed.gov/cedselementdetails.aspx?termid=21264</v>
      </c>
    </row>
    <row r="140" spans="1:13" s="22" customFormat="1" ht="129.6" x14ac:dyDescent="0.3">
      <c r="A140" s="22" t="s">
        <v>6900</v>
      </c>
      <c r="B140" s="22" t="s">
        <v>6901</v>
      </c>
      <c r="C140" s="23" t="s">
        <v>32</v>
      </c>
      <c r="D140" s="24" t="s">
        <v>8530</v>
      </c>
      <c r="E140" s="22" t="s">
        <v>172</v>
      </c>
      <c r="F140" s="22" t="s">
        <v>4141</v>
      </c>
      <c r="G140" s="22" t="s">
        <v>7946</v>
      </c>
      <c r="I140" s="25" t="s">
        <v>6902</v>
      </c>
      <c r="J140" s="22" t="s">
        <v>6903</v>
      </c>
      <c r="K140" s="22" t="s">
        <v>6904</v>
      </c>
      <c r="L140" s="24" t="s">
        <v>6905</v>
      </c>
      <c r="M140" s="22" t="str">
        <f>HYPERLINK("https://ceds.ed.gov/cedselementdetails.aspx?termid=21118")</f>
        <v>https://ceds.ed.gov/cedselementdetails.aspx?termid=21118</v>
      </c>
    </row>
    <row r="141" spans="1:13" s="22" customFormat="1" ht="409.6" x14ac:dyDescent="0.3">
      <c r="A141" s="22" t="s">
        <v>6906</v>
      </c>
      <c r="B141" s="22" t="s">
        <v>6907</v>
      </c>
      <c r="C141" s="26" t="s">
        <v>8531</v>
      </c>
      <c r="D141" s="24" t="s">
        <v>8532</v>
      </c>
      <c r="E141" s="22" t="s">
        <v>172</v>
      </c>
      <c r="G141" s="22" t="s">
        <v>7946</v>
      </c>
      <c r="I141" s="25" t="s">
        <v>6908</v>
      </c>
      <c r="K141" s="22" t="s">
        <v>6909</v>
      </c>
      <c r="L141" s="24" t="s">
        <v>6910</v>
      </c>
      <c r="M141" s="22" t="str">
        <f>HYPERLINK("https://ceds.ed.gov/cedselementdetails.aspx?termid=21162")</f>
        <v>https://ceds.ed.gov/cedselementdetails.aspx?termid=21162</v>
      </c>
    </row>
    <row r="142" spans="1:13" s="22" customFormat="1" ht="409.6" x14ac:dyDescent="0.3">
      <c r="A142" s="22" t="s">
        <v>6911</v>
      </c>
      <c r="B142" s="22" t="s">
        <v>6912</v>
      </c>
      <c r="C142" s="23" t="s">
        <v>32</v>
      </c>
      <c r="D142" s="24" t="s">
        <v>8532</v>
      </c>
      <c r="E142" s="22" t="s">
        <v>172</v>
      </c>
      <c r="F142" s="22" t="s">
        <v>132</v>
      </c>
      <c r="G142" s="22" t="s">
        <v>7946</v>
      </c>
      <c r="H142" s="22" t="s">
        <v>7945</v>
      </c>
      <c r="I142" s="25" t="s">
        <v>6913</v>
      </c>
      <c r="K142" s="22" t="s">
        <v>6914</v>
      </c>
      <c r="L142" s="24" t="s">
        <v>6915</v>
      </c>
      <c r="M142" s="22" t="str">
        <f>HYPERLINK("https://ceds.ed.gov/cedselementdetails.aspx?termid=21156")</f>
        <v>https://ceds.ed.gov/cedselementdetails.aspx?termid=21156</v>
      </c>
    </row>
    <row r="143" spans="1:13" s="22" customFormat="1" ht="409.6" x14ac:dyDescent="0.3">
      <c r="A143" s="22" t="s">
        <v>6941</v>
      </c>
      <c r="B143" s="22" t="s">
        <v>6942</v>
      </c>
      <c r="C143" s="26" t="s">
        <v>8533</v>
      </c>
      <c r="D143" s="24" t="s">
        <v>8392</v>
      </c>
      <c r="E143" s="22" t="s">
        <v>172</v>
      </c>
      <c r="G143" s="22" t="s">
        <v>8327</v>
      </c>
      <c r="I143" s="25" t="s">
        <v>6943</v>
      </c>
      <c r="K143" s="22" t="s">
        <v>6944</v>
      </c>
      <c r="L143" s="24" t="s">
        <v>6945</v>
      </c>
      <c r="M143" s="22" t="str">
        <f>HYPERLINK("https://ceds.ed.gov/cedselementdetails.aspx?termid=21267")</f>
        <v>https://ceds.ed.gov/cedselementdetails.aspx?termid=21267</v>
      </c>
    </row>
    <row r="144" spans="1:13" s="22" customFormat="1" ht="144" x14ac:dyDescent="0.3">
      <c r="A144" s="22" t="s">
        <v>6946</v>
      </c>
      <c r="B144" s="22" t="s">
        <v>8328</v>
      </c>
      <c r="C144" s="26" t="s">
        <v>8534</v>
      </c>
      <c r="D144" s="24" t="s">
        <v>8535</v>
      </c>
      <c r="E144" s="22" t="s">
        <v>172</v>
      </c>
      <c r="G144" s="22" t="s">
        <v>8329</v>
      </c>
      <c r="I144" s="25" t="s">
        <v>6947</v>
      </c>
      <c r="K144" s="22" t="s">
        <v>6948</v>
      </c>
      <c r="M144" s="22" t="str">
        <f>HYPERLINK("https://ceds.ed.gov/cedselementdetails.aspx?termid=22463")</f>
        <v>https://ceds.ed.gov/cedselementdetails.aspx?termid=22463</v>
      </c>
    </row>
    <row r="145" spans="1:13" s="22" customFormat="1" ht="86.4" x14ac:dyDescent="0.3">
      <c r="A145" s="22" t="s">
        <v>6949</v>
      </c>
      <c r="B145" s="22" t="s">
        <v>6950</v>
      </c>
      <c r="C145" s="23" t="s">
        <v>32</v>
      </c>
      <c r="D145" s="24" t="s">
        <v>8535</v>
      </c>
      <c r="E145" s="22" t="s">
        <v>172</v>
      </c>
      <c r="F145" s="22" t="s">
        <v>132</v>
      </c>
      <c r="G145" s="22" t="s">
        <v>7946</v>
      </c>
      <c r="H145" s="22" t="s">
        <v>8043</v>
      </c>
      <c r="I145" s="25" t="s">
        <v>6951</v>
      </c>
      <c r="K145" s="22" t="s">
        <v>6952</v>
      </c>
      <c r="M145" s="22" t="str">
        <f>HYPERLINK("https://ceds.ed.gov/cedselementdetails.aspx?termid=22462")</f>
        <v>https://ceds.ed.gov/cedselementdetails.aspx?termid=22462</v>
      </c>
    </row>
    <row r="146" spans="1:13" s="22" customFormat="1" ht="409.6" x14ac:dyDescent="0.3">
      <c r="A146" s="22" t="s">
        <v>6953</v>
      </c>
      <c r="B146" s="22" t="s">
        <v>6954</v>
      </c>
      <c r="C146" s="26" t="s">
        <v>8536</v>
      </c>
      <c r="D146" s="24" t="s">
        <v>8537</v>
      </c>
      <c r="E146" s="22" t="s">
        <v>172</v>
      </c>
      <c r="G146" s="22" t="s">
        <v>8330</v>
      </c>
      <c r="I146" s="25" t="s">
        <v>6955</v>
      </c>
      <c r="K146" s="22" t="s">
        <v>6956</v>
      </c>
      <c r="L146" s="24" t="s">
        <v>6957</v>
      </c>
      <c r="M146" s="22" t="str">
        <f>HYPERLINK("https://ceds.ed.gov/cedselementdetails.aspx?termid=21414")</f>
        <v>https://ceds.ed.gov/cedselementdetails.aspx?termid=21414</v>
      </c>
    </row>
    <row r="147" spans="1:13" s="22" customFormat="1" ht="409.6" x14ac:dyDescent="0.3">
      <c r="A147" s="22" t="s">
        <v>6987</v>
      </c>
      <c r="B147" s="22" t="s">
        <v>6988</v>
      </c>
      <c r="C147" s="26" t="s">
        <v>8538</v>
      </c>
      <c r="D147" s="24" t="s">
        <v>8509</v>
      </c>
      <c r="E147" s="22" t="s">
        <v>172</v>
      </c>
      <c r="G147" s="22" t="s">
        <v>7946</v>
      </c>
      <c r="I147" s="25" t="s">
        <v>6989</v>
      </c>
      <c r="K147" s="22" t="s">
        <v>6990</v>
      </c>
      <c r="L147" s="22" t="s">
        <v>1553</v>
      </c>
      <c r="M147" s="22" t="str">
        <f>HYPERLINK("https://ceds.ed.gov/cedselementdetails.aspx?termid=21417")</f>
        <v>https://ceds.ed.gov/cedselementdetails.aspx?termid=21417</v>
      </c>
    </row>
    <row r="148" spans="1:13" s="22" customFormat="1" ht="72" x14ac:dyDescent="0.3">
      <c r="A148" s="22" t="s">
        <v>6996</v>
      </c>
      <c r="B148" s="22" t="s">
        <v>6997</v>
      </c>
      <c r="C148" s="26" t="s">
        <v>8539</v>
      </c>
      <c r="D148" s="24" t="s">
        <v>8481</v>
      </c>
      <c r="E148" s="22" t="s">
        <v>172</v>
      </c>
      <c r="G148" s="22" t="s">
        <v>7946</v>
      </c>
      <c r="I148" s="25" t="s">
        <v>6998</v>
      </c>
      <c r="K148" s="22" t="s">
        <v>6999</v>
      </c>
      <c r="L148" s="22" t="s">
        <v>226</v>
      </c>
      <c r="M148" s="22" t="str">
        <f>HYPERLINK("https://ceds.ed.gov/cedselementdetails.aspx?termid=21578")</f>
        <v>https://ceds.ed.gov/cedselementdetails.aspx?termid=21578</v>
      </c>
    </row>
    <row r="149" spans="1:13" s="22" customFormat="1" ht="409.6" x14ac:dyDescent="0.3">
      <c r="A149" s="22" t="s">
        <v>7035</v>
      </c>
      <c r="B149" s="22" t="s">
        <v>7036</v>
      </c>
      <c r="C149" s="26" t="s">
        <v>8540</v>
      </c>
      <c r="D149" s="24" t="s">
        <v>8541</v>
      </c>
      <c r="E149" s="22" t="s">
        <v>172</v>
      </c>
      <c r="G149" s="22" t="s">
        <v>7946</v>
      </c>
      <c r="I149" s="25" t="s">
        <v>7037</v>
      </c>
      <c r="K149" s="22" t="s">
        <v>7038</v>
      </c>
      <c r="L149" s="24" t="s">
        <v>7039</v>
      </c>
      <c r="M149" s="22" t="str">
        <f>HYPERLINK("https://ceds.ed.gov/cedselementdetails.aspx?termid=21163")</f>
        <v>https://ceds.ed.gov/cedselementdetails.aspx?termid=21163</v>
      </c>
    </row>
    <row r="150" spans="1:13" s="22" customFormat="1" ht="409.6" x14ac:dyDescent="0.3">
      <c r="A150" s="22" t="s">
        <v>7040</v>
      </c>
      <c r="B150" s="22" t="s">
        <v>7041</v>
      </c>
      <c r="C150" s="23" t="s">
        <v>32</v>
      </c>
      <c r="D150" s="24" t="s">
        <v>8541</v>
      </c>
      <c r="E150" s="22" t="s">
        <v>172</v>
      </c>
      <c r="F150" s="22" t="s">
        <v>132</v>
      </c>
      <c r="G150" s="22" t="s">
        <v>7946</v>
      </c>
      <c r="H150" s="22" t="s">
        <v>7945</v>
      </c>
      <c r="I150" s="25" t="s">
        <v>7042</v>
      </c>
      <c r="K150" s="22" t="s">
        <v>7043</v>
      </c>
      <c r="L150" s="24" t="s">
        <v>7039</v>
      </c>
      <c r="M150" s="22" t="str">
        <f>HYPERLINK("https://ceds.ed.gov/cedselementdetails.aspx?termid=21157")</f>
        <v>https://ceds.ed.gov/cedselementdetails.aspx?termid=21157</v>
      </c>
    </row>
    <row r="151" spans="1:13" s="22" customFormat="1" ht="409.6" x14ac:dyDescent="0.3">
      <c r="A151" s="22" t="s">
        <v>7048</v>
      </c>
      <c r="B151" s="22" t="s">
        <v>7049</v>
      </c>
      <c r="C151" s="26" t="s">
        <v>8542</v>
      </c>
      <c r="D151" s="24" t="s">
        <v>8543</v>
      </c>
      <c r="E151" s="22" t="s">
        <v>172</v>
      </c>
      <c r="G151" s="22" t="s">
        <v>7946</v>
      </c>
      <c r="H151" s="22" t="s">
        <v>7050</v>
      </c>
      <c r="I151" s="25" t="s">
        <v>7051</v>
      </c>
      <c r="K151" s="22" t="s">
        <v>7052</v>
      </c>
      <c r="M151" s="22" t="str">
        <f>HYPERLINK("https://ceds.ed.gov/cedselementdetails.aspx?termid=21273")</f>
        <v>https://ceds.ed.gov/cedselementdetails.aspx?termid=21273</v>
      </c>
    </row>
    <row r="152" spans="1:13" s="22" customFormat="1" ht="72" x14ac:dyDescent="0.3">
      <c r="A152" s="22" t="s">
        <v>7083</v>
      </c>
      <c r="B152" s="22" t="s">
        <v>7084</v>
      </c>
      <c r="C152" s="23" t="s">
        <v>32</v>
      </c>
      <c r="D152" s="24" t="s">
        <v>8544</v>
      </c>
      <c r="E152" s="22" t="s">
        <v>172</v>
      </c>
      <c r="F152" s="22" t="s">
        <v>85</v>
      </c>
      <c r="G152" s="22" t="s">
        <v>7946</v>
      </c>
      <c r="H152" s="22" t="s">
        <v>8337</v>
      </c>
      <c r="I152" s="25" t="s">
        <v>7085</v>
      </c>
      <c r="K152" s="22" t="s">
        <v>7086</v>
      </c>
      <c r="L152" s="22" t="s">
        <v>355</v>
      </c>
      <c r="M152" s="22" t="str">
        <f>HYPERLINK("https://ceds.ed.gov/cedselementdetails.aspx?termid=21757")</f>
        <v>https://ceds.ed.gov/cedselementdetails.aspx?termid=21757</v>
      </c>
    </row>
    <row r="153" spans="1:13" s="22" customFormat="1" ht="86.4" x14ac:dyDescent="0.3">
      <c r="A153" s="22" t="s">
        <v>7087</v>
      </c>
      <c r="B153" s="22" t="s">
        <v>7088</v>
      </c>
      <c r="C153" s="26" t="s">
        <v>8545</v>
      </c>
      <c r="D153" s="24" t="s">
        <v>8544</v>
      </c>
      <c r="E153" s="22" t="s">
        <v>172</v>
      </c>
      <c r="G153" s="22" t="s">
        <v>7946</v>
      </c>
      <c r="I153" s="25" t="s">
        <v>7089</v>
      </c>
      <c r="K153" s="22" t="s">
        <v>7090</v>
      </c>
      <c r="L153" s="22" t="s">
        <v>355</v>
      </c>
      <c r="M153" s="22" t="str">
        <f>HYPERLINK("https://ceds.ed.gov/cedselementdetails.aspx?termid=21756")</f>
        <v>https://ceds.ed.gov/cedselementdetails.aspx?termid=21756</v>
      </c>
    </row>
    <row r="154" spans="1:13" s="22" customFormat="1" ht="129.6" x14ac:dyDescent="0.3">
      <c r="A154" s="22" t="s">
        <v>7114</v>
      </c>
      <c r="B154" s="22" t="s">
        <v>7115</v>
      </c>
      <c r="C154" s="23" t="s">
        <v>32</v>
      </c>
      <c r="D154" s="24" t="s">
        <v>8546</v>
      </c>
      <c r="E154" s="22" t="s">
        <v>172</v>
      </c>
      <c r="F154" s="22" t="s">
        <v>775</v>
      </c>
      <c r="G154" s="22" t="s">
        <v>7946</v>
      </c>
      <c r="I154" s="25" t="s">
        <v>7116</v>
      </c>
      <c r="K154" s="22" t="s">
        <v>7117</v>
      </c>
      <c r="L154" s="22" t="s">
        <v>7101</v>
      </c>
      <c r="M154" s="22" t="str">
        <f>HYPERLINK("https://ceds.ed.gov/cedselementdetails.aspx?termid=21651")</f>
        <v>https://ceds.ed.gov/cedselementdetails.aspx?termid=21651</v>
      </c>
    </row>
    <row r="155" spans="1:13" s="22" customFormat="1" ht="129.6" x14ac:dyDescent="0.3">
      <c r="A155" s="22" t="s">
        <v>7118</v>
      </c>
      <c r="B155" s="22" t="s">
        <v>7119</v>
      </c>
      <c r="C155" s="23" t="s">
        <v>32</v>
      </c>
      <c r="D155" s="24" t="s">
        <v>8547</v>
      </c>
      <c r="E155" s="22" t="s">
        <v>172</v>
      </c>
      <c r="F155" s="22" t="s">
        <v>118</v>
      </c>
      <c r="G155" s="22" t="s">
        <v>7946</v>
      </c>
      <c r="H155" s="22" t="s">
        <v>7120</v>
      </c>
      <c r="I155" s="25" t="s">
        <v>7121</v>
      </c>
      <c r="K155" s="22" t="s">
        <v>7122</v>
      </c>
      <c r="L155" s="22" t="s">
        <v>7101</v>
      </c>
      <c r="M155" s="22" t="str">
        <f>HYPERLINK("https://ceds.ed.gov/cedselementdetails.aspx?termid=21648")</f>
        <v>https://ceds.ed.gov/cedselementdetails.aspx?termid=21648</v>
      </c>
    </row>
    <row r="156" spans="1:13" s="22" customFormat="1" ht="129.6" x14ac:dyDescent="0.3">
      <c r="A156" s="22" t="s">
        <v>7123</v>
      </c>
      <c r="B156" s="22" t="s">
        <v>8340</v>
      </c>
      <c r="C156" s="26" t="s">
        <v>8548</v>
      </c>
      <c r="D156" s="24" t="s">
        <v>8546</v>
      </c>
      <c r="E156" s="22" t="s">
        <v>172</v>
      </c>
      <c r="G156" s="22" t="s">
        <v>7946</v>
      </c>
      <c r="I156" s="25" t="s">
        <v>7124</v>
      </c>
      <c r="K156" s="22" t="s">
        <v>7125</v>
      </c>
      <c r="L156" s="22" t="s">
        <v>7101</v>
      </c>
      <c r="M156" s="22" t="str">
        <f>HYPERLINK("https://ceds.ed.gov/cedselementdetails.aspx?termid=21650")</f>
        <v>https://ceds.ed.gov/cedselementdetails.aspx?termid=21650</v>
      </c>
    </row>
    <row r="157" spans="1:13" s="22" customFormat="1" ht="129.6" x14ac:dyDescent="0.3">
      <c r="A157" s="22" t="s">
        <v>7126</v>
      </c>
      <c r="B157" s="22" t="s">
        <v>7127</v>
      </c>
      <c r="C157" s="23" t="s">
        <v>32</v>
      </c>
      <c r="D157" s="24" t="s">
        <v>8547</v>
      </c>
      <c r="E157" s="22" t="s">
        <v>172</v>
      </c>
      <c r="F157" s="22" t="s">
        <v>118</v>
      </c>
      <c r="G157" s="22" t="s">
        <v>7946</v>
      </c>
      <c r="I157" s="25" t="s">
        <v>7128</v>
      </c>
      <c r="K157" s="22" t="s">
        <v>7129</v>
      </c>
      <c r="L157" s="22" t="s">
        <v>7101</v>
      </c>
      <c r="M157" s="22" t="str">
        <f>HYPERLINK("https://ceds.ed.gov/cedselementdetails.aspx?termid=21647")</f>
        <v>https://ceds.ed.gov/cedselementdetails.aspx?termid=21647</v>
      </c>
    </row>
    <row r="158" spans="1:13" s="22" customFormat="1" ht="158.4" x14ac:dyDescent="0.3">
      <c r="A158" s="22" t="s">
        <v>7139</v>
      </c>
      <c r="B158" s="22" t="s">
        <v>7140</v>
      </c>
      <c r="C158" s="26" t="s">
        <v>22</v>
      </c>
      <c r="D158" s="24" t="s">
        <v>8549</v>
      </c>
      <c r="E158" s="22" t="s">
        <v>172</v>
      </c>
      <c r="G158" s="22" t="s">
        <v>7946</v>
      </c>
      <c r="H158" s="22" t="s">
        <v>8331</v>
      </c>
      <c r="I158" s="25" t="s">
        <v>7141</v>
      </c>
      <c r="K158" s="22" t="s">
        <v>7142</v>
      </c>
      <c r="M158" s="22" t="str">
        <f>HYPERLINK("https://ceds.ed.gov/cedselementdetails.aspx?termid=22465")</f>
        <v>https://ceds.ed.gov/cedselementdetails.aspx?termid=22465</v>
      </c>
    </row>
    <row r="159" spans="1:13" s="22" customFormat="1" ht="158.4" x14ac:dyDescent="0.3">
      <c r="A159" s="22" t="s">
        <v>7143</v>
      </c>
      <c r="B159" s="22" t="s">
        <v>7144</v>
      </c>
      <c r="C159" s="26" t="s">
        <v>8550</v>
      </c>
      <c r="D159" s="24" t="s">
        <v>8549</v>
      </c>
      <c r="E159" s="22" t="s">
        <v>172</v>
      </c>
      <c r="G159" s="22" t="s">
        <v>7946</v>
      </c>
      <c r="H159" s="22" t="s">
        <v>8331</v>
      </c>
      <c r="I159" s="25" t="s">
        <v>7145</v>
      </c>
      <c r="K159" s="22" t="s">
        <v>7146</v>
      </c>
      <c r="M159" s="22" t="str">
        <f>HYPERLINK("https://ceds.ed.gov/cedselementdetails.aspx?termid=22466")</f>
        <v>https://ceds.ed.gov/cedselementdetails.aspx?termid=22466</v>
      </c>
    </row>
    <row r="160" spans="1:13" s="22" customFormat="1" ht="144" x14ac:dyDescent="0.3">
      <c r="A160" s="22" t="s">
        <v>7196</v>
      </c>
      <c r="B160" s="22" t="s">
        <v>7197</v>
      </c>
      <c r="C160" s="26" t="s">
        <v>8551</v>
      </c>
      <c r="D160" s="24" t="s">
        <v>8467</v>
      </c>
      <c r="E160" s="22" t="s">
        <v>172</v>
      </c>
      <c r="G160" s="22" t="s">
        <v>7946</v>
      </c>
      <c r="I160" s="25" t="s">
        <v>7198</v>
      </c>
      <c r="K160" s="22" t="s">
        <v>7199</v>
      </c>
      <c r="L160" s="22" t="s">
        <v>226</v>
      </c>
      <c r="M160" s="22" t="str">
        <f>HYPERLINK("https://ceds.ed.gov/cedselementdetails.aspx?termid=21283")</f>
        <v>https://ceds.ed.gov/cedselementdetails.aspx?termid=21283</v>
      </c>
    </row>
    <row r="161" spans="1:13" s="22" customFormat="1" ht="129.6" x14ac:dyDescent="0.3">
      <c r="A161" s="22" t="s">
        <v>7200</v>
      </c>
      <c r="B161" s="22" t="s">
        <v>7201</v>
      </c>
      <c r="C161" s="26" t="s">
        <v>8552</v>
      </c>
      <c r="D161" s="24" t="s">
        <v>8553</v>
      </c>
      <c r="E161" s="22" t="s">
        <v>172</v>
      </c>
      <c r="G161" s="22" t="s">
        <v>7946</v>
      </c>
      <c r="I161" s="25" t="s">
        <v>7203</v>
      </c>
      <c r="K161" s="22" t="s">
        <v>7204</v>
      </c>
      <c r="L161" s="22" t="s">
        <v>226</v>
      </c>
      <c r="M161" s="22" t="str">
        <f>HYPERLINK("https://ceds.ed.gov/cedselementdetails.aspx?termid=21284")</f>
        <v>https://ceds.ed.gov/cedselementdetails.aspx?termid=21284</v>
      </c>
    </row>
    <row r="162" spans="1:13" s="22" customFormat="1" ht="57.6" x14ac:dyDescent="0.3">
      <c r="A162" s="22" t="s">
        <v>7233</v>
      </c>
      <c r="B162" s="22" t="s">
        <v>7234</v>
      </c>
      <c r="C162" s="26" t="s">
        <v>22</v>
      </c>
      <c r="D162" s="24" t="s">
        <v>8415</v>
      </c>
      <c r="E162" s="22" t="s">
        <v>172</v>
      </c>
      <c r="G162" s="22" t="s">
        <v>7946</v>
      </c>
      <c r="I162" s="25" t="s">
        <v>7235</v>
      </c>
      <c r="K162" s="22" t="s">
        <v>7236</v>
      </c>
      <c r="M162" s="22" t="str">
        <f>HYPERLINK("https://ceds.ed.gov/cedselementdetails.aspx?termid=21543")</f>
        <v>https://ceds.ed.gov/cedselementdetails.aspx?termid=21543</v>
      </c>
    </row>
    <row r="163" spans="1:13" s="22" customFormat="1" ht="43.2" x14ac:dyDescent="0.3">
      <c r="A163" s="22" t="s">
        <v>7241</v>
      </c>
      <c r="B163" s="22" t="s">
        <v>7242</v>
      </c>
      <c r="C163" s="26" t="s">
        <v>22</v>
      </c>
      <c r="D163" s="22" t="s">
        <v>5816</v>
      </c>
      <c r="E163" s="22" t="s">
        <v>172</v>
      </c>
      <c r="G163" s="22" t="s">
        <v>8341</v>
      </c>
      <c r="I163" s="25" t="s">
        <v>7243</v>
      </c>
      <c r="K163" s="22" t="s">
        <v>7244</v>
      </c>
      <c r="L163" s="22" t="s">
        <v>226</v>
      </c>
      <c r="M163" s="22" t="str">
        <f>HYPERLINK("https://ceds.ed.gov/cedselementdetails.aspx?termid=21557")</f>
        <v>https://ceds.ed.gov/cedselementdetails.aspx?termid=21557</v>
      </c>
    </row>
    <row r="164" spans="1:13" s="22" customFormat="1" ht="100.8" x14ac:dyDescent="0.3">
      <c r="A164" s="22" t="s">
        <v>7330</v>
      </c>
      <c r="B164" s="22" t="s">
        <v>7331</v>
      </c>
      <c r="C164" s="26" t="s">
        <v>8554</v>
      </c>
      <c r="D164" s="24" t="s">
        <v>8555</v>
      </c>
      <c r="E164" s="22" t="s">
        <v>172</v>
      </c>
      <c r="G164" s="22" t="s">
        <v>7946</v>
      </c>
      <c r="H164" s="22" t="s">
        <v>6765</v>
      </c>
      <c r="I164" s="25" t="s">
        <v>7332</v>
      </c>
      <c r="K164" s="22" t="s">
        <v>7333</v>
      </c>
      <c r="L164" s="24" t="s">
        <v>7334</v>
      </c>
      <c r="M164" s="22" t="str">
        <f>HYPERLINK("https://ceds.ed.gov/cedselementdetails.aspx?termid=21299")</f>
        <v>https://ceds.ed.gov/cedselementdetails.aspx?termid=21299</v>
      </c>
    </row>
    <row r="165" spans="1:13" s="22" customFormat="1" ht="187.2" x14ac:dyDescent="0.3">
      <c r="A165" s="22" t="s">
        <v>7335</v>
      </c>
      <c r="B165" s="22" t="s">
        <v>8347</v>
      </c>
      <c r="C165" s="26" t="s">
        <v>22</v>
      </c>
      <c r="D165" s="24" t="s">
        <v>8556</v>
      </c>
      <c r="E165" s="22" t="s">
        <v>172</v>
      </c>
      <c r="G165" s="22" t="s">
        <v>8348</v>
      </c>
      <c r="I165" s="25" t="s">
        <v>7336</v>
      </c>
      <c r="K165" s="22" t="s">
        <v>7337</v>
      </c>
      <c r="M165" s="22" t="str">
        <f>HYPERLINK("https://ceds.ed.gov/cedselementdetails.aspx?termid=22167")</f>
        <v>https://ceds.ed.gov/cedselementdetails.aspx?termid=22167</v>
      </c>
    </row>
    <row r="166" spans="1:13" s="22" customFormat="1" ht="72" x14ac:dyDescent="0.3">
      <c r="A166" s="22" t="s">
        <v>7338</v>
      </c>
      <c r="B166" s="22" t="s">
        <v>8349</v>
      </c>
      <c r="C166" s="26" t="s">
        <v>8557</v>
      </c>
      <c r="D166" s="24" t="s">
        <v>8464</v>
      </c>
      <c r="E166" s="22" t="s">
        <v>172</v>
      </c>
      <c r="G166" s="22" t="s">
        <v>8348</v>
      </c>
      <c r="I166" s="25" t="s">
        <v>7339</v>
      </c>
      <c r="K166" s="22" t="s">
        <v>7340</v>
      </c>
      <c r="M166" s="22" t="str">
        <f>HYPERLINK("https://ceds.ed.gov/cedselementdetails.aspx?termid=22747")</f>
        <v>https://ceds.ed.gov/cedselementdetails.aspx?termid=22747</v>
      </c>
    </row>
    <row r="167" spans="1:13" s="22" customFormat="1" ht="259.2" x14ac:dyDescent="0.3">
      <c r="A167" s="22" t="s">
        <v>7370</v>
      </c>
      <c r="B167" s="22" t="s">
        <v>7371</v>
      </c>
      <c r="C167" s="23" t="s">
        <v>32</v>
      </c>
      <c r="D167" s="24" t="s">
        <v>8558</v>
      </c>
      <c r="E167" s="22" t="s">
        <v>172</v>
      </c>
      <c r="F167" s="22" t="s">
        <v>113</v>
      </c>
      <c r="G167" s="22" t="s">
        <v>7946</v>
      </c>
      <c r="I167" s="25" t="s">
        <v>7372</v>
      </c>
      <c r="K167" s="22" t="s">
        <v>7373</v>
      </c>
      <c r="L167" s="22" t="s">
        <v>226</v>
      </c>
      <c r="M167" s="22" t="str">
        <f>HYPERLINK("https://ceds.ed.gov/cedselementdetails.aspx?termid=21300")</f>
        <v>https://ceds.ed.gov/cedselementdetails.aspx?termid=21300</v>
      </c>
    </row>
    <row r="168" spans="1:13" s="22" customFormat="1" ht="57.6" x14ac:dyDescent="0.3">
      <c r="A168" s="22" t="s">
        <v>7417</v>
      </c>
      <c r="B168" s="22" t="s">
        <v>7418</v>
      </c>
      <c r="C168" s="23" t="s">
        <v>32</v>
      </c>
      <c r="D168" s="24" t="s">
        <v>8559</v>
      </c>
      <c r="E168" s="22" t="s">
        <v>172</v>
      </c>
      <c r="F168" s="22" t="s">
        <v>1518</v>
      </c>
      <c r="G168" s="22" t="s">
        <v>7946</v>
      </c>
      <c r="I168" s="25" t="s">
        <v>7419</v>
      </c>
      <c r="K168" s="22" t="s">
        <v>7420</v>
      </c>
      <c r="L168" s="22" t="s">
        <v>2493</v>
      </c>
      <c r="M168" s="22" t="str">
        <f>HYPERLINK("https://ceds.ed.gov/cedselementdetails.aspx?termid=21302")</f>
        <v>https://ceds.ed.gov/cedselementdetails.aspx?termid=21302</v>
      </c>
    </row>
  </sheetData>
  <autoFilter ref="A1:M1" xr:uid="{A13338AC-93B9-48A8-834A-4585B49C0C1C}"/>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M1809"/>
  <sheetViews>
    <sheetView showGridLines="0" zoomScaleNormal="100" workbookViewId="0">
      <selection activeCell="B1782" sqref="B1782"/>
    </sheetView>
  </sheetViews>
  <sheetFormatPr defaultRowHeight="14.4" x14ac:dyDescent="0.3"/>
  <cols>
    <col min="1" max="2" width="36.5546875" bestFit="1" customWidth="1"/>
    <col min="3" max="3" width="36.5546875" style="17" bestFit="1" customWidth="1"/>
    <col min="4" max="4" width="79.44140625" bestFit="1" customWidth="1"/>
    <col min="5" max="5" width="9.44140625" bestFit="1" customWidth="1"/>
    <col min="6" max="8" width="36.5546875" bestFit="1" customWidth="1"/>
    <col min="9" max="9" width="9.44140625" style="15" bestFit="1" customWidth="1"/>
    <col min="10" max="12" width="36.5546875" bestFit="1" customWidth="1"/>
    <col min="13" max="13" width="50.88671875" bestFit="1" customWidth="1"/>
  </cols>
  <sheetData>
    <row r="1" spans="1:13" s="5" customFormat="1" x14ac:dyDescent="0.3">
      <c r="A1" s="6" t="s">
        <v>0</v>
      </c>
      <c r="B1" s="6" t="s">
        <v>1</v>
      </c>
      <c r="C1" s="6" t="s">
        <v>2</v>
      </c>
      <c r="D1" s="6" t="s">
        <v>3</v>
      </c>
      <c r="E1" s="6" t="s">
        <v>4</v>
      </c>
      <c r="F1" s="6" t="s">
        <v>5</v>
      </c>
      <c r="G1" s="6" t="s">
        <v>6</v>
      </c>
      <c r="H1" s="6" t="s">
        <v>7</v>
      </c>
      <c r="I1" s="27" t="s">
        <v>8</v>
      </c>
      <c r="J1" s="6" t="s">
        <v>9</v>
      </c>
      <c r="K1" s="6" t="s">
        <v>10</v>
      </c>
      <c r="L1" s="6" t="s">
        <v>11</v>
      </c>
      <c r="M1" s="6" t="s">
        <v>12</v>
      </c>
    </row>
    <row r="2" spans="1:13" ht="187.2" x14ac:dyDescent="0.3">
      <c r="A2" s="22" t="s">
        <v>20</v>
      </c>
      <c r="B2" s="22" t="s">
        <v>21</v>
      </c>
      <c r="C2" s="26" t="s">
        <v>22</v>
      </c>
      <c r="D2" s="24" t="s">
        <v>8560</v>
      </c>
      <c r="E2" s="22"/>
      <c r="F2" s="22"/>
      <c r="G2" s="22"/>
      <c r="H2" s="22"/>
      <c r="I2" s="25" t="s">
        <v>23</v>
      </c>
      <c r="J2" s="22"/>
      <c r="K2" s="22" t="s">
        <v>24</v>
      </c>
      <c r="L2" s="22" t="s">
        <v>25</v>
      </c>
      <c r="M2" s="22" t="str">
        <f>HYPERLINK("https://ceds.ed.gov/cedselementdetails.aspx?termid=21000")</f>
        <v>https://ceds.ed.gov/cedselementdetails.aspx?termid=21000</v>
      </c>
    </row>
    <row r="3" spans="1:13" ht="259.2" x14ac:dyDescent="0.3">
      <c r="A3" s="22" t="s">
        <v>26</v>
      </c>
      <c r="B3" s="22" t="s">
        <v>7940</v>
      </c>
      <c r="C3" s="26" t="s">
        <v>8561</v>
      </c>
      <c r="D3" s="22" t="s">
        <v>27</v>
      </c>
      <c r="E3" s="22"/>
      <c r="F3" s="22"/>
      <c r="G3" s="22"/>
      <c r="H3" s="22"/>
      <c r="I3" s="25" t="s">
        <v>28</v>
      </c>
      <c r="J3" s="22"/>
      <c r="K3" s="22" t="s">
        <v>29</v>
      </c>
      <c r="L3" s="22"/>
      <c r="M3" s="22" t="str">
        <f>HYPERLINK("https://ceds.ed.gov/cedselementdetails.aspx?termid=21592")</f>
        <v>https://ceds.ed.gov/cedselementdetails.aspx?termid=21592</v>
      </c>
    </row>
    <row r="4" spans="1:13" ht="158.4" x14ac:dyDescent="0.3">
      <c r="A4" s="22" t="s">
        <v>30</v>
      </c>
      <c r="B4" s="22" t="s">
        <v>31</v>
      </c>
      <c r="C4" s="23" t="s">
        <v>32</v>
      </c>
      <c r="D4" s="24" t="s">
        <v>33</v>
      </c>
      <c r="E4" s="22"/>
      <c r="F4" s="22" t="s">
        <v>34</v>
      </c>
      <c r="G4" s="22"/>
      <c r="H4" s="22"/>
      <c r="I4" s="25" t="s">
        <v>35</v>
      </c>
      <c r="J4" s="22"/>
      <c r="K4" s="22" t="s">
        <v>36</v>
      </c>
      <c r="L4" s="24" t="s">
        <v>37</v>
      </c>
      <c r="M4" s="22" t="str">
        <f>HYPERLINK("https://ceds.ed.gov/cedselementdetails.aspx?termid=21001")</f>
        <v>https://ceds.ed.gov/cedselementdetails.aspx?termid=21001</v>
      </c>
    </row>
    <row r="5" spans="1:13" ht="244.8" x14ac:dyDescent="0.3">
      <c r="A5" s="22" t="s">
        <v>38</v>
      </c>
      <c r="B5" s="22" t="s">
        <v>7941</v>
      </c>
      <c r="C5" s="26" t="s">
        <v>8562</v>
      </c>
      <c r="D5" s="24" t="s">
        <v>33</v>
      </c>
      <c r="E5" s="22"/>
      <c r="F5" s="22"/>
      <c r="G5" s="22"/>
      <c r="H5" s="22"/>
      <c r="I5" s="25" t="s">
        <v>40</v>
      </c>
      <c r="J5" s="22"/>
      <c r="K5" s="22" t="s">
        <v>41</v>
      </c>
      <c r="L5" s="24" t="s">
        <v>42</v>
      </c>
      <c r="M5" s="22" t="str">
        <f>HYPERLINK("https://ceds.ed.gov/cedselementdetails.aspx?termid=21002")</f>
        <v>https://ceds.ed.gov/cedselementdetails.aspx?termid=21002</v>
      </c>
    </row>
    <row r="6" spans="1:13" ht="86.4" x14ac:dyDescent="0.3">
      <c r="A6" s="22" t="s">
        <v>43</v>
      </c>
      <c r="B6" s="22" t="s">
        <v>44</v>
      </c>
      <c r="C6" s="26" t="s">
        <v>8563</v>
      </c>
      <c r="D6" s="24" t="s">
        <v>45</v>
      </c>
      <c r="E6" s="22"/>
      <c r="F6" s="22"/>
      <c r="G6" s="22"/>
      <c r="H6" s="22"/>
      <c r="I6" s="25" t="s">
        <v>46</v>
      </c>
      <c r="J6" s="22"/>
      <c r="K6" s="22" t="s">
        <v>47</v>
      </c>
      <c r="L6" s="22"/>
      <c r="M6" s="22" t="str">
        <f>HYPERLINK("https://ceds.ed.gov/cedselementdetails.aspx?termid=22647")</f>
        <v>https://ceds.ed.gov/cedselementdetails.aspx?termid=22647</v>
      </c>
    </row>
    <row r="7" spans="1:13" ht="43.2" x14ac:dyDescent="0.3">
      <c r="A7" s="22" t="s">
        <v>48</v>
      </c>
      <c r="B7" s="22" t="s">
        <v>49</v>
      </c>
      <c r="C7" s="23" t="s">
        <v>32</v>
      </c>
      <c r="D7" s="24" t="s">
        <v>45</v>
      </c>
      <c r="E7" s="22"/>
      <c r="F7" s="22" t="s">
        <v>50</v>
      </c>
      <c r="G7" s="22"/>
      <c r="H7" s="22"/>
      <c r="I7" s="25" t="s">
        <v>51</v>
      </c>
      <c r="J7" s="22"/>
      <c r="K7" s="22" t="s">
        <v>52</v>
      </c>
      <c r="L7" s="22"/>
      <c r="M7" s="22" t="str">
        <f>HYPERLINK("https://ceds.ed.gov/cedselementdetails.aspx?termid=22646")</f>
        <v>https://ceds.ed.gov/cedselementdetails.aspx?termid=22646</v>
      </c>
    </row>
    <row r="8" spans="1:13" ht="158.4" x14ac:dyDescent="0.3">
      <c r="A8" s="22" t="s">
        <v>53</v>
      </c>
      <c r="B8" s="22" t="s">
        <v>54</v>
      </c>
      <c r="C8" s="23" t="s">
        <v>32</v>
      </c>
      <c r="D8" s="24" t="s">
        <v>33</v>
      </c>
      <c r="E8" s="22"/>
      <c r="F8" s="22" t="s">
        <v>55</v>
      </c>
      <c r="G8" s="22"/>
      <c r="H8" s="22"/>
      <c r="I8" s="25" t="s">
        <v>56</v>
      </c>
      <c r="J8" s="22"/>
      <c r="K8" s="22" t="s">
        <v>57</v>
      </c>
      <c r="L8" s="22" t="s">
        <v>58</v>
      </c>
      <c r="M8" s="22" t="str">
        <f>HYPERLINK("https://ceds.ed.gov/cedselementdetails.aspx?termid=21003")</f>
        <v>https://ceds.ed.gov/cedselementdetails.aspx?termid=21003</v>
      </c>
    </row>
    <row r="9" spans="1:13" ht="316.8" x14ac:dyDescent="0.3">
      <c r="A9" s="22" t="s">
        <v>59</v>
      </c>
      <c r="B9" s="22" t="s">
        <v>60</v>
      </c>
      <c r="C9" s="26" t="s">
        <v>8564</v>
      </c>
      <c r="D9" s="22" t="s">
        <v>61</v>
      </c>
      <c r="E9" s="22"/>
      <c r="F9" s="22"/>
      <c r="G9" s="22"/>
      <c r="H9" s="22"/>
      <c r="I9" s="25" t="s">
        <v>62</v>
      </c>
      <c r="J9" s="22"/>
      <c r="K9" s="22" t="s">
        <v>63</v>
      </c>
      <c r="L9" s="24" t="s">
        <v>64</v>
      </c>
      <c r="M9" s="22" t="str">
        <f>HYPERLINK("https://ceds.ed.gov/cedselementdetails.aspx?termid=21004")</f>
        <v>https://ceds.ed.gov/cedselementdetails.aspx?termid=21004</v>
      </c>
    </row>
    <row r="10" spans="1:13" ht="100.8" x14ac:dyDescent="0.3">
      <c r="A10" s="22" t="s">
        <v>65</v>
      </c>
      <c r="B10" s="22" t="s">
        <v>7942</v>
      </c>
      <c r="C10" s="26" t="s">
        <v>8565</v>
      </c>
      <c r="D10" s="22" t="s">
        <v>66</v>
      </c>
      <c r="E10" s="22"/>
      <c r="F10" s="22"/>
      <c r="G10" s="22"/>
      <c r="H10" s="22" t="s">
        <v>7943</v>
      </c>
      <c r="I10" s="25" t="s">
        <v>67</v>
      </c>
      <c r="J10" s="22"/>
      <c r="K10" s="22" t="s">
        <v>68</v>
      </c>
      <c r="L10" s="22" t="s">
        <v>69</v>
      </c>
      <c r="M10" s="22" t="str">
        <f>HYPERLINK("https://ceds.ed.gov/cedselementdetails.aspx?termid=21717")</f>
        <v>https://ceds.ed.gov/cedselementdetails.aspx?termid=21717</v>
      </c>
    </row>
    <row r="11" spans="1:13" ht="144" x14ac:dyDescent="0.3">
      <c r="A11" s="22" t="s">
        <v>70</v>
      </c>
      <c r="B11" s="22" t="s">
        <v>71</v>
      </c>
      <c r="C11" s="26" t="s">
        <v>8566</v>
      </c>
      <c r="D11" s="24" t="s">
        <v>72</v>
      </c>
      <c r="E11" s="22"/>
      <c r="F11" s="22"/>
      <c r="G11" s="22"/>
      <c r="H11" s="22" t="s">
        <v>73</v>
      </c>
      <c r="I11" s="25" t="s">
        <v>74</v>
      </c>
      <c r="J11" s="22"/>
      <c r="K11" s="22" t="s">
        <v>75</v>
      </c>
      <c r="L11" s="24" t="s">
        <v>76</v>
      </c>
      <c r="M11" s="22" t="str">
        <f>HYPERLINK("https://ceds.ed.gov/cedselementdetails.aspx?termid=21703")</f>
        <v>https://ceds.ed.gov/cedselementdetails.aspx?termid=21703</v>
      </c>
    </row>
    <row r="12" spans="1:13" ht="57.6" x14ac:dyDescent="0.3">
      <c r="A12" s="22" t="s">
        <v>77</v>
      </c>
      <c r="B12" s="22" t="s">
        <v>78</v>
      </c>
      <c r="C12" s="23" t="s">
        <v>32</v>
      </c>
      <c r="D12" s="24" t="s">
        <v>72</v>
      </c>
      <c r="E12" s="22"/>
      <c r="F12" s="22" t="s">
        <v>79</v>
      </c>
      <c r="G12" s="22"/>
      <c r="H12" s="22"/>
      <c r="I12" s="25" t="s">
        <v>80</v>
      </c>
      <c r="J12" s="22"/>
      <c r="K12" s="22" t="s">
        <v>81</v>
      </c>
      <c r="L12" s="24" t="s">
        <v>76</v>
      </c>
      <c r="M12" s="22" t="str">
        <f>HYPERLINK("https://ceds.ed.gov/cedselementdetails.aspx?termid=21702")</f>
        <v>https://ceds.ed.gov/cedselementdetails.aspx?termid=21702</v>
      </c>
    </row>
    <row r="13" spans="1:13" ht="100.8" x14ac:dyDescent="0.3">
      <c r="A13" s="22" t="s">
        <v>82</v>
      </c>
      <c r="B13" s="22" t="s">
        <v>83</v>
      </c>
      <c r="C13" s="23" t="s">
        <v>32</v>
      </c>
      <c r="D13" s="24" t="s">
        <v>84</v>
      </c>
      <c r="E13" s="22"/>
      <c r="F13" s="22" t="s">
        <v>85</v>
      </c>
      <c r="G13" s="22"/>
      <c r="H13" s="22"/>
      <c r="I13" s="25" t="s">
        <v>86</v>
      </c>
      <c r="J13" s="22"/>
      <c r="K13" s="22" t="s">
        <v>87</v>
      </c>
      <c r="L13" s="22"/>
      <c r="M13" s="22" t="str">
        <f>HYPERLINK("https://ceds.ed.gov/cedselementdetails.aspx?termid=22116")</f>
        <v>https://ceds.ed.gov/cedselementdetails.aspx?termid=22116</v>
      </c>
    </row>
    <row r="14" spans="1:13" ht="409.6" x14ac:dyDescent="0.3">
      <c r="A14" s="22" t="s">
        <v>88</v>
      </c>
      <c r="B14" s="22" t="s">
        <v>89</v>
      </c>
      <c r="C14" s="26" t="s">
        <v>8567</v>
      </c>
      <c r="D14" s="24" t="s">
        <v>90</v>
      </c>
      <c r="E14" s="22"/>
      <c r="F14" s="22"/>
      <c r="G14" s="22"/>
      <c r="H14" s="22"/>
      <c r="I14" s="25" t="s">
        <v>91</v>
      </c>
      <c r="J14" s="22"/>
      <c r="K14" s="22" t="s">
        <v>92</v>
      </c>
      <c r="L14" s="24" t="s">
        <v>93</v>
      </c>
      <c r="M14" s="22" t="str">
        <f>HYPERLINK("https://ceds.ed.gov/cedselementdetails.aspx?termid=21376")</f>
        <v>https://ceds.ed.gov/cedselementdetails.aspx?termid=21376</v>
      </c>
    </row>
    <row r="15" spans="1:13" ht="360" x14ac:dyDescent="0.3">
      <c r="A15" s="22" t="s">
        <v>94</v>
      </c>
      <c r="B15" s="22" t="s">
        <v>95</v>
      </c>
      <c r="C15" s="26" t="s">
        <v>8568</v>
      </c>
      <c r="D15" s="22" t="s">
        <v>96</v>
      </c>
      <c r="E15" s="22"/>
      <c r="F15" s="22"/>
      <c r="G15" s="22"/>
      <c r="H15" s="22"/>
      <c r="I15" s="25" t="s">
        <v>97</v>
      </c>
      <c r="J15" s="22"/>
      <c r="K15" s="22" t="s">
        <v>98</v>
      </c>
      <c r="L15" s="22"/>
      <c r="M15" s="22" t="str">
        <f>HYPERLINK("https://ceds.ed.gov/cedselementdetails.aspx?termid=22243")</f>
        <v>https://ceds.ed.gov/cedselementdetails.aspx?termid=22243</v>
      </c>
    </row>
    <row r="16" spans="1:13" x14ac:dyDescent="0.3">
      <c r="A16" s="22" t="s">
        <v>99</v>
      </c>
      <c r="B16" s="22" t="s">
        <v>100</v>
      </c>
      <c r="C16" s="23" t="s">
        <v>32</v>
      </c>
      <c r="D16" s="22" t="s">
        <v>101</v>
      </c>
      <c r="E16" s="22"/>
      <c r="F16" s="22" t="s">
        <v>55</v>
      </c>
      <c r="G16" s="22"/>
      <c r="H16" s="22"/>
      <c r="I16" s="25" t="s">
        <v>102</v>
      </c>
      <c r="J16" s="22"/>
      <c r="K16" s="22" t="s">
        <v>103</v>
      </c>
      <c r="L16" s="22"/>
      <c r="M16" s="22" t="str">
        <f>HYPERLINK("https://ceds.ed.gov/cedselementdetails.aspx?termid=21005")</f>
        <v>https://ceds.ed.gov/cedselementdetails.aspx?termid=21005</v>
      </c>
    </row>
    <row r="17" spans="1:13" ht="187.2" x14ac:dyDescent="0.3">
      <c r="A17" s="22" t="s">
        <v>104</v>
      </c>
      <c r="B17" s="22" t="s">
        <v>105</v>
      </c>
      <c r="C17" s="26" t="s">
        <v>8569</v>
      </c>
      <c r="D17" s="22" t="s">
        <v>7944</v>
      </c>
      <c r="E17" s="22"/>
      <c r="F17" s="22"/>
      <c r="G17" s="22"/>
      <c r="H17" s="22" t="s">
        <v>106</v>
      </c>
      <c r="I17" s="25" t="s">
        <v>107</v>
      </c>
      <c r="J17" s="22"/>
      <c r="K17" s="22" t="s">
        <v>108</v>
      </c>
      <c r="L17" s="22" t="s">
        <v>109</v>
      </c>
      <c r="M17" s="22" t="str">
        <f>HYPERLINK("https://ceds.ed.gov/cedselementdetails.aspx?termid=21983")</f>
        <v>https://ceds.ed.gov/cedselementdetails.aspx?termid=21983</v>
      </c>
    </row>
    <row r="18" spans="1:13" ht="43.2" x14ac:dyDescent="0.3">
      <c r="A18" s="22" t="s">
        <v>110</v>
      </c>
      <c r="B18" s="22" t="s">
        <v>111</v>
      </c>
      <c r="C18" s="23" t="s">
        <v>32</v>
      </c>
      <c r="D18" s="24" t="s">
        <v>8570</v>
      </c>
      <c r="E18" s="22"/>
      <c r="F18" s="22" t="s">
        <v>113</v>
      </c>
      <c r="G18" s="22"/>
      <c r="H18" s="22"/>
      <c r="I18" s="25" t="s">
        <v>114</v>
      </c>
      <c r="J18" s="22"/>
      <c r="K18" s="22" t="s">
        <v>115</v>
      </c>
      <c r="L18" s="22"/>
      <c r="M18" s="22" t="str">
        <f>HYPERLINK("https://ceds.ed.gov/cedselementdetails.aspx?termid=22500")</f>
        <v>https://ceds.ed.gov/cedselementdetails.aspx?termid=22500</v>
      </c>
    </row>
    <row r="19" spans="1:13" ht="100.8" x14ac:dyDescent="0.3">
      <c r="A19" s="22" t="s">
        <v>116</v>
      </c>
      <c r="B19" s="22" t="s">
        <v>117</v>
      </c>
      <c r="C19" s="23" t="s">
        <v>32</v>
      </c>
      <c r="D19" s="24" t="s">
        <v>8571</v>
      </c>
      <c r="E19" s="22"/>
      <c r="F19" s="22" t="s">
        <v>118</v>
      </c>
      <c r="G19" s="22"/>
      <c r="H19" s="22"/>
      <c r="I19" s="25" t="s">
        <v>119</v>
      </c>
      <c r="J19" s="22"/>
      <c r="K19" s="22" t="s">
        <v>120</v>
      </c>
      <c r="L19" s="22" t="s">
        <v>109</v>
      </c>
      <c r="M19" s="22" t="str">
        <f>HYPERLINK("https://ceds.ed.gov/cedselementdetails.aspx?termid=21840")</f>
        <v>https://ceds.ed.gov/cedselementdetails.aspx?termid=21840</v>
      </c>
    </row>
    <row r="20" spans="1:13" ht="100.8" x14ac:dyDescent="0.3">
      <c r="A20" s="22" t="s">
        <v>121</v>
      </c>
      <c r="B20" s="22" t="s">
        <v>122</v>
      </c>
      <c r="C20" s="23" t="s">
        <v>32</v>
      </c>
      <c r="D20" s="24" t="s">
        <v>8571</v>
      </c>
      <c r="E20" s="22"/>
      <c r="F20" s="22" t="s">
        <v>118</v>
      </c>
      <c r="G20" s="22"/>
      <c r="H20" s="22"/>
      <c r="I20" s="25" t="s">
        <v>123</v>
      </c>
      <c r="J20" s="22"/>
      <c r="K20" s="22" t="s">
        <v>124</v>
      </c>
      <c r="L20" s="22" t="s">
        <v>109</v>
      </c>
      <c r="M20" s="22" t="str">
        <f>HYPERLINK("https://ceds.ed.gov/cedselementdetails.aspx?termid=21841")</f>
        <v>https://ceds.ed.gov/cedselementdetails.aspx?termid=21841</v>
      </c>
    </row>
    <row r="21" spans="1:13" ht="72" x14ac:dyDescent="0.3">
      <c r="A21" s="22" t="s">
        <v>125</v>
      </c>
      <c r="B21" s="22" t="s">
        <v>126</v>
      </c>
      <c r="C21" s="23" t="s">
        <v>32</v>
      </c>
      <c r="D21" s="24" t="s">
        <v>127</v>
      </c>
      <c r="E21" s="22"/>
      <c r="F21" s="22" t="s">
        <v>113</v>
      </c>
      <c r="G21" s="22"/>
      <c r="H21" s="22"/>
      <c r="I21" s="25" t="s">
        <v>128</v>
      </c>
      <c r="J21" s="22"/>
      <c r="K21" s="22" t="s">
        <v>129</v>
      </c>
      <c r="L21" s="22"/>
      <c r="M21" s="22" t="str">
        <f>HYPERLINK("https://ceds.ed.gov/cedselementdetails.aspx?termid=22505")</f>
        <v>https://ceds.ed.gov/cedselementdetails.aspx?termid=22505</v>
      </c>
    </row>
    <row r="22" spans="1:13" ht="72" x14ac:dyDescent="0.3">
      <c r="A22" s="22" t="s">
        <v>130</v>
      </c>
      <c r="B22" s="22" t="s">
        <v>131</v>
      </c>
      <c r="C22" s="23" t="s">
        <v>32</v>
      </c>
      <c r="D22" s="24" t="s">
        <v>127</v>
      </c>
      <c r="E22" s="22"/>
      <c r="F22" s="22" t="s">
        <v>132</v>
      </c>
      <c r="G22" s="22"/>
      <c r="H22" s="22" t="s">
        <v>7945</v>
      </c>
      <c r="I22" s="25" t="s">
        <v>134</v>
      </c>
      <c r="J22" s="22"/>
      <c r="K22" s="22" t="s">
        <v>135</v>
      </c>
      <c r="L22" s="24" t="s">
        <v>64</v>
      </c>
      <c r="M22" s="22" t="str">
        <f>HYPERLINK("https://ceds.ed.gov/cedselementdetails.aspx?termid=21006")</f>
        <v>https://ceds.ed.gov/cedselementdetails.aspx?termid=21006</v>
      </c>
    </row>
    <row r="23" spans="1:13" ht="72" x14ac:dyDescent="0.3">
      <c r="A23" s="22" t="s">
        <v>137</v>
      </c>
      <c r="B23" s="22" t="s">
        <v>138</v>
      </c>
      <c r="C23" s="23" t="s">
        <v>32</v>
      </c>
      <c r="D23" s="24" t="s">
        <v>127</v>
      </c>
      <c r="E23" s="22"/>
      <c r="F23" s="22" t="s">
        <v>118</v>
      </c>
      <c r="G23" s="22"/>
      <c r="H23" s="22"/>
      <c r="I23" s="25" t="s">
        <v>139</v>
      </c>
      <c r="J23" s="22"/>
      <c r="K23" s="22" t="s">
        <v>140</v>
      </c>
      <c r="L23" s="24" t="s">
        <v>64</v>
      </c>
      <c r="M23" s="22" t="str">
        <f>HYPERLINK("https://ceds.ed.gov/cedselementdetails.aspx?termid=21007")</f>
        <v>https://ceds.ed.gov/cedselementdetails.aspx?termid=21007</v>
      </c>
    </row>
    <row r="24" spans="1:13" ht="72" x14ac:dyDescent="0.3">
      <c r="A24" s="22" t="s">
        <v>141</v>
      </c>
      <c r="B24" s="22" t="s">
        <v>142</v>
      </c>
      <c r="C24" s="23" t="s">
        <v>32</v>
      </c>
      <c r="D24" s="24" t="s">
        <v>127</v>
      </c>
      <c r="E24" s="22"/>
      <c r="F24" s="22" t="s">
        <v>118</v>
      </c>
      <c r="G24" s="22"/>
      <c r="H24" s="22" t="s">
        <v>143</v>
      </c>
      <c r="I24" s="25" t="s">
        <v>144</v>
      </c>
      <c r="J24" s="22"/>
      <c r="K24" s="22" t="s">
        <v>145</v>
      </c>
      <c r="L24" s="24" t="s">
        <v>64</v>
      </c>
      <c r="M24" s="22" t="str">
        <f>HYPERLINK("https://ceds.ed.gov/cedselementdetails.aspx?termid=21008")</f>
        <v>https://ceds.ed.gov/cedselementdetails.aspx?termid=21008</v>
      </c>
    </row>
    <row r="25" spans="1:13" ht="72" x14ac:dyDescent="0.3">
      <c r="A25" s="22" t="s">
        <v>146</v>
      </c>
      <c r="B25" s="22" t="s">
        <v>147</v>
      </c>
      <c r="C25" s="23" t="s">
        <v>32</v>
      </c>
      <c r="D25" s="24" t="s">
        <v>127</v>
      </c>
      <c r="E25" s="22"/>
      <c r="F25" s="22" t="s">
        <v>148</v>
      </c>
      <c r="G25" s="22"/>
      <c r="H25" s="22"/>
      <c r="I25" s="25" t="s">
        <v>149</v>
      </c>
      <c r="J25" s="22"/>
      <c r="K25" s="22" t="s">
        <v>150</v>
      </c>
      <c r="L25" s="22"/>
      <c r="M25" s="22" t="str">
        <f>HYPERLINK("https://ceds.ed.gov/cedselementdetails.aspx?termid=22502")</f>
        <v>https://ceds.ed.gov/cedselementdetails.aspx?termid=22502</v>
      </c>
    </row>
    <row r="26" spans="1:13" ht="72" x14ac:dyDescent="0.3">
      <c r="A26" s="22" t="s">
        <v>151</v>
      </c>
      <c r="B26" s="22" t="s">
        <v>152</v>
      </c>
      <c r="C26" s="26" t="s">
        <v>8572</v>
      </c>
      <c r="D26" s="24" t="s">
        <v>127</v>
      </c>
      <c r="E26" s="22"/>
      <c r="F26" s="22"/>
      <c r="G26" s="22"/>
      <c r="H26" s="22"/>
      <c r="I26" s="25" t="s">
        <v>153</v>
      </c>
      <c r="J26" s="22"/>
      <c r="K26" s="22" t="s">
        <v>154</v>
      </c>
      <c r="L26" s="22"/>
      <c r="M26" s="22" t="str">
        <f>HYPERLINK("https://ceds.ed.gov/cedselementdetails.aspx?termid=22503")</f>
        <v>https://ceds.ed.gov/cedselementdetails.aspx?termid=22503</v>
      </c>
    </row>
    <row r="27" spans="1:13" ht="72" x14ac:dyDescent="0.3">
      <c r="A27" s="22" t="s">
        <v>155</v>
      </c>
      <c r="B27" s="22" t="s">
        <v>156</v>
      </c>
      <c r="C27" s="23" t="s">
        <v>32</v>
      </c>
      <c r="D27" s="24" t="s">
        <v>127</v>
      </c>
      <c r="E27" s="22"/>
      <c r="F27" s="22" t="s">
        <v>157</v>
      </c>
      <c r="G27" s="22"/>
      <c r="H27" s="22"/>
      <c r="I27" s="25" t="s">
        <v>158</v>
      </c>
      <c r="J27" s="22"/>
      <c r="K27" s="22" t="s">
        <v>159</v>
      </c>
      <c r="L27" s="24" t="s">
        <v>64</v>
      </c>
      <c r="M27" s="22" t="str">
        <f>HYPERLINK("https://ceds.ed.gov/cedselementdetails.aspx?termid=21009")</f>
        <v>https://ceds.ed.gov/cedselementdetails.aspx?termid=21009</v>
      </c>
    </row>
    <row r="28" spans="1:13" ht="216" x14ac:dyDescent="0.3">
      <c r="A28" s="22" t="s">
        <v>160</v>
      </c>
      <c r="B28" s="22" t="s">
        <v>161</v>
      </c>
      <c r="C28" s="26" t="s">
        <v>8573</v>
      </c>
      <c r="D28" s="24" t="s">
        <v>162</v>
      </c>
      <c r="E28" s="22"/>
      <c r="F28" s="22"/>
      <c r="G28" s="22"/>
      <c r="H28" s="22"/>
      <c r="I28" s="25" t="s">
        <v>163</v>
      </c>
      <c r="J28" s="22"/>
      <c r="K28" s="22" t="s">
        <v>164</v>
      </c>
      <c r="L28" s="22"/>
      <c r="M28" s="22" t="str">
        <f>HYPERLINK("https://ceds.ed.gov/cedselementdetails.aspx?termid=21589")</f>
        <v>https://ceds.ed.gov/cedselementdetails.aspx?termid=21589</v>
      </c>
    </row>
    <row r="29" spans="1:13" ht="72" x14ac:dyDescent="0.3">
      <c r="A29" s="22" t="s">
        <v>165</v>
      </c>
      <c r="B29" s="22" t="s">
        <v>166</v>
      </c>
      <c r="C29" s="26" t="s">
        <v>8574</v>
      </c>
      <c r="D29" s="22" t="s">
        <v>2517</v>
      </c>
      <c r="E29" s="22"/>
      <c r="F29" s="22"/>
      <c r="G29" s="22"/>
      <c r="H29" s="22"/>
      <c r="I29" s="25" t="s">
        <v>168</v>
      </c>
      <c r="J29" s="22"/>
      <c r="K29" s="22" t="s">
        <v>169</v>
      </c>
      <c r="L29" s="22"/>
      <c r="M29" s="22" t="str">
        <f>HYPERLINK("https://ceds.ed.gov/cedselementdetails.aspx?termid=22902")</f>
        <v>https://ceds.ed.gov/cedselementdetails.aspx?termid=22902</v>
      </c>
    </row>
    <row r="30" spans="1:13" ht="409.6" x14ac:dyDescent="0.3">
      <c r="A30" s="22" t="s">
        <v>170</v>
      </c>
      <c r="B30" s="22" t="s">
        <v>171</v>
      </c>
      <c r="C30" s="23" t="s">
        <v>32</v>
      </c>
      <c r="D30" s="24" t="s">
        <v>8392</v>
      </c>
      <c r="E30" s="22" t="s">
        <v>172</v>
      </c>
      <c r="F30" s="22" t="s">
        <v>157</v>
      </c>
      <c r="G30" s="22" t="s">
        <v>7946</v>
      </c>
      <c r="H30" s="22"/>
      <c r="I30" s="25" t="s">
        <v>173</v>
      </c>
      <c r="J30" s="22"/>
      <c r="K30" s="22" t="s">
        <v>174</v>
      </c>
      <c r="L30" s="24" t="s">
        <v>175</v>
      </c>
      <c r="M30" s="22" t="str">
        <f>HYPERLINK("https://ceds.ed.gov/cedselementdetails.aspx?termid=21019")</f>
        <v>https://ceds.ed.gov/cedselementdetails.aspx?termid=21019</v>
      </c>
    </row>
    <row r="31" spans="1:13" ht="409.6" x14ac:dyDescent="0.3">
      <c r="A31" s="22" t="s">
        <v>176</v>
      </c>
      <c r="B31" s="22" t="s">
        <v>177</v>
      </c>
      <c r="C31" s="23" t="s">
        <v>32</v>
      </c>
      <c r="D31" s="24" t="s">
        <v>8392</v>
      </c>
      <c r="E31" s="22" t="s">
        <v>172</v>
      </c>
      <c r="F31" s="22" t="s">
        <v>85</v>
      </c>
      <c r="G31" s="22" t="s">
        <v>7946</v>
      </c>
      <c r="H31" s="22"/>
      <c r="I31" s="25" t="s">
        <v>178</v>
      </c>
      <c r="J31" s="22"/>
      <c r="K31" s="22" t="s">
        <v>179</v>
      </c>
      <c r="L31" s="24" t="s">
        <v>175</v>
      </c>
      <c r="M31" s="22" t="str">
        <f>HYPERLINK("https://ceds.ed.gov/cedselementdetails.aspx?termid=21040")</f>
        <v>https://ceds.ed.gov/cedselementdetails.aspx?termid=21040</v>
      </c>
    </row>
    <row r="32" spans="1:13" ht="409.6" x14ac:dyDescent="0.3">
      <c r="A32" s="22" t="s">
        <v>180</v>
      </c>
      <c r="B32" s="22" t="s">
        <v>181</v>
      </c>
      <c r="C32" s="23" t="s">
        <v>32</v>
      </c>
      <c r="D32" s="24" t="s">
        <v>8393</v>
      </c>
      <c r="E32" s="22" t="s">
        <v>172</v>
      </c>
      <c r="F32" s="22" t="s">
        <v>85</v>
      </c>
      <c r="G32" s="22" t="s">
        <v>7946</v>
      </c>
      <c r="H32" s="22"/>
      <c r="I32" s="25" t="s">
        <v>182</v>
      </c>
      <c r="J32" s="22"/>
      <c r="K32" s="22" t="s">
        <v>183</v>
      </c>
      <c r="L32" s="24" t="s">
        <v>175</v>
      </c>
      <c r="M32" s="22" t="str">
        <f>HYPERLINK("https://ceds.ed.gov/cedselementdetails.aspx?termid=21190")</f>
        <v>https://ceds.ed.gov/cedselementdetails.aspx?termid=21190</v>
      </c>
    </row>
    <row r="33" spans="1:13" ht="409.6" x14ac:dyDescent="0.3">
      <c r="A33" s="22" t="s">
        <v>184</v>
      </c>
      <c r="B33" s="22" t="s">
        <v>185</v>
      </c>
      <c r="C33" s="23" t="s">
        <v>32</v>
      </c>
      <c r="D33" s="24" t="s">
        <v>8392</v>
      </c>
      <c r="E33" s="22" t="s">
        <v>172</v>
      </c>
      <c r="F33" s="22" t="s">
        <v>186</v>
      </c>
      <c r="G33" s="22" t="s">
        <v>7946</v>
      </c>
      <c r="H33" s="22"/>
      <c r="I33" s="25" t="s">
        <v>187</v>
      </c>
      <c r="J33" s="22"/>
      <c r="K33" s="22" t="s">
        <v>188</v>
      </c>
      <c r="L33" s="24" t="s">
        <v>175</v>
      </c>
      <c r="M33" s="22" t="str">
        <f>HYPERLINK("https://ceds.ed.gov/cedselementdetails.aspx?termid=21214")</f>
        <v>https://ceds.ed.gov/cedselementdetails.aspx?termid=21214</v>
      </c>
    </row>
    <row r="34" spans="1:13" ht="409.6" x14ac:dyDescent="0.3">
      <c r="A34" s="22" t="s">
        <v>189</v>
      </c>
      <c r="B34" s="22" t="s">
        <v>190</v>
      </c>
      <c r="C34" s="23" t="s">
        <v>32</v>
      </c>
      <c r="D34" s="24" t="s">
        <v>8392</v>
      </c>
      <c r="E34" s="22" t="s">
        <v>172</v>
      </c>
      <c r="F34" s="22" t="s">
        <v>191</v>
      </c>
      <c r="G34" s="22" t="s">
        <v>7946</v>
      </c>
      <c r="H34" s="22"/>
      <c r="I34" s="25" t="s">
        <v>192</v>
      </c>
      <c r="J34" s="22"/>
      <c r="K34" s="22" t="s">
        <v>193</v>
      </c>
      <c r="L34" s="24" t="s">
        <v>175</v>
      </c>
      <c r="M34" s="22" t="str">
        <f>HYPERLINK("https://ceds.ed.gov/cedselementdetails.aspx?termid=21269")</f>
        <v>https://ceds.ed.gov/cedselementdetails.aspx?termid=21269</v>
      </c>
    </row>
    <row r="35" spans="1:13" ht="244.8" x14ac:dyDescent="0.3">
      <c r="A35" s="22" t="s">
        <v>194</v>
      </c>
      <c r="B35" s="22" t="s">
        <v>195</v>
      </c>
      <c r="C35" s="26" t="s">
        <v>8575</v>
      </c>
      <c r="D35" s="24" t="s">
        <v>8576</v>
      </c>
      <c r="E35" s="22"/>
      <c r="F35" s="22" t="s">
        <v>85</v>
      </c>
      <c r="G35" s="22"/>
      <c r="H35" s="22"/>
      <c r="I35" s="25" t="s">
        <v>196</v>
      </c>
      <c r="J35" s="22"/>
      <c r="K35" s="22" t="s">
        <v>197</v>
      </c>
      <c r="L35" s="24" t="s">
        <v>198</v>
      </c>
      <c r="M35" s="22" t="str">
        <f>HYPERLINK("https://ceds.ed.gov/cedselementdetails.aspx?termid=21358")</f>
        <v>https://ceds.ed.gov/cedselementdetails.aspx?termid=21358</v>
      </c>
    </row>
    <row r="36" spans="1:13" ht="360" x14ac:dyDescent="0.3">
      <c r="A36" s="22" t="s">
        <v>199</v>
      </c>
      <c r="B36" s="22" t="s">
        <v>200</v>
      </c>
      <c r="C36" s="26" t="s">
        <v>8394</v>
      </c>
      <c r="D36" s="24" t="s">
        <v>8395</v>
      </c>
      <c r="E36" s="22" t="s">
        <v>172</v>
      </c>
      <c r="F36" s="22" t="s">
        <v>85</v>
      </c>
      <c r="G36" s="22" t="s">
        <v>7946</v>
      </c>
      <c r="H36" s="22"/>
      <c r="I36" s="25" t="s">
        <v>201</v>
      </c>
      <c r="J36" s="22"/>
      <c r="K36" s="22" t="s">
        <v>202</v>
      </c>
      <c r="L36" s="24" t="s">
        <v>64</v>
      </c>
      <c r="M36" s="22" t="str">
        <f>HYPERLINK("https://ceds.ed.gov/cedselementdetails.aspx?termid=21644")</f>
        <v>https://ceds.ed.gov/cedselementdetails.aspx?termid=21644</v>
      </c>
    </row>
    <row r="37" spans="1:13" ht="216" x14ac:dyDescent="0.3">
      <c r="A37" s="22" t="s">
        <v>203</v>
      </c>
      <c r="B37" s="22" t="s">
        <v>204</v>
      </c>
      <c r="C37" s="26" t="s">
        <v>8577</v>
      </c>
      <c r="D37" s="24" t="s">
        <v>8578</v>
      </c>
      <c r="E37" s="22"/>
      <c r="F37" s="22" t="s">
        <v>85</v>
      </c>
      <c r="G37" s="22"/>
      <c r="H37" s="22"/>
      <c r="I37" s="25" t="s">
        <v>205</v>
      </c>
      <c r="J37" s="22"/>
      <c r="K37" s="22" t="s">
        <v>206</v>
      </c>
      <c r="L37" s="22" t="s">
        <v>207</v>
      </c>
      <c r="M37" s="22" t="str">
        <f>HYPERLINK("https://ceds.ed.gov/cedselementdetails.aspx?termid=21698")</f>
        <v>https://ceds.ed.gov/cedselementdetails.aspx?termid=21698</v>
      </c>
    </row>
    <row r="38" spans="1:13" ht="43.2" x14ac:dyDescent="0.3">
      <c r="A38" s="22" t="s">
        <v>208</v>
      </c>
      <c r="B38" s="22" t="s">
        <v>209</v>
      </c>
      <c r="C38" s="26" t="s">
        <v>22</v>
      </c>
      <c r="D38" s="24" t="s">
        <v>210</v>
      </c>
      <c r="E38" s="22"/>
      <c r="F38" s="22"/>
      <c r="G38" s="22"/>
      <c r="H38" s="22"/>
      <c r="I38" s="25" t="s">
        <v>211</v>
      </c>
      <c r="J38" s="22" t="s">
        <v>212</v>
      </c>
      <c r="K38" s="22" t="s">
        <v>213</v>
      </c>
      <c r="L38" s="22" t="s">
        <v>214</v>
      </c>
      <c r="M38" s="22" t="str">
        <f>HYPERLINK("https://ceds.ed.gov/cedselementdetails.aspx?termid=21433")</f>
        <v>https://ceds.ed.gov/cedselementdetails.aspx?termid=21433</v>
      </c>
    </row>
    <row r="39" spans="1:13" ht="43.2" x14ac:dyDescent="0.3">
      <c r="A39" s="22" t="s">
        <v>215</v>
      </c>
      <c r="B39" s="22" t="s">
        <v>216</v>
      </c>
      <c r="C39" s="23" t="s">
        <v>32</v>
      </c>
      <c r="D39" s="24" t="s">
        <v>210</v>
      </c>
      <c r="E39" s="22"/>
      <c r="F39" s="22" t="s">
        <v>118</v>
      </c>
      <c r="G39" s="22"/>
      <c r="H39" s="22"/>
      <c r="I39" s="25" t="s">
        <v>217</v>
      </c>
      <c r="J39" s="22" t="s">
        <v>218</v>
      </c>
      <c r="K39" s="22" t="s">
        <v>219</v>
      </c>
      <c r="L39" s="22" t="s">
        <v>214</v>
      </c>
      <c r="M39" s="22" t="str">
        <f>HYPERLINK("https://ceds.ed.gov/cedselementdetails.aspx?termid=21434")</f>
        <v>https://ceds.ed.gov/cedselementdetails.aspx?termid=21434</v>
      </c>
    </row>
    <row r="40" spans="1:13" ht="72" x14ac:dyDescent="0.3">
      <c r="A40" s="22" t="s">
        <v>220</v>
      </c>
      <c r="B40" s="22" t="s">
        <v>221</v>
      </c>
      <c r="C40" s="26" t="s">
        <v>8579</v>
      </c>
      <c r="D40" s="24" t="s">
        <v>222</v>
      </c>
      <c r="E40" s="22"/>
      <c r="F40" s="22"/>
      <c r="G40" s="22"/>
      <c r="H40" s="22"/>
      <c r="I40" s="25" t="s">
        <v>223</v>
      </c>
      <c r="J40" s="22" t="s">
        <v>224</v>
      </c>
      <c r="K40" s="22" t="s">
        <v>225</v>
      </c>
      <c r="L40" s="22" t="s">
        <v>226</v>
      </c>
      <c r="M40" s="22" t="str">
        <f>HYPERLINK("https://ceds.ed.gov/cedselementdetails.aspx?termid=21011")</f>
        <v>https://ceds.ed.gov/cedselementdetails.aspx?termid=21011</v>
      </c>
    </row>
    <row r="41" spans="1:13" ht="273.60000000000002" x14ac:dyDescent="0.3">
      <c r="A41" s="22" t="s">
        <v>7947</v>
      </c>
      <c r="B41" s="22" t="s">
        <v>7948</v>
      </c>
      <c r="C41" s="23" t="s">
        <v>32</v>
      </c>
      <c r="D41" s="24" t="s">
        <v>8384</v>
      </c>
      <c r="E41" s="22" t="s">
        <v>167</v>
      </c>
      <c r="F41" s="22" t="s">
        <v>148</v>
      </c>
      <c r="G41" s="22" t="s">
        <v>7949</v>
      </c>
      <c r="H41" s="22"/>
      <c r="I41" s="25" t="s">
        <v>8351</v>
      </c>
      <c r="J41" s="22"/>
      <c r="K41" s="22" t="s">
        <v>7950</v>
      </c>
      <c r="L41" s="22"/>
      <c r="M41" s="22" t="str">
        <f>HYPERLINK("https://ceds.ed.gov/cedselementdetails.aspx?termid=22972")</f>
        <v>https://ceds.ed.gov/cedselementdetails.aspx?termid=22972</v>
      </c>
    </row>
    <row r="42" spans="1:13" ht="273.60000000000002" x14ac:dyDescent="0.3">
      <c r="A42" s="22" t="s">
        <v>7951</v>
      </c>
      <c r="B42" s="22" t="s">
        <v>7952</v>
      </c>
      <c r="C42" s="26" t="s">
        <v>8376</v>
      </c>
      <c r="D42" s="24" t="s">
        <v>8384</v>
      </c>
      <c r="E42" s="22" t="s">
        <v>167</v>
      </c>
      <c r="F42" s="22" t="s">
        <v>2</v>
      </c>
      <c r="G42" s="22" t="s">
        <v>7949</v>
      </c>
      <c r="H42" s="22"/>
      <c r="I42" s="25" t="s">
        <v>8352</v>
      </c>
      <c r="J42" s="22"/>
      <c r="K42" s="22" t="s">
        <v>7953</v>
      </c>
      <c r="L42" s="22"/>
      <c r="M42" s="22" t="str">
        <f>HYPERLINK("https://ceds.ed.gov/cedselementdetails.aspx?termid=22973")</f>
        <v>https://ceds.ed.gov/cedselementdetails.aspx?termid=22973</v>
      </c>
    </row>
    <row r="43" spans="1:13" ht="100.8" x14ac:dyDescent="0.3">
      <c r="A43" s="22" t="s">
        <v>227</v>
      </c>
      <c r="B43" s="22" t="s">
        <v>228</v>
      </c>
      <c r="C43" s="26" t="s">
        <v>8396</v>
      </c>
      <c r="D43" s="24" t="s">
        <v>8397</v>
      </c>
      <c r="E43" s="22" t="s">
        <v>172</v>
      </c>
      <c r="F43" s="22"/>
      <c r="G43" s="22" t="s">
        <v>7946</v>
      </c>
      <c r="H43" s="22"/>
      <c r="I43" s="25" t="s">
        <v>230</v>
      </c>
      <c r="J43" s="22"/>
      <c r="K43" s="22" t="s">
        <v>231</v>
      </c>
      <c r="L43" s="22"/>
      <c r="M43" s="22" t="str">
        <f>HYPERLINK("https://ceds.ed.gov/cedselementdetails.aspx?termid=21012")</f>
        <v>https://ceds.ed.gov/cedselementdetails.aspx?termid=21012</v>
      </c>
    </row>
    <row r="44" spans="1:13" ht="115.2" x14ac:dyDescent="0.3">
      <c r="A44" s="22" t="s">
        <v>232</v>
      </c>
      <c r="B44" s="22" t="s">
        <v>233</v>
      </c>
      <c r="C44" s="26" t="s">
        <v>8580</v>
      </c>
      <c r="D44" s="22" t="s">
        <v>7954</v>
      </c>
      <c r="E44" s="22"/>
      <c r="F44" s="22"/>
      <c r="G44" s="22"/>
      <c r="H44" s="22" t="s">
        <v>234</v>
      </c>
      <c r="I44" s="25" t="s">
        <v>235</v>
      </c>
      <c r="J44" s="22"/>
      <c r="K44" s="22" t="s">
        <v>236</v>
      </c>
      <c r="L44" s="22" t="s">
        <v>109</v>
      </c>
      <c r="M44" s="22" t="str">
        <f>HYPERLINK("https://ceds.ed.gov/cedselementdetails.aspx?termid=21984")</f>
        <v>https://ceds.ed.gov/cedselementdetails.aspx?termid=21984</v>
      </c>
    </row>
    <row r="45" spans="1:13" ht="86.4" x14ac:dyDescent="0.3">
      <c r="A45" s="22" t="s">
        <v>237</v>
      </c>
      <c r="B45" s="22" t="s">
        <v>238</v>
      </c>
      <c r="C45" s="26" t="s">
        <v>8581</v>
      </c>
      <c r="D45" s="22" t="s">
        <v>239</v>
      </c>
      <c r="E45" s="22"/>
      <c r="F45" s="22"/>
      <c r="G45" s="22"/>
      <c r="H45" s="22"/>
      <c r="I45" s="25" t="s">
        <v>240</v>
      </c>
      <c r="J45" s="22"/>
      <c r="K45" s="22" t="s">
        <v>241</v>
      </c>
      <c r="L45" s="22" t="s">
        <v>242</v>
      </c>
      <c r="M45" s="22" t="str">
        <f>HYPERLINK("https://ceds.ed.gov/cedselementdetails.aspx?termid=22558")</f>
        <v>https://ceds.ed.gov/cedselementdetails.aspx?termid=22558</v>
      </c>
    </row>
    <row r="46" spans="1:13" ht="316.8" x14ac:dyDescent="0.3">
      <c r="A46" s="22" t="s">
        <v>243</v>
      </c>
      <c r="B46" s="22" t="s">
        <v>244</v>
      </c>
      <c r="C46" s="26" t="s">
        <v>8582</v>
      </c>
      <c r="D46" s="22" t="s">
        <v>239</v>
      </c>
      <c r="E46" s="22"/>
      <c r="F46" s="22"/>
      <c r="G46" s="22"/>
      <c r="H46" s="22"/>
      <c r="I46" s="25" t="s">
        <v>245</v>
      </c>
      <c r="J46" s="22"/>
      <c r="K46" s="22" t="s">
        <v>246</v>
      </c>
      <c r="L46" s="22" t="s">
        <v>242</v>
      </c>
      <c r="M46" s="22" t="str">
        <f>HYPERLINK("https://ceds.ed.gov/cedselementdetails.aspx?termid=22559")</f>
        <v>https://ceds.ed.gov/cedselementdetails.aspx?termid=22559</v>
      </c>
    </row>
    <row r="47" spans="1:13" ht="129.6" x14ac:dyDescent="0.3">
      <c r="A47" s="22" t="s">
        <v>247</v>
      </c>
      <c r="B47" s="22" t="s">
        <v>248</v>
      </c>
      <c r="C47" s="26" t="s">
        <v>8583</v>
      </c>
      <c r="D47" s="22" t="s">
        <v>249</v>
      </c>
      <c r="E47" s="22"/>
      <c r="F47" s="22"/>
      <c r="G47" s="22"/>
      <c r="H47" s="22" t="s">
        <v>7955</v>
      </c>
      <c r="I47" s="25" t="s">
        <v>250</v>
      </c>
      <c r="J47" s="22"/>
      <c r="K47" s="22" t="s">
        <v>251</v>
      </c>
      <c r="L47" s="22" t="s">
        <v>252</v>
      </c>
      <c r="M47" s="22" t="str">
        <f>HYPERLINK("https://ceds.ed.gov/cedselementdetails.aspx?termid=21736")</f>
        <v>https://ceds.ed.gov/cedselementdetails.aspx?termid=21736</v>
      </c>
    </row>
    <row r="48" spans="1:13" ht="144" x14ac:dyDescent="0.3">
      <c r="A48" s="22" t="s">
        <v>253</v>
      </c>
      <c r="B48" s="22" t="s">
        <v>7424</v>
      </c>
      <c r="C48" s="26" t="s">
        <v>8584</v>
      </c>
      <c r="D48" s="24" t="s">
        <v>8585</v>
      </c>
      <c r="E48" s="22"/>
      <c r="F48" s="22"/>
      <c r="G48" s="22"/>
      <c r="H48" s="22"/>
      <c r="I48" s="25" t="s">
        <v>254</v>
      </c>
      <c r="J48" s="22"/>
      <c r="K48" s="22" t="s">
        <v>255</v>
      </c>
      <c r="L48" s="22"/>
      <c r="M48" s="22" t="str">
        <f>HYPERLINK("https://ceds.ed.gov/cedselementdetails.aspx?termid=21775")</f>
        <v>https://ceds.ed.gov/cedselementdetails.aspx?termid=21775</v>
      </c>
    </row>
    <row r="49" spans="1:13" ht="57.6" x14ac:dyDescent="0.3">
      <c r="A49" s="22" t="s">
        <v>7425</v>
      </c>
      <c r="B49" s="22" t="s">
        <v>7426</v>
      </c>
      <c r="C49" s="26" t="s">
        <v>3039</v>
      </c>
      <c r="D49" s="22" t="s">
        <v>258</v>
      </c>
      <c r="E49" s="22"/>
      <c r="F49" s="22"/>
      <c r="G49" s="22"/>
      <c r="H49" s="22"/>
      <c r="I49" s="25" t="s">
        <v>7427</v>
      </c>
      <c r="J49" s="22"/>
      <c r="K49" s="22" t="s">
        <v>7428</v>
      </c>
      <c r="L49" s="22"/>
      <c r="M49" s="22" t="str">
        <f>HYPERLINK("https://ceds.ed.gov/cedselementdetails.aspx?termid=22912")</f>
        <v>https://ceds.ed.gov/cedselementdetails.aspx?termid=22912</v>
      </c>
    </row>
    <row r="50" spans="1:13" ht="57.6" x14ac:dyDescent="0.3">
      <c r="A50" s="22" t="s">
        <v>7429</v>
      </c>
      <c r="B50" s="22" t="s">
        <v>7430</v>
      </c>
      <c r="C50" s="26" t="s">
        <v>3039</v>
      </c>
      <c r="D50" s="22" t="s">
        <v>258</v>
      </c>
      <c r="E50" s="22"/>
      <c r="F50" s="22"/>
      <c r="G50" s="22"/>
      <c r="H50" s="22"/>
      <c r="I50" s="25" t="s">
        <v>7431</v>
      </c>
      <c r="J50" s="22"/>
      <c r="K50" s="22" t="s">
        <v>7432</v>
      </c>
      <c r="L50" s="22"/>
      <c r="M50" s="22" t="str">
        <f>HYPERLINK("https://ceds.ed.gov/cedselementdetails.aspx?termid=22913")</f>
        <v>https://ceds.ed.gov/cedselementdetails.aspx?termid=22913</v>
      </c>
    </row>
    <row r="51" spans="1:13" ht="57.6" x14ac:dyDescent="0.3">
      <c r="A51" s="22" t="s">
        <v>7433</v>
      </c>
      <c r="B51" s="22" t="s">
        <v>7434</v>
      </c>
      <c r="C51" s="26" t="s">
        <v>3039</v>
      </c>
      <c r="D51" s="22" t="s">
        <v>258</v>
      </c>
      <c r="E51" s="22"/>
      <c r="F51" s="22"/>
      <c r="G51" s="22"/>
      <c r="H51" s="22"/>
      <c r="I51" s="25" t="s">
        <v>7435</v>
      </c>
      <c r="J51" s="22"/>
      <c r="K51" s="22" t="s">
        <v>7436</v>
      </c>
      <c r="L51" s="22"/>
      <c r="M51" s="22" t="str">
        <f>HYPERLINK("https://ceds.ed.gov/cedselementdetails.aspx?termid=22914")</f>
        <v>https://ceds.ed.gov/cedselementdetails.aspx?termid=22914</v>
      </c>
    </row>
    <row r="52" spans="1:13" ht="100.8" x14ac:dyDescent="0.3">
      <c r="A52" s="22" t="s">
        <v>256</v>
      </c>
      <c r="B52" s="22" t="s">
        <v>257</v>
      </c>
      <c r="C52" s="26" t="s">
        <v>8586</v>
      </c>
      <c r="D52" s="22" t="s">
        <v>258</v>
      </c>
      <c r="E52" s="22"/>
      <c r="F52" s="22"/>
      <c r="G52" s="22"/>
      <c r="H52" s="22"/>
      <c r="I52" s="25" t="s">
        <v>259</v>
      </c>
      <c r="J52" s="22"/>
      <c r="K52" s="22" t="s">
        <v>260</v>
      </c>
      <c r="L52" s="22"/>
      <c r="M52" s="22" t="str">
        <f>HYPERLINK("https://ceds.ed.gov/cedselementdetails.aspx?termid=21765")</f>
        <v>https://ceds.ed.gov/cedselementdetails.aspx?termid=21765</v>
      </c>
    </row>
    <row r="53" spans="1:13" ht="57.6" x14ac:dyDescent="0.3">
      <c r="A53" s="22" t="s">
        <v>261</v>
      </c>
      <c r="B53" s="22" t="s">
        <v>262</v>
      </c>
      <c r="C53" s="26" t="s">
        <v>8587</v>
      </c>
      <c r="D53" s="22" t="s">
        <v>258</v>
      </c>
      <c r="E53" s="22"/>
      <c r="F53" s="22"/>
      <c r="G53" s="22"/>
      <c r="H53" s="22"/>
      <c r="I53" s="25" t="s">
        <v>263</v>
      </c>
      <c r="J53" s="22"/>
      <c r="K53" s="22" t="s">
        <v>264</v>
      </c>
      <c r="L53" s="22"/>
      <c r="M53" s="22" t="str">
        <f>HYPERLINK("https://ceds.ed.gov/cedselementdetails.aspx?termid=21768")</f>
        <v>https://ceds.ed.gov/cedselementdetails.aspx?termid=21768</v>
      </c>
    </row>
    <row r="54" spans="1:13" x14ac:dyDescent="0.3">
      <c r="A54" s="22" t="s">
        <v>265</v>
      </c>
      <c r="B54" s="22" t="s">
        <v>266</v>
      </c>
      <c r="C54" s="23" t="s">
        <v>32</v>
      </c>
      <c r="D54" s="22" t="s">
        <v>258</v>
      </c>
      <c r="E54" s="22"/>
      <c r="F54" s="22" t="s">
        <v>118</v>
      </c>
      <c r="G54" s="22"/>
      <c r="H54" s="22"/>
      <c r="I54" s="25" t="s">
        <v>267</v>
      </c>
      <c r="J54" s="22"/>
      <c r="K54" s="22" t="s">
        <v>268</v>
      </c>
      <c r="L54" s="22"/>
      <c r="M54" s="22" t="str">
        <f>HYPERLINK("https://ceds.ed.gov/cedselementdetails.aspx?termid=21769")</f>
        <v>https://ceds.ed.gov/cedselementdetails.aspx?termid=21769</v>
      </c>
    </row>
    <row r="55" spans="1:13" ht="259.2" x14ac:dyDescent="0.3">
      <c r="A55" s="22" t="s">
        <v>7437</v>
      </c>
      <c r="B55" s="22" t="s">
        <v>7438</v>
      </c>
      <c r="C55" s="26" t="s">
        <v>8588</v>
      </c>
      <c r="D55" s="22" t="s">
        <v>258</v>
      </c>
      <c r="E55" s="22"/>
      <c r="F55" s="22"/>
      <c r="G55" s="22"/>
      <c r="H55" s="22"/>
      <c r="I55" s="25" t="s">
        <v>7439</v>
      </c>
      <c r="J55" s="22"/>
      <c r="K55" s="22" t="s">
        <v>7440</v>
      </c>
      <c r="L55" s="22"/>
      <c r="M55" s="22" t="str">
        <f>HYPERLINK("https://ceds.ed.gov/cedselementdetails.aspx?termid=22915")</f>
        <v>https://ceds.ed.gov/cedselementdetails.aspx?termid=22915</v>
      </c>
    </row>
    <row r="56" spans="1:13" ht="187.2" x14ac:dyDescent="0.3">
      <c r="A56" s="22" t="s">
        <v>269</v>
      </c>
      <c r="B56" s="22" t="s">
        <v>270</v>
      </c>
      <c r="C56" s="26" t="s">
        <v>8589</v>
      </c>
      <c r="D56" s="22" t="s">
        <v>271</v>
      </c>
      <c r="E56" s="22"/>
      <c r="F56" s="22"/>
      <c r="G56" s="22"/>
      <c r="H56" s="22"/>
      <c r="I56" s="25" t="s">
        <v>272</v>
      </c>
      <c r="J56" s="22"/>
      <c r="K56" s="22" t="s">
        <v>273</v>
      </c>
      <c r="L56" s="22"/>
      <c r="M56" s="22" t="str">
        <f>HYPERLINK("https://ceds.ed.gov/cedselementdetails.aspx?termid=21779")</f>
        <v>https://ceds.ed.gov/cedselementdetails.aspx?termid=21779</v>
      </c>
    </row>
    <row r="57" spans="1:13" ht="244.8" x14ac:dyDescent="0.3">
      <c r="A57" s="22" t="s">
        <v>274</v>
      </c>
      <c r="B57" s="22" t="s">
        <v>275</v>
      </c>
      <c r="C57" s="26" t="s">
        <v>8590</v>
      </c>
      <c r="D57" s="24" t="s">
        <v>276</v>
      </c>
      <c r="E57" s="22"/>
      <c r="F57" s="22"/>
      <c r="G57" s="22"/>
      <c r="H57" s="22"/>
      <c r="I57" s="25" t="s">
        <v>277</v>
      </c>
      <c r="J57" s="22"/>
      <c r="K57" s="22" t="s">
        <v>278</v>
      </c>
      <c r="L57" s="22"/>
      <c r="M57" s="22" t="str">
        <f>HYPERLINK("https://ceds.ed.gov/cedselementdetails.aspx?termid=21778")</f>
        <v>https://ceds.ed.gov/cedselementdetails.aspx?termid=21778</v>
      </c>
    </row>
    <row r="58" spans="1:13" ht="43.2" x14ac:dyDescent="0.3">
      <c r="A58" s="22" t="s">
        <v>279</v>
      </c>
      <c r="B58" s="22" t="s">
        <v>280</v>
      </c>
      <c r="C58" s="23" t="s">
        <v>32</v>
      </c>
      <c r="D58" s="24" t="s">
        <v>276</v>
      </c>
      <c r="E58" s="22"/>
      <c r="F58" s="22" t="s">
        <v>132</v>
      </c>
      <c r="G58" s="22"/>
      <c r="H58" s="22" t="s">
        <v>7945</v>
      </c>
      <c r="I58" s="25" t="s">
        <v>281</v>
      </c>
      <c r="J58" s="22"/>
      <c r="K58" s="22" t="s">
        <v>282</v>
      </c>
      <c r="L58" s="22"/>
      <c r="M58" s="22" t="str">
        <f>HYPERLINK("https://ceds.ed.gov/cedselementdetails.aspx?termid=21777")</f>
        <v>https://ceds.ed.gov/cedselementdetails.aspx?termid=21777</v>
      </c>
    </row>
    <row r="59" spans="1:13" ht="230.4" x14ac:dyDescent="0.3">
      <c r="A59" s="22" t="s">
        <v>283</v>
      </c>
      <c r="B59" s="22" t="s">
        <v>284</v>
      </c>
      <c r="C59" s="26" t="s">
        <v>8591</v>
      </c>
      <c r="D59" s="22" t="s">
        <v>258</v>
      </c>
      <c r="E59" s="22"/>
      <c r="F59" s="22"/>
      <c r="G59" s="22"/>
      <c r="H59" s="22" t="s">
        <v>285</v>
      </c>
      <c r="I59" s="25" t="s">
        <v>286</v>
      </c>
      <c r="J59" s="22"/>
      <c r="K59" s="22" t="s">
        <v>287</v>
      </c>
      <c r="L59" s="22"/>
      <c r="M59" s="22" t="str">
        <f>HYPERLINK("https://ceds.ed.gov/cedselementdetails.aspx?termid=21766")</f>
        <v>https://ceds.ed.gov/cedselementdetails.aspx?termid=21766</v>
      </c>
    </row>
    <row r="60" spans="1:13" ht="201.6" x14ac:dyDescent="0.3">
      <c r="A60" s="22" t="s">
        <v>288</v>
      </c>
      <c r="B60" s="22" t="s">
        <v>289</v>
      </c>
      <c r="C60" s="26" t="s">
        <v>8592</v>
      </c>
      <c r="D60" s="22" t="s">
        <v>290</v>
      </c>
      <c r="E60" s="22"/>
      <c r="F60" s="22"/>
      <c r="G60" s="22"/>
      <c r="H60" s="22"/>
      <c r="I60" s="25" t="s">
        <v>291</v>
      </c>
      <c r="J60" s="22"/>
      <c r="K60" s="22" t="s">
        <v>292</v>
      </c>
      <c r="L60" s="22"/>
      <c r="M60" s="22" t="str">
        <f>HYPERLINK("https://ceds.ed.gov/cedselementdetails.aspx?termid=21770")</f>
        <v>https://ceds.ed.gov/cedselementdetails.aspx?termid=21770</v>
      </c>
    </row>
    <row r="61" spans="1:13" ht="72" x14ac:dyDescent="0.3">
      <c r="A61" s="22" t="s">
        <v>293</v>
      </c>
      <c r="B61" s="22" t="s">
        <v>294</v>
      </c>
      <c r="C61" s="26" t="s">
        <v>8593</v>
      </c>
      <c r="D61" s="22" t="s">
        <v>290</v>
      </c>
      <c r="E61" s="22"/>
      <c r="F61" s="22"/>
      <c r="G61" s="22"/>
      <c r="H61" s="22"/>
      <c r="I61" s="25" t="s">
        <v>295</v>
      </c>
      <c r="J61" s="22"/>
      <c r="K61" s="22" t="s">
        <v>296</v>
      </c>
      <c r="L61" s="22"/>
      <c r="M61" s="22" t="str">
        <f>HYPERLINK("https://ceds.ed.gov/cedselementdetails.aspx?termid=21771")</f>
        <v>https://ceds.ed.gov/cedselementdetails.aspx?termid=21771</v>
      </c>
    </row>
    <row r="62" spans="1:13" ht="216" x14ac:dyDescent="0.3">
      <c r="A62" s="22" t="s">
        <v>297</v>
      </c>
      <c r="B62" s="22" t="s">
        <v>298</v>
      </c>
      <c r="C62" s="26" t="s">
        <v>8594</v>
      </c>
      <c r="D62" s="22" t="s">
        <v>258</v>
      </c>
      <c r="E62" s="22"/>
      <c r="F62" s="22"/>
      <c r="G62" s="22"/>
      <c r="H62" s="22"/>
      <c r="I62" s="25" t="s">
        <v>299</v>
      </c>
      <c r="J62" s="22"/>
      <c r="K62" s="22" t="s">
        <v>300</v>
      </c>
      <c r="L62" s="22"/>
      <c r="M62" s="22" t="str">
        <f>HYPERLINK("https://ceds.ed.gov/cedselementdetails.aspx?termid=21763")</f>
        <v>https://ceds.ed.gov/cedselementdetails.aspx?termid=21763</v>
      </c>
    </row>
    <row r="63" spans="1:13" ht="216" x14ac:dyDescent="0.3">
      <c r="A63" s="22" t="s">
        <v>301</v>
      </c>
      <c r="B63" s="22" t="s">
        <v>302</v>
      </c>
      <c r="C63" s="26" t="s">
        <v>8594</v>
      </c>
      <c r="D63" s="22" t="s">
        <v>258</v>
      </c>
      <c r="E63" s="22"/>
      <c r="F63" s="22"/>
      <c r="G63" s="22"/>
      <c r="H63" s="22"/>
      <c r="I63" s="25" t="s">
        <v>303</v>
      </c>
      <c r="J63" s="22"/>
      <c r="K63" s="22" t="s">
        <v>304</v>
      </c>
      <c r="L63" s="22"/>
      <c r="M63" s="22" t="str">
        <f>HYPERLINK("https://ceds.ed.gov/cedselementdetails.aspx?termid=21764")</f>
        <v>https://ceds.ed.gov/cedselementdetails.aspx?termid=21764</v>
      </c>
    </row>
    <row r="64" spans="1:13" ht="409.6" x14ac:dyDescent="0.3">
      <c r="A64" s="22" t="s">
        <v>305</v>
      </c>
      <c r="B64" s="22" t="s">
        <v>7956</v>
      </c>
      <c r="C64" s="26" t="s">
        <v>8595</v>
      </c>
      <c r="D64" s="24" t="s">
        <v>306</v>
      </c>
      <c r="E64" s="22"/>
      <c r="F64" s="22" t="s">
        <v>157</v>
      </c>
      <c r="G64" s="22"/>
      <c r="H64" s="22"/>
      <c r="I64" s="25" t="s">
        <v>307</v>
      </c>
      <c r="J64" s="22" t="s">
        <v>308</v>
      </c>
      <c r="K64" s="22" t="s">
        <v>309</v>
      </c>
      <c r="L64" s="22"/>
      <c r="M64" s="22" t="str">
        <f>HYPERLINK("https://ceds.ed.gov/cedselementdetails.aspx?termid=22244")</f>
        <v>https://ceds.ed.gov/cedselementdetails.aspx?termid=22244</v>
      </c>
    </row>
    <row r="65" spans="1:13" ht="43.2" x14ac:dyDescent="0.3">
      <c r="A65" s="22" t="s">
        <v>310</v>
      </c>
      <c r="B65" s="22" t="s">
        <v>311</v>
      </c>
      <c r="C65" s="26" t="s">
        <v>22</v>
      </c>
      <c r="D65" s="22" t="s">
        <v>229</v>
      </c>
      <c r="E65" s="22"/>
      <c r="F65" s="22"/>
      <c r="G65" s="22"/>
      <c r="H65" s="22"/>
      <c r="I65" s="25" t="s">
        <v>312</v>
      </c>
      <c r="J65" s="22" t="s">
        <v>313</v>
      </c>
      <c r="K65" s="22" t="s">
        <v>314</v>
      </c>
      <c r="L65" s="22" t="s">
        <v>25</v>
      </c>
      <c r="M65" s="22" t="str">
        <f>HYPERLINK("https://ceds.ed.gov/cedselementdetails.aspx?termid=21017")</f>
        <v>https://ceds.ed.gov/cedselementdetails.aspx?termid=21017</v>
      </c>
    </row>
    <row r="66" spans="1:13" x14ac:dyDescent="0.3">
      <c r="A66" s="22" t="s">
        <v>315</v>
      </c>
      <c r="B66" s="22" t="s">
        <v>7957</v>
      </c>
      <c r="C66" s="23" t="s">
        <v>32</v>
      </c>
      <c r="D66" s="22" t="s">
        <v>316</v>
      </c>
      <c r="E66" s="22"/>
      <c r="F66" s="22" t="s">
        <v>317</v>
      </c>
      <c r="G66" s="22"/>
      <c r="H66" s="22"/>
      <c r="I66" s="25" t="s">
        <v>318</v>
      </c>
      <c r="J66" s="22" t="s">
        <v>319</v>
      </c>
      <c r="K66" s="22" t="s">
        <v>320</v>
      </c>
      <c r="L66" s="22" t="s">
        <v>58</v>
      </c>
      <c r="M66" s="22" t="str">
        <f>HYPERLINK("https://ceds.ed.gov/cedselementdetails.aspx?termid=21018")</f>
        <v>https://ceds.ed.gov/cedselementdetails.aspx?termid=21018</v>
      </c>
    </row>
    <row r="67" spans="1:13" ht="72" x14ac:dyDescent="0.3">
      <c r="A67" s="22" t="s">
        <v>321</v>
      </c>
      <c r="B67" s="22" t="s">
        <v>322</v>
      </c>
      <c r="C67" s="23" t="s">
        <v>32</v>
      </c>
      <c r="D67" s="24" t="s">
        <v>323</v>
      </c>
      <c r="E67" s="22"/>
      <c r="F67" s="22" t="s">
        <v>132</v>
      </c>
      <c r="G67" s="22"/>
      <c r="H67" s="22" t="s">
        <v>7945</v>
      </c>
      <c r="I67" s="25" t="s">
        <v>324</v>
      </c>
      <c r="J67" s="22"/>
      <c r="K67" s="22" t="s">
        <v>325</v>
      </c>
      <c r="L67" s="22"/>
      <c r="M67" s="22" t="str">
        <f>HYPERLINK("https://ceds.ed.gov/cedselementdetails.aspx?termid=22246")</f>
        <v>https://ceds.ed.gov/cedselementdetails.aspx?termid=22246</v>
      </c>
    </row>
    <row r="68" spans="1:13" ht="43.2" x14ac:dyDescent="0.3">
      <c r="A68" s="22" t="s">
        <v>326</v>
      </c>
      <c r="B68" s="22" t="s">
        <v>327</v>
      </c>
      <c r="C68" s="23" t="s">
        <v>32</v>
      </c>
      <c r="D68" s="24" t="s">
        <v>8596</v>
      </c>
      <c r="E68" s="22"/>
      <c r="F68" s="22" t="s">
        <v>328</v>
      </c>
      <c r="G68" s="22"/>
      <c r="H68" s="22"/>
      <c r="I68" s="25" t="s">
        <v>329</v>
      </c>
      <c r="J68" s="22"/>
      <c r="K68" s="22" t="s">
        <v>330</v>
      </c>
      <c r="L68" s="22"/>
      <c r="M68" s="22" t="str">
        <f>HYPERLINK("https://ceds.ed.gov/cedselementdetails.aspx?termid=22247")</f>
        <v>https://ceds.ed.gov/cedselementdetails.aspx?termid=22247</v>
      </c>
    </row>
    <row r="69" spans="1:13" ht="43.2" x14ac:dyDescent="0.3">
      <c r="A69" s="22" t="s">
        <v>331</v>
      </c>
      <c r="B69" s="22" t="s">
        <v>332</v>
      </c>
      <c r="C69" s="26" t="s">
        <v>8597</v>
      </c>
      <c r="D69" s="24" t="s">
        <v>8596</v>
      </c>
      <c r="E69" s="22"/>
      <c r="F69" s="22"/>
      <c r="G69" s="22"/>
      <c r="H69" s="22"/>
      <c r="I69" s="25" t="s">
        <v>333</v>
      </c>
      <c r="J69" s="22"/>
      <c r="K69" s="22" t="s">
        <v>334</v>
      </c>
      <c r="L69" s="22"/>
      <c r="M69" s="22" t="str">
        <f>HYPERLINK("https://ceds.ed.gov/cedselementdetails.aspx?termid=22248")</f>
        <v>https://ceds.ed.gov/cedselementdetails.aspx?termid=22248</v>
      </c>
    </row>
    <row r="70" spans="1:13" ht="409.6" x14ac:dyDescent="0.3">
      <c r="A70" s="22" t="s">
        <v>335</v>
      </c>
      <c r="B70" s="22" t="s">
        <v>336</v>
      </c>
      <c r="C70" s="26" t="s">
        <v>8598</v>
      </c>
      <c r="D70" s="24" t="s">
        <v>8596</v>
      </c>
      <c r="E70" s="22"/>
      <c r="F70" s="22"/>
      <c r="G70" s="22"/>
      <c r="H70" s="22" t="s">
        <v>337</v>
      </c>
      <c r="I70" s="25" t="s">
        <v>338</v>
      </c>
      <c r="J70" s="22"/>
      <c r="K70" s="22" t="s">
        <v>339</v>
      </c>
      <c r="L70" s="22"/>
      <c r="M70" s="22" t="str">
        <f>HYPERLINK("https://ceds.ed.gov/cedselementdetails.aspx?termid=22249")</f>
        <v>https://ceds.ed.gov/cedselementdetails.aspx?termid=22249</v>
      </c>
    </row>
    <row r="71" spans="1:13" ht="43.2" x14ac:dyDescent="0.3">
      <c r="A71" s="22" t="s">
        <v>340</v>
      </c>
      <c r="B71" s="22" t="s">
        <v>341</v>
      </c>
      <c r="C71" s="26" t="s">
        <v>22</v>
      </c>
      <c r="D71" s="24" t="s">
        <v>210</v>
      </c>
      <c r="E71" s="22"/>
      <c r="F71" s="22"/>
      <c r="G71" s="22"/>
      <c r="H71" s="22"/>
      <c r="I71" s="25" t="s">
        <v>342</v>
      </c>
      <c r="J71" s="22" t="s">
        <v>343</v>
      </c>
      <c r="K71" s="22" t="s">
        <v>344</v>
      </c>
      <c r="L71" s="22" t="s">
        <v>226</v>
      </c>
      <c r="M71" s="22" t="str">
        <f>HYPERLINK("https://ceds.ed.gov/cedselementdetails.aspx?termid=21014")</f>
        <v>https://ceds.ed.gov/cedselementdetails.aspx?termid=21014</v>
      </c>
    </row>
    <row r="72" spans="1:13" x14ac:dyDescent="0.3">
      <c r="A72" s="22" t="s">
        <v>345</v>
      </c>
      <c r="B72" s="22" t="s">
        <v>346</v>
      </c>
      <c r="C72" s="23" t="s">
        <v>32</v>
      </c>
      <c r="D72" s="22" t="s">
        <v>347</v>
      </c>
      <c r="E72" s="22"/>
      <c r="F72" s="22" t="s">
        <v>85</v>
      </c>
      <c r="G72" s="22"/>
      <c r="H72" s="22"/>
      <c r="I72" s="25" t="s">
        <v>348</v>
      </c>
      <c r="J72" s="22"/>
      <c r="K72" s="22" t="s">
        <v>349</v>
      </c>
      <c r="L72" s="22"/>
      <c r="M72" s="22" t="str">
        <f>HYPERLINK("https://ceds.ed.gov/cedselementdetails.aspx?termid=21591")</f>
        <v>https://ceds.ed.gov/cedselementdetails.aspx?termid=21591</v>
      </c>
    </row>
    <row r="73" spans="1:13" ht="57.6" x14ac:dyDescent="0.3">
      <c r="A73" s="22" t="s">
        <v>350</v>
      </c>
      <c r="B73" s="22" t="s">
        <v>351</v>
      </c>
      <c r="C73" s="26" t="s">
        <v>8599</v>
      </c>
      <c r="D73" s="22" t="s">
        <v>352</v>
      </c>
      <c r="E73" s="22"/>
      <c r="F73" s="22"/>
      <c r="G73" s="22"/>
      <c r="H73" s="22"/>
      <c r="I73" s="25" t="s">
        <v>353</v>
      </c>
      <c r="J73" s="22"/>
      <c r="K73" s="22" t="s">
        <v>354</v>
      </c>
      <c r="L73" s="22" t="s">
        <v>355</v>
      </c>
      <c r="M73" s="22" t="str">
        <f>HYPERLINK("https://ceds.ed.gov/cedselementdetails.aspx?termid=21751")</f>
        <v>https://ceds.ed.gov/cedselementdetails.aspx?termid=21751</v>
      </c>
    </row>
    <row r="74" spans="1:13" ht="100.8" x14ac:dyDescent="0.3">
      <c r="A74" s="22" t="s">
        <v>356</v>
      </c>
      <c r="B74" s="22" t="s">
        <v>357</v>
      </c>
      <c r="C74" s="26" t="s">
        <v>8600</v>
      </c>
      <c r="D74" s="22" t="s">
        <v>229</v>
      </c>
      <c r="E74" s="22"/>
      <c r="F74" s="22"/>
      <c r="G74" s="22"/>
      <c r="H74" s="22"/>
      <c r="I74" s="25" t="s">
        <v>358</v>
      </c>
      <c r="J74" s="22"/>
      <c r="K74" s="22" t="s">
        <v>359</v>
      </c>
      <c r="L74" s="22" t="s">
        <v>25</v>
      </c>
      <c r="M74" s="22" t="str">
        <f>HYPERLINK("https://ceds.ed.gov/cedselementdetails.aspx?termid=21015")</f>
        <v>https://ceds.ed.gov/cedselementdetails.aspx?termid=21015</v>
      </c>
    </row>
    <row r="75" spans="1:13" ht="244.8" x14ac:dyDescent="0.3">
      <c r="A75" s="22" t="s">
        <v>360</v>
      </c>
      <c r="B75" s="22" t="s">
        <v>361</v>
      </c>
      <c r="C75" s="26" t="s">
        <v>8601</v>
      </c>
      <c r="D75" s="24" t="s">
        <v>8602</v>
      </c>
      <c r="E75" s="22"/>
      <c r="F75" s="22"/>
      <c r="G75" s="22"/>
      <c r="H75" s="22" t="s">
        <v>7958</v>
      </c>
      <c r="I75" s="25" t="s">
        <v>362</v>
      </c>
      <c r="J75" s="22" t="s">
        <v>363</v>
      </c>
      <c r="K75" s="22" t="s">
        <v>364</v>
      </c>
      <c r="L75" s="24" t="s">
        <v>365</v>
      </c>
      <c r="M75" s="22" t="str">
        <f>HYPERLINK("https://ceds.ed.gov/cedselementdetails.aspx?termid=21655")</f>
        <v>https://ceds.ed.gov/cedselementdetails.aspx?termid=21655</v>
      </c>
    </row>
    <row r="76" spans="1:13" ht="43.2" x14ac:dyDescent="0.3">
      <c r="A76" s="22" t="s">
        <v>366</v>
      </c>
      <c r="B76" s="22" t="s">
        <v>367</v>
      </c>
      <c r="C76" s="23" t="s">
        <v>32</v>
      </c>
      <c r="D76" s="24" t="s">
        <v>8398</v>
      </c>
      <c r="E76" s="22" t="s">
        <v>172</v>
      </c>
      <c r="F76" s="22" t="s">
        <v>317</v>
      </c>
      <c r="G76" s="22" t="s">
        <v>7946</v>
      </c>
      <c r="H76" s="22" t="s">
        <v>368</v>
      </c>
      <c r="I76" s="25" t="s">
        <v>369</v>
      </c>
      <c r="J76" s="22"/>
      <c r="K76" s="22" t="s">
        <v>370</v>
      </c>
      <c r="L76" s="22" t="s">
        <v>69</v>
      </c>
      <c r="M76" s="22" t="str">
        <f>HYPERLINK("https://ceds.ed.gov/cedselementdetails.aspx?termid=21722")</f>
        <v>https://ceds.ed.gov/cedselementdetails.aspx?termid=21722</v>
      </c>
    </row>
    <row r="77" spans="1:13" ht="72" x14ac:dyDescent="0.3">
      <c r="A77" s="22" t="s">
        <v>371</v>
      </c>
      <c r="B77" s="22" t="s">
        <v>372</v>
      </c>
      <c r="C77" s="26" t="s">
        <v>8603</v>
      </c>
      <c r="D77" s="22"/>
      <c r="E77" s="22" t="s">
        <v>7959</v>
      </c>
      <c r="F77" s="22"/>
      <c r="G77" s="22" t="s">
        <v>7960</v>
      </c>
      <c r="H77" s="22"/>
      <c r="I77" s="25" t="s">
        <v>373</v>
      </c>
      <c r="J77" s="22" t="s">
        <v>374</v>
      </c>
      <c r="K77" s="22" t="s">
        <v>375</v>
      </c>
      <c r="L77" s="22" t="s">
        <v>226</v>
      </c>
      <c r="M77" s="22" t="str">
        <f>HYPERLINK("https://ceds.ed.gov/cedselementdetails.aspx?termid=21572")</f>
        <v>https://ceds.ed.gov/cedselementdetails.aspx?termid=21572</v>
      </c>
    </row>
    <row r="78" spans="1:13" ht="72" x14ac:dyDescent="0.3">
      <c r="A78" s="22" t="s">
        <v>376</v>
      </c>
      <c r="B78" s="22" t="s">
        <v>377</v>
      </c>
      <c r="C78" s="26" t="s">
        <v>8603</v>
      </c>
      <c r="D78" s="22"/>
      <c r="E78" s="22" t="s">
        <v>7959</v>
      </c>
      <c r="F78" s="22"/>
      <c r="G78" s="22" t="s">
        <v>7961</v>
      </c>
      <c r="H78" s="22"/>
      <c r="I78" s="25" t="s">
        <v>378</v>
      </c>
      <c r="J78" s="22" t="s">
        <v>379</v>
      </c>
      <c r="K78" s="22" t="s">
        <v>380</v>
      </c>
      <c r="L78" s="22" t="s">
        <v>226</v>
      </c>
      <c r="M78" s="22" t="str">
        <f>HYPERLINK("https://ceds.ed.gov/cedselementdetails.aspx?termid=21535")</f>
        <v>https://ceds.ed.gov/cedselementdetails.aspx?termid=21535</v>
      </c>
    </row>
    <row r="79" spans="1:13" ht="72" x14ac:dyDescent="0.3">
      <c r="A79" s="22" t="s">
        <v>381</v>
      </c>
      <c r="B79" s="22" t="s">
        <v>382</v>
      </c>
      <c r="C79" s="26" t="s">
        <v>8603</v>
      </c>
      <c r="D79" s="22"/>
      <c r="E79" s="22" t="s">
        <v>7959</v>
      </c>
      <c r="F79" s="22"/>
      <c r="G79" s="22" t="s">
        <v>7962</v>
      </c>
      <c r="H79" s="22"/>
      <c r="I79" s="25" t="s">
        <v>383</v>
      </c>
      <c r="J79" s="22" t="s">
        <v>384</v>
      </c>
      <c r="K79" s="22" t="s">
        <v>385</v>
      </c>
      <c r="L79" s="22" t="s">
        <v>226</v>
      </c>
      <c r="M79" s="22" t="str">
        <f>HYPERLINK("https://ceds.ed.gov/cedselementdetails.aspx?termid=21545")</f>
        <v>https://ceds.ed.gov/cedselementdetails.aspx?termid=21545</v>
      </c>
    </row>
    <row r="80" spans="1:13" x14ac:dyDescent="0.3">
      <c r="A80" s="22" t="s">
        <v>386</v>
      </c>
      <c r="B80" s="22" t="s">
        <v>387</v>
      </c>
      <c r="C80" s="23" t="s">
        <v>32</v>
      </c>
      <c r="D80" s="22" t="s">
        <v>388</v>
      </c>
      <c r="E80" s="22"/>
      <c r="F80" s="22" t="s">
        <v>148</v>
      </c>
      <c r="G80" s="22"/>
      <c r="H80" s="22"/>
      <c r="I80" s="25" t="s">
        <v>389</v>
      </c>
      <c r="J80" s="22"/>
      <c r="K80" s="22" t="s">
        <v>390</v>
      </c>
      <c r="L80" s="22"/>
      <c r="M80" s="22" t="str">
        <f>HYPERLINK("https://ceds.ed.gov/cedselementdetails.aspx?termid=22504")</f>
        <v>https://ceds.ed.gov/cedselementdetails.aspx?termid=22504</v>
      </c>
    </row>
    <row r="81" spans="1:13" ht="43.2" x14ac:dyDescent="0.3">
      <c r="A81" s="22" t="s">
        <v>391</v>
      </c>
      <c r="B81" s="22" t="s">
        <v>392</v>
      </c>
      <c r="C81" s="26" t="s">
        <v>22</v>
      </c>
      <c r="D81" s="24" t="s">
        <v>210</v>
      </c>
      <c r="E81" s="22"/>
      <c r="F81" s="22"/>
      <c r="G81" s="22"/>
      <c r="H81" s="22"/>
      <c r="I81" s="25" t="s">
        <v>393</v>
      </c>
      <c r="J81" s="22" t="s">
        <v>394</v>
      </c>
      <c r="K81" s="22" t="s">
        <v>395</v>
      </c>
      <c r="L81" s="22" t="s">
        <v>214</v>
      </c>
      <c r="M81" s="22" t="str">
        <f>HYPERLINK("https://ceds.ed.gov/cedselementdetails.aspx?termid=21432")</f>
        <v>https://ceds.ed.gov/cedselementdetails.aspx?termid=21432</v>
      </c>
    </row>
    <row r="82" spans="1:13" ht="273.60000000000002" x14ac:dyDescent="0.3">
      <c r="A82" s="22" t="s">
        <v>396</v>
      </c>
      <c r="B82" s="22" t="s">
        <v>7963</v>
      </c>
      <c r="C82" s="23" t="s">
        <v>32</v>
      </c>
      <c r="D82" s="24" t="s">
        <v>8604</v>
      </c>
      <c r="E82" s="22"/>
      <c r="F82" s="22" t="s">
        <v>118</v>
      </c>
      <c r="G82" s="22"/>
      <c r="H82" s="22"/>
      <c r="I82" s="25" t="s">
        <v>397</v>
      </c>
      <c r="J82" s="22"/>
      <c r="K82" s="22" t="s">
        <v>398</v>
      </c>
      <c r="L82" s="24" t="s">
        <v>399</v>
      </c>
      <c r="M82" s="22" t="str">
        <f>HYPERLINK("https://ceds.ed.gov/cedselementdetails.aspx?termid=21323")</f>
        <v>https://ceds.ed.gov/cedselementdetails.aspx?termid=21323</v>
      </c>
    </row>
    <row r="83" spans="1:13" ht="244.8" x14ac:dyDescent="0.3">
      <c r="A83" s="22" t="s">
        <v>400</v>
      </c>
      <c r="B83" s="22" t="s">
        <v>401</v>
      </c>
      <c r="C83" s="26" t="s">
        <v>8601</v>
      </c>
      <c r="D83" s="24" t="s">
        <v>8602</v>
      </c>
      <c r="E83" s="22"/>
      <c r="F83" s="22"/>
      <c r="G83" s="22"/>
      <c r="H83" s="22" t="s">
        <v>7958</v>
      </c>
      <c r="I83" s="25" t="s">
        <v>402</v>
      </c>
      <c r="J83" s="22" t="s">
        <v>403</v>
      </c>
      <c r="K83" s="22" t="s">
        <v>400</v>
      </c>
      <c r="L83" s="24" t="s">
        <v>365</v>
      </c>
      <c r="M83" s="22" t="str">
        <f>HYPERLINK("https://ceds.ed.gov/cedselementdetails.aspx?termid=21656")</f>
        <v>https://ceds.ed.gov/cedselementdetails.aspx?termid=21656</v>
      </c>
    </row>
    <row r="84" spans="1:13" ht="302.39999999999998" x14ac:dyDescent="0.3">
      <c r="A84" s="22" t="s">
        <v>404</v>
      </c>
      <c r="B84" s="22" t="s">
        <v>405</v>
      </c>
      <c r="C84" s="26" t="s">
        <v>8605</v>
      </c>
      <c r="D84" s="24" t="s">
        <v>406</v>
      </c>
      <c r="E84" s="22"/>
      <c r="F84" s="22"/>
      <c r="G84" s="22"/>
      <c r="H84" s="22"/>
      <c r="I84" s="25" t="s">
        <v>407</v>
      </c>
      <c r="J84" s="22"/>
      <c r="K84" s="22" t="s">
        <v>408</v>
      </c>
      <c r="L84" s="24" t="s">
        <v>409</v>
      </c>
      <c r="M84" s="22" t="str">
        <f>HYPERLINK("https://ceds.ed.gov/cedselementdetails.aspx?termid=21021")</f>
        <v>https://ceds.ed.gov/cedselementdetails.aspx?termid=21021</v>
      </c>
    </row>
    <row r="85" spans="1:13" ht="216" x14ac:dyDescent="0.3">
      <c r="A85" s="22" t="s">
        <v>410</v>
      </c>
      <c r="B85" s="22" t="s">
        <v>411</v>
      </c>
      <c r="C85" s="26" t="s">
        <v>8606</v>
      </c>
      <c r="D85" s="24" t="s">
        <v>412</v>
      </c>
      <c r="E85" s="22"/>
      <c r="F85" s="22"/>
      <c r="G85" s="22"/>
      <c r="H85" s="22"/>
      <c r="I85" s="25" t="s">
        <v>413</v>
      </c>
      <c r="J85" s="22"/>
      <c r="K85" s="22" t="s">
        <v>414</v>
      </c>
      <c r="L85" s="24" t="s">
        <v>93</v>
      </c>
      <c r="M85" s="22" t="str">
        <f>HYPERLINK("https://ceds.ed.gov/cedselementdetails.aspx?termid=21374")</f>
        <v>https://ceds.ed.gov/cedselementdetails.aspx?termid=21374</v>
      </c>
    </row>
    <row r="86" spans="1:13" x14ac:dyDescent="0.3">
      <c r="A86" s="22" t="s">
        <v>415</v>
      </c>
      <c r="B86" s="22" t="s">
        <v>416</v>
      </c>
      <c r="C86" s="23" t="s">
        <v>32</v>
      </c>
      <c r="D86" s="22" t="s">
        <v>417</v>
      </c>
      <c r="E86" s="22"/>
      <c r="F86" s="22" t="s">
        <v>157</v>
      </c>
      <c r="G86" s="22"/>
      <c r="H86" s="22" t="s">
        <v>7964</v>
      </c>
      <c r="I86" s="25" t="s">
        <v>418</v>
      </c>
      <c r="J86" s="22"/>
      <c r="K86" s="22" t="s">
        <v>419</v>
      </c>
      <c r="L86" s="22"/>
      <c r="M86" s="22" t="str">
        <f>HYPERLINK("https://ceds.ed.gov/cedselementdetails.aspx?termid=21968")</f>
        <v>https://ceds.ed.gov/cedselementdetails.aspx?termid=21968</v>
      </c>
    </row>
    <row r="87" spans="1:13" x14ac:dyDescent="0.3">
      <c r="A87" s="22" t="s">
        <v>420</v>
      </c>
      <c r="B87" s="22" t="s">
        <v>421</v>
      </c>
      <c r="C87" s="23" t="s">
        <v>32</v>
      </c>
      <c r="D87" s="22" t="s">
        <v>417</v>
      </c>
      <c r="E87" s="22"/>
      <c r="F87" s="22" t="s">
        <v>85</v>
      </c>
      <c r="G87" s="22"/>
      <c r="H87" s="22"/>
      <c r="I87" s="25" t="s">
        <v>422</v>
      </c>
      <c r="J87" s="22"/>
      <c r="K87" s="22" t="s">
        <v>423</v>
      </c>
      <c r="L87" s="22"/>
      <c r="M87" s="22" t="str">
        <f>HYPERLINK("https://ceds.ed.gov/cedselementdetails.aspx?termid=21962")</f>
        <v>https://ceds.ed.gov/cedselementdetails.aspx?termid=21962</v>
      </c>
    </row>
    <row r="88" spans="1:13" x14ac:dyDescent="0.3">
      <c r="A88" s="22" t="s">
        <v>424</v>
      </c>
      <c r="B88" s="22" t="s">
        <v>425</v>
      </c>
      <c r="C88" s="23" t="s">
        <v>32</v>
      </c>
      <c r="D88" s="22" t="s">
        <v>417</v>
      </c>
      <c r="E88" s="22"/>
      <c r="F88" s="22" t="s">
        <v>118</v>
      </c>
      <c r="G88" s="22"/>
      <c r="H88" s="22"/>
      <c r="I88" s="25" t="s">
        <v>426</v>
      </c>
      <c r="J88" s="22"/>
      <c r="K88" s="22" t="s">
        <v>427</v>
      </c>
      <c r="L88" s="22"/>
      <c r="M88" s="22" t="str">
        <f>HYPERLINK("https://ceds.ed.gov/cedselementdetails.aspx?termid=21965")</f>
        <v>https://ceds.ed.gov/cedselementdetails.aspx?termid=21965</v>
      </c>
    </row>
    <row r="89" spans="1:13" x14ac:dyDescent="0.3">
      <c r="A89" s="22" t="s">
        <v>428</v>
      </c>
      <c r="B89" s="22" t="s">
        <v>429</v>
      </c>
      <c r="C89" s="23" t="s">
        <v>32</v>
      </c>
      <c r="D89" s="22" t="s">
        <v>417</v>
      </c>
      <c r="E89" s="22"/>
      <c r="F89" s="22" t="s">
        <v>430</v>
      </c>
      <c r="G89" s="22"/>
      <c r="H89" s="22"/>
      <c r="I89" s="25" t="s">
        <v>431</v>
      </c>
      <c r="J89" s="22"/>
      <c r="K89" s="22" t="s">
        <v>432</v>
      </c>
      <c r="L89" s="22"/>
      <c r="M89" s="22" t="str">
        <f>HYPERLINK("https://ceds.ed.gov/cedselementdetails.aspx?termid=21966")</f>
        <v>https://ceds.ed.gov/cedselementdetails.aspx?termid=21966</v>
      </c>
    </row>
    <row r="90" spans="1:13" x14ac:dyDescent="0.3">
      <c r="A90" s="22" t="s">
        <v>433</v>
      </c>
      <c r="B90" s="22" t="s">
        <v>434</v>
      </c>
      <c r="C90" s="23" t="s">
        <v>32</v>
      </c>
      <c r="D90" s="22" t="s">
        <v>417</v>
      </c>
      <c r="E90" s="22"/>
      <c r="F90" s="22" t="s">
        <v>85</v>
      </c>
      <c r="G90" s="22"/>
      <c r="H90" s="22"/>
      <c r="I90" s="25" t="s">
        <v>435</v>
      </c>
      <c r="J90" s="22"/>
      <c r="K90" s="22" t="s">
        <v>436</v>
      </c>
      <c r="L90" s="22"/>
      <c r="M90" s="22" t="str">
        <f>HYPERLINK("https://ceds.ed.gov/cedselementdetails.aspx?termid=21978")</f>
        <v>https://ceds.ed.gov/cedselementdetails.aspx?termid=21978</v>
      </c>
    </row>
    <row r="91" spans="1:13" x14ac:dyDescent="0.3">
      <c r="A91" s="22" t="s">
        <v>437</v>
      </c>
      <c r="B91" s="22" t="s">
        <v>438</v>
      </c>
      <c r="C91" s="23" t="s">
        <v>32</v>
      </c>
      <c r="D91" s="22" t="s">
        <v>417</v>
      </c>
      <c r="E91" s="22"/>
      <c r="F91" s="22" t="s">
        <v>157</v>
      </c>
      <c r="G91" s="22"/>
      <c r="H91" s="22"/>
      <c r="I91" s="25" t="s">
        <v>439</v>
      </c>
      <c r="J91" s="22"/>
      <c r="K91" s="22" t="s">
        <v>440</v>
      </c>
      <c r="L91" s="22"/>
      <c r="M91" s="22" t="str">
        <f>HYPERLINK("https://ceds.ed.gov/cedselementdetails.aspx?termid=21967")</f>
        <v>https://ceds.ed.gov/cedselementdetails.aspx?termid=21967</v>
      </c>
    </row>
    <row r="92" spans="1:13" x14ac:dyDescent="0.3">
      <c r="A92" s="22" t="s">
        <v>441</v>
      </c>
      <c r="B92" s="22" t="s">
        <v>442</v>
      </c>
      <c r="C92" s="23" t="s">
        <v>32</v>
      </c>
      <c r="D92" s="22" t="s">
        <v>417</v>
      </c>
      <c r="E92" s="22"/>
      <c r="F92" s="22" t="s">
        <v>113</v>
      </c>
      <c r="G92" s="22"/>
      <c r="H92" s="22"/>
      <c r="I92" s="25" t="s">
        <v>443</v>
      </c>
      <c r="J92" s="22"/>
      <c r="K92" s="22" t="s">
        <v>444</v>
      </c>
      <c r="L92" s="22"/>
      <c r="M92" s="22" t="str">
        <f>HYPERLINK("https://ceds.ed.gov/cedselementdetails.aspx?termid=22506")</f>
        <v>https://ceds.ed.gov/cedselementdetails.aspx?termid=22506</v>
      </c>
    </row>
    <row r="93" spans="1:13" x14ac:dyDescent="0.3">
      <c r="A93" s="22" t="s">
        <v>445</v>
      </c>
      <c r="B93" s="22" t="s">
        <v>446</v>
      </c>
      <c r="C93" s="23" t="s">
        <v>32</v>
      </c>
      <c r="D93" s="22" t="s">
        <v>417</v>
      </c>
      <c r="E93" s="22"/>
      <c r="F93" s="22" t="s">
        <v>118</v>
      </c>
      <c r="G93" s="22"/>
      <c r="H93" s="22"/>
      <c r="I93" s="25" t="s">
        <v>447</v>
      </c>
      <c r="J93" s="22"/>
      <c r="K93" s="22" t="s">
        <v>448</v>
      </c>
      <c r="L93" s="22"/>
      <c r="M93" s="22" t="str">
        <f>HYPERLINK("https://ceds.ed.gov/cedselementdetails.aspx?termid=21963")</f>
        <v>https://ceds.ed.gov/cedselementdetails.aspx?termid=21963</v>
      </c>
    </row>
    <row r="94" spans="1:13" x14ac:dyDescent="0.3">
      <c r="A94" s="22" t="s">
        <v>449</v>
      </c>
      <c r="B94" s="22" t="s">
        <v>450</v>
      </c>
      <c r="C94" s="23" t="s">
        <v>32</v>
      </c>
      <c r="D94" s="22" t="s">
        <v>417</v>
      </c>
      <c r="E94" s="22"/>
      <c r="F94" s="22" t="s">
        <v>430</v>
      </c>
      <c r="G94" s="22"/>
      <c r="H94" s="22"/>
      <c r="I94" s="25" t="s">
        <v>451</v>
      </c>
      <c r="J94" s="22"/>
      <c r="K94" s="22" t="s">
        <v>452</v>
      </c>
      <c r="L94" s="22"/>
      <c r="M94" s="22" t="str">
        <f>HYPERLINK("https://ceds.ed.gov/cedselementdetails.aspx?termid=21964")</f>
        <v>https://ceds.ed.gov/cedselementdetails.aspx?termid=21964</v>
      </c>
    </row>
    <row r="95" spans="1:13" x14ac:dyDescent="0.3">
      <c r="A95" s="22" t="s">
        <v>453</v>
      </c>
      <c r="B95" s="22" t="s">
        <v>454</v>
      </c>
      <c r="C95" s="23" t="s">
        <v>32</v>
      </c>
      <c r="D95" s="22" t="s">
        <v>455</v>
      </c>
      <c r="E95" s="22"/>
      <c r="F95" s="22" t="s">
        <v>328</v>
      </c>
      <c r="G95" s="22"/>
      <c r="H95" s="22"/>
      <c r="I95" s="25" t="s">
        <v>456</v>
      </c>
      <c r="J95" s="22"/>
      <c r="K95" s="22" t="s">
        <v>457</v>
      </c>
      <c r="L95" s="22"/>
      <c r="M95" s="22" t="str">
        <f>HYPERLINK("https://ceds.ed.gov/cedselementdetails.aspx?termid=22154")</f>
        <v>https://ceds.ed.gov/cedselementdetails.aspx?termid=22154</v>
      </c>
    </row>
    <row r="96" spans="1:13" x14ac:dyDescent="0.3">
      <c r="A96" s="22" t="s">
        <v>458</v>
      </c>
      <c r="B96" s="22" t="s">
        <v>459</v>
      </c>
      <c r="C96" s="23" t="s">
        <v>32</v>
      </c>
      <c r="D96" s="22" t="s">
        <v>455</v>
      </c>
      <c r="E96" s="22"/>
      <c r="F96" s="22" t="s">
        <v>50</v>
      </c>
      <c r="G96" s="22"/>
      <c r="H96" s="22"/>
      <c r="I96" s="25" t="s">
        <v>460</v>
      </c>
      <c r="J96" s="22"/>
      <c r="K96" s="22" t="s">
        <v>461</v>
      </c>
      <c r="L96" s="22"/>
      <c r="M96" s="22" t="str">
        <f>HYPERLINK("https://ceds.ed.gov/cedselementdetails.aspx?termid=22155")</f>
        <v>https://ceds.ed.gov/cedselementdetails.aspx?termid=22155</v>
      </c>
    </row>
    <row r="97" spans="1:13" x14ac:dyDescent="0.3">
      <c r="A97" s="22" t="s">
        <v>462</v>
      </c>
      <c r="B97" s="22" t="s">
        <v>463</v>
      </c>
      <c r="C97" s="23" t="s">
        <v>32</v>
      </c>
      <c r="D97" s="22" t="s">
        <v>455</v>
      </c>
      <c r="E97" s="22"/>
      <c r="F97" s="22" t="s">
        <v>328</v>
      </c>
      <c r="G97" s="22"/>
      <c r="H97" s="22"/>
      <c r="I97" s="25" t="s">
        <v>464</v>
      </c>
      <c r="J97" s="22"/>
      <c r="K97" s="22" t="s">
        <v>465</v>
      </c>
      <c r="L97" s="22"/>
      <c r="M97" s="22" t="str">
        <f>HYPERLINK("https://ceds.ed.gov/cedselementdetails.aspx?termid=22153")</f>
        <v>https://ceds.ed.gov/cedselementdetails.aspx?termid=22153</v>
      </c>
    </row>
    <row r="98" spans="1:13" x14ac:dyDescent="0.3">
      <c r="A98" s="22" t="s">
        <v>466</v>
      </c>
      <c r="B98" s="22" t="s">
        <v>467</v>
      </c>
      <c r="C98" s="23" t="s">
        <v>32</v>
      </c>
      <c r="D98" s="22" t="s">
        <v>455</v>
      </c>
      <c r="E98" s="22"/>
      <c r="F98" s="22" t="s">
        <v>132</v>
      </c>
      <c r="G98" s="22"/>
      <c r="H98" s="22" t="s">
        <v>7945</v>
      </c>
      <c r="I98" s="25" t="s">
        <v>468</v>
      </c>
      <c r="J98" s="22"/>
      <c r="K98" s="22" t="s">
        <v>469</v>
      </c>
      <c r="L98" s="22"/>
      <c r="M98" s="22" t="str">
        <f>HYPERLINK("https://ceds.ed.gov/cedselementdetails.aspx?termid=22149")</f>
        <v>https://ceds.ed.gov/cedselementdetails.aspx?termid=22149</v>
      </c>
    </row>
    <row r="99" spans="1:13" ht="86.4" x14ac:dyDescent="0.3">
      <c r="A99" s="22" t="s">
        <v>470</v>
      </c>
      <c r="B99" s="22" t="s">
        <v>471</v>
      </c>
      <c r="C99" s="26" t="s">
        <v>8607</v>
      </c>
      <c r="D99" s="22" t="s">
        <v>455</v>
      </c>
      <c r="E99" s="22"/>
      <c r="F99" s="22"/>
      <c r="G99" s="22"/>
      <c r="H99" s="22"/>
      <c r="I99" s="25" t="s">
        <v>472</v>
      </c>
      <c r="J99" s="22"/>
      <c r="K99" s="22" t="s">
        <v>473</v>
      </c>
      <c r="L99" s="22"/>
      <c r="M99" s="22" t="str">
        <f>HYPERLINK("https://ceds.ed.gov/cedselementdetails.aspx?termid=22150")</f>
        <v>https://ceds.ed.gov/cedselementdetails.aspx?termid=22150</v>
      </c>
    </row>
    <row r="100" spans="1:13" x14ac:dyDescent="0.3">
      <c r="A100" s="22" t="s">
        <v>474</v>
      </c>
      <c r="B100" s="22" t="s">
        <v>475</v>
      </c>
      <c r="C100" s="23" t="s">
        <v>32</v>
      </c>
      <c r="D100" s="22" t="s">
        <v>455</v>
      </c>
      <c r="E100" s="22"/>
      <c r="F100" s="22" t="s">
        <v>157</v>
      </c>
      <c r="G100" s="22"/>
      <c r="H100" s="22"/>
      <c r="I100" s="25" t="s">
        <v>476</v>
      </c>
      <c r="J100" s="22"/>
      <c r="K100" s="22" t="s">
        <v>477</v>
      </c>
      <c r="L100" s="22"/>
      <c r="M100" s="22" t="str">
        <f>HYPERLINK("https://ceds.ed.gov/cedselementdetails.aspx?termid=22151")</f>
        <v>https://ceds.ed.gov/cedselementdetails.aspx?termid=22151</v>
      </c>
    </row>
    <row r="101" spans="1:13" x14ac:dyDescent="0.3">
      <c r="A101" s="22" t="s">
        <v>478</v>
      </c>
      <c r="B101" s="22" t="s">
        <v>479</v>
      </c>
      <c r="C101" s="23" t="s">
        <v>32</v>
      </c>
      <c r="D101" s="22" t="s">
        <v>455</v>
      </c>
      <c r="E101" s="22"/>
      <c r="F101" s="22" t="s">
        <v>157</v>
      </c>
      <c r="G101" s="22"/>
      <c r="H101" s="22"/>
      <c r="I101" s="25" t="s">
        <v>480</v>
      </c>
      <c r="J101" s="22"/>
      <c r="K101" s="22" t="s">
        <v>481</v>
      </c>
      <c r="L101" s="22"/>
      <c r="M101" s="22" t="str">
        <f>HYPERLINK("https://ceds.ed.gov/cedselementdetails.aspx?termid=22152")</f>
        <v>https://ceds.ed.gov/cedselementdetails.aspx?termid=22152</v>
      </c>
    </row>
    <row r="102" spans="1:13" x14ac:dyDescent="0.3">
      <c r="A102" s="22" t="s">
        <v>482</v>
      </c>
      <c r="B102" s="22" t="s">
        <v>483</v>
      </c>
      <c r="C102" s="23" t="s">
        <v>32</v>
      </c>
      <c r="D102" s="22" t="s">
        <v>455</v>
      </c>
      <c r="E102" s="22"/>
      <c r="F102" s="22" t="s">
        <v>118</v>
      </c>
      <c r="G102" s="22"/>
      <c r="H102" s="22"/>
      <c r="I102" s="25" t="s">
        <v>484</v>
      </c>
      <c r="J102" s="22"/>
      <c r="K102" s="22" t="s">
        <v>485</v>
      </c>
      <c r="L102" s="22"/>
      <c r="M102" s="22" t="str">
        <f>HYPERLINK("https://ceds.ed.gov/cedselementdetails.aspx?termid=22148")</f>
        <v>https://ceds.ed.gov/cedselementdetails.aspx?termid=22148</v>
      </c>
    </row>
    <row r="103" spans="1:13" ht="409.6" x14ac:dyDescent="0.3">
      <c r="A103" s="22" t="s">
        <v>486</v>
      </c>
      <c r="B103" s="22" t="s">
        <v>7965</v>
      </c>
      <c r="C103" s="26" t="s">
        <v>8608</v>
      </c>
      <c r="D103" s="22" t="s">
        <v>455</v>
      </c>
      <c r="E103" s="22"/>
      <c r="F103" s="22"/>
      <c r="G103" s="22"/>
      <c r="H103" s="22" t="s">
        <v>7966</v>
      </c>
      <c r="I103" s="25" t="s">
        <v>487</v>
      </c>
      <c r="J103" s="22"/>
      <c r="K103" s="22" t="s">
        <v>488</v>
      </c>
      <c r="L103" s="22"/>
      <c r="M103" s="22" t="str">
        <f>HYPERLINK("https://ceds.ed.gov/cedselementdetails.aspx?termid=22147")</f>
        <v>https://ceds.ed.gov/cedselementdetails.aspx?termid=22147</v>
      </c>
    </row>
    <row r="104" spans="1:13" x14ac:dyDescent="0.3">
      <c r="A104" s="22" t="s">
        <v>489</v>
      </c>
      <c r="B104" s="22" t="s">
        <v>490</v>
      </c>
      <c r="C104" s="23" t="s">
        <v>32</v>
      </c>
      <c r="D104" s="22" t="s">
        <v>455</v>
      </c>
      <c r="E104" s="22"/>
      <c r="F104" s="22" t="s">
        <v>85</v>
      </c>
      <c r="G104" s="22"/>
      <c r="H104" s="22" t="s">
        <v>7967</v>
      </c>
      <c r="I104" s="25" t="s">
        <v>491</v>
      </c>
      <c r="J104" s="22"/>
      <c r="K104" s="22" t="s">
        <v>492</v>
      </c>
      <c r="L104" s="22"/>
      <c r="M104" s="22" t="str">
        <f>HYPERLINK("https://ceds.ed.gov/cedselementdetails.aspx?termid=22146")</f>
        <v>https://ceds.ed.gov/cedselementdetails.aspx?termid=22146</v>
      </c>
    </row>
    <row r="105" spans="1:13" ht="144" x14ac:dyDescent="0.3">
      <c r="A105" s="22" t="s">
        <v>493</v>
      </c>
      <c r="B105" s="22" t="s">
        <v>494</v>
      </c>
      <c r="C105" s="26" t="s">
        <v>8609</v>
      </c>
      <c r="D105" s="22" t="s">
        <v>495</v>
      </c>
      <c r="E105" s="22"/>
      <c r="F105" s="22"/>
      <c r="G105" s="22"/>
      <c r="H105" s="22"/>
      <c r="I105" s="25" t="s">
        <v>496</v>
      </c>
      <c r="J105" s="22"/>
      <c r="K105" s="22" t="s">
        <v>497</v>
      </c>
      <c r="L105" s="24" t="s">
        <v>498</v>
      </c>
      <c r="M105" s="22" t="str">
        <f>HYPERLINK("https://ceds.ed.gov/cedselementdetails.aspx?termid=21598")</f>
        <v>https://ceds.ed.gov/cedselementdetails.aspx?termid=21598</v>
      </c>
    </row>
    <row r="106" spans="1:13" ht="86.4" x14ac:dyDescent="0.3">
      <c r="A106" s="22" t="s">
        <v>499</v>
      </c>
      <c r="B106" s="22" t="s">
        <v>500</v>
      </c>
      <c r="C106" s="26" t="s">
        <v>8610</v>
      </c>
      <c r="D106" s="24" t="s">
        <v>8611</v>
      </c>
      <c r="E106" s="22"/>
      <c r="F106" s="22"/>
      <c r="G106" s="22"/>
      <c r="H106" s="22" t="s">
        <v>7968</v>
      </c>
      <c r="I106" s="25" t="s">
        <v>501</v>
      </c>
      <c r="J106" s="22"/>
      <c r="K106" s="22" t="s">
        <v>502</v>
      </c>
      <c r="L106" s="24" t="s">
        <v>503</v>
      </c>
      <c r="M106" s="22" t="str">
        <f>HYPERLINK("https://ceds.ed.gov/cedselementdetails.aspx?termid=22003")</f>
        <v>https://ceds.ed.gov/cedselementdetails.aspx?termid=22003</v>
      </c>
    </row>
    <row r="107" spans="1:13" x14ac:dyDescent="0.3">
      <c r="A107" s="22" t="s">
        <v>504</v>
      </c>
      <c r="B107" s="22" t="s">
        <v>505</v>
      </c>
      <c r="C107" s="23" t="s">
        <v>32</v>
      </c>
      <c r="D107" s="22" t="s">
        <v>506</v>
      </c>
      <c r="E107" s="22"/>
      <c r="F107" s="22" t="s">
        <v>85</v>
      </c>
      <c r="G107" s="22"/>
      <c r="H107" s="22" t="s">
        <v>507</v>
      </c>
      <c r="I107" s="25" t="s">
        <v>508</v>
      </c>
      <c r="J107" s="22"/>
      <c r="K107" s="22" t="s">
        <v>509</v>
      </c>
      <c r="L107" s="22"/>
      <c r="M107" s="22" t="str">
        <f>HYPERLINK("https://ceds.ed.gov/cedselementdetails.aspx?termid=21934")</f>
        <v>https://ceds.ed.gov/cedselementdetails.aspx?termid=21934</v>
      </c>
    </row>
    <row r="108" spans="1:13" x14ac:dyDescent="0.3">
      <c r="A108" s="22" t="s">
        <v>510</v>
      </c>
      <c r="B108" s="22" t="s">
        <v>511</v>
      </c>
      <c r="C108" s="23" t="s">
        <v>32</v>
      </c>
      <c r="D108" s="22" t="s">
        <v>506</v>
      </c>
      <c r="E108" s="22"/>
      <c r="F108" s="22" t="s">
        <v>157</v>
      </c>
      <c r="G108" s="22"/>
      <c r="H108" s="22"/>
      <c r="I108" s="25" t="s">
        <v>512</v>
      </c>
      <c r="J108" s="22"/>
      <c r="K108" s="22" t="s">
        <v>513</v>
      </c>
      <c r="L108" s="22"/>
      <c r="M108" s="22" t="str">
        <f>HYPERLINK("https://ceds.ed.gov/cedselementdetails.aspx?termid=21933")</f>
        <v>https://ceds.ed.gov/cedselementdetails.aspx?termid=21933</v>
      </c>
    </row>
    <row r="109" spans="1:13" x14ac:dyDescent="0.3">
      <c r="A109" s="22" t="s">
        <v>514</v>
      </c>
      <c r="B109" s="22" t="s">
        <v>515</v>
      </c>
      <c r="C109" s="23" t="s">
        <v>32</v>
      </c>
      <c r="D109" s="22" t="s">
        <v>516</v>
      </c>
      <c r="E109" s="22"/>
      <c r="F109" s="22" t="s">
        <v>328</v>
      </c>
      <c r="G109" s="22"/>
      <c r="H109" s="22"/>
      <c r="I109" s="25" t="s">
        <v>517</v>
      </c>
      <c r="J109" s="22"/>
      <c r="K109" s="22" t="s">
        <v>518</v>
      </c>
      <c r="L109" s="22"/>
      <c r="M109" s="22" t="str">
        <f>HYPERLINK("https://ceds.ed.gov/cedselementdetails.aspx?termid=22136")</f>
        <v>https://ceds.ed.gov/cedselementdetails.aspx?termid=22136</v>
      </c>
    </row>
    <row r="110" spans="1:13" ht="43.2" x14ac:dyDescent="0.3">
      <c r="A110" s="22" t="s">
        <v>519</v>
      </c>
      <c r="B110" s="22" t="s">
        <v>520</v>
      </c>
      <c r="C110" s="26" t="s">
        <v>22</v>
      </c>
      <c r="D110" s="22" t="s">
        <v>516</v>
      </c>
      <c r="E110" s="22"/>
      <c r="F110" s="22"/>
      <c r="G110" s="22"/>
      <c r="H110" s="22"/>
      <c r="I110" s="25" t="s">
        <v>521</v>
      </c>
      <c r="J110" s="22"/>
      <c r="K110" s="22" t="s">
        <v>522</v>
      </c>
      <c r="L110" s="22"/>
      <c r="M110" s="22" t="str">
        <f>HYPERLINK("https://ceds.ed.gov/cedselementdetails.aspx?termid=22507")</f>
        <v>https://ceds.ed.gov/cedselementdetails.aspx?termid=22507</v>
      </c>
    </row>
    <row r="111" spans="1:13" ht="43.2" x14ac:dyDescent="0.3">
      <c r="A111" s="22" t="s">
        <v>523</v>
      </c>
      <c r="B111" s="22" t="s">
        <v>524</v>
      </c>
      <c r="C111" s="23" t="s">
        <v>32</v>
      </c>
      <c r="D111" s="24" t="s">
        <v>525</v>
      </c>
      <c r="E111" s="22"/>
      <c r="F111" s="22" t="s">
        <v>132</v>
      </c>
      <c r="G111" s="22"/>
      <c r="H111" s="22" t="s">
        <v>7969</v>
      </c>
      <c r="I111" s="25" t="s">
        <v>527</v>
      </c>
      <c r="J111" s="22"/>
      <c r="K111" s="22" t="s">
        <v>528</v>
      </c>
      <c r="L111" s="22"/>
      <c r="M111" s="22" t="str">
        <f>HYPERLINK("https://ceds.ed.gov/cedselementdetails.aspx?termid=22508")</f>
        <v>https://ceds.ed.gov/cedselementdetails.aspx?termid=22508</v>
      </c>
    </row>
    <row r="112" spans="1:13" x14ac:dyDescent="0.3">
      <c r="A112" s="22" t="s">
        <v>529</v>
      </c>
      <c r="B112" s="22" t="s">
        <v>530</v>
      </c>
      <c r="C112" s="23" t="s">
        <v>32</v>
      </c>
      <c r="D112" s="22" t="s">
        <v>516</v>
      </c>
      <c r="E112" s="22"/>
      <c r="F112" s="22" t="s">
        <v>132</v>
      </c>
      <c r="G112" s="22"/>
      <c r="H112" s="22" t="s">
        <v>526</v>
      </c>
      <c r="I112" s="25" t="s">
        <v>531</v>
      </c>
      <c r="J112" s="22"/>
      <c r="K112" s="22" t="s">
        <v>532</v>
      </c>
      <c r="L112" s="22"/>
      <c r="M112" s="22" t="str">
        <f>HYPERLINK("https://ceds.ed.gov/cedselementdetails.aspx?termid=22509")</f>
        <v>https://ceds.ed.gov/cedselementdetails.aspx?termid=22509</v>
      </c>
    </row>
    <row r="113" spans="1:13" x14ac:dyDescent="0.3">
      <c r="A113" s="22" t="s">
        <v>533</v>
      </c>
      <c r="B113" s="22" t="s">
        <v>534</v>
      </c>
      <c r="C113" s="23" t="s">
        <v>32</v>
      </c>
      <c r="D113" s="22" t="s">
        <v>516</v>
      </c>
      <c r="E113" s="22"/>
      <c r="F113" s="22" t="s">
        <v>132</v>
      </c>
      <c r="G113" s="22"/>
      <c r="H113" s="22" t="s">
        <v>7970</v>
      </c>
      <c r="I113" s="25" t="s">
        <v>535</v>
      </c>
      <c r="J113" s="22"/>
      <c r="K113" s="22" t="s">
        <v>536</v>
      </c>
      <c r="L113" s="22"/>
      <c r="M113" s="22" t="str">
        <f>HYPERLINK("https://ceds.ed.gov/cedselementdetails.aspx?termid=22510")</f>
        <v>https://ceds.ed.gov/cedselementdetails.aspx?termid=22510</v>
      </c>
    </row>
    <row r="114" spans="1:13" x14ac:dyDescent="0.3">
      <c r="A114" s="22" t="s">
        <v>537</v>
      </c>
      <c r="B114" s="22" t="s">
        <v>538</v>
      </c>
      <c r="C114" s="23" t="s">
        <v>32</v>
      </c>
      <c r="D114" s="22" t="s">
        <v>516</v>
      </c>
      <c r="E114" s="22"/>
      <c r="F114" s="22" t="s">
        <v>118</v>
      </c>
      <c r="G114" s="22"/>
      <c r="H114" s="22" t="s">
        <v>143</v>
      </c>
      <c r="I114" s="25" t="s">
        <v>539</v>
      </c>
      <c r="J114" s="22"/>
      <c r="K114" s="22" t="s">
        <v>540</v>
      </c>
      <c r="L114" s="22"/>
      <c r="M114" s="22" t="str">
        <f>HYPERLINK("https://ceds.ed.gov/cedselementdetails.aspx?termid=22138")</f>
        <v>https://ceds.ed.gov/cedselementdetails.aspx?termid=22138</v>
      </c>
    </row>
    <row r="115" spans="1:13" ht="129.6" x14ac:dyDescent="0.3">
      <c r="A115" s="22" t="s">
        <v>541</v>
      </c>
      <c r="B115" s="22" t="s">
        <v>542</v>
      </c>
      <c r="C115" s="23" t="s">
        <v>32</v>
      </c>
      <c r="D115" s="22" t="s">
        <v>516</v>
      </c>
      <c r="E115" s="22"/>
      <c r="F115" s="22" t="s">
        <v>132</v>
      </c>
      <c r="G115" s="22"/>
      <c r="H115" s="22"/>
      <c r="I115" s="25" t="s">
        <v>543</v>
      </c>
      <c r="J115" s="22"/>
      <c r="K115" s="22" t="s">
        <v>544</v>
      </c>
      <c r="L115" s="24" t="s">
        <v>545</v>
      </c>
      <c r="M115" s="22" t="str">
        <f>HYPERLINK("https://ceds.ed.gov/cedselementdetails.aspx?termid=21024")</f>
        <v>https://ceds.ed.gov/cedselementdetails.aspx?termid=21024</v>
      </c>
    </row>
    <row r="116" spans="1:13" ht="43.2" x14ac:dyDescent="0.3">
      <c r="A116" s="22" t="s">
        <v>546</v>
      </c>
      <c r="B116" s="22" t="s">
        <v>547</v>
      </c>
      <c r="C116" s="23" t="s">
        <v>32</v>
      </c>
      <c r="D116" s="24" t="s">
        <v>548</v>
      </c>
      <c r="E116" s="22"/>
      <c r="F116" s="22" t="s">
        <v>85</v>
      </c>
      <c r="G116" s="22"/>
      <c r="H116" s="22"/>
      <c r="I116" s="25" t="s">
        <v>549</v>
      </c>
      <c r="J116" s="22"/>
      <c r="K116" s="22" t="s">
        <v>550</v>
      </c>
      <c r="L116" s="24" t="s">
        <v>93</v>
      </c>
      <c r="M116" s="22" t="str">
        <f>HYPERLINK("https://ceds.ed.gov/cedselementdetails.aspx?termid=21365")</f>
        <v>https://ceds.ed.gov/cedselementdetails.aspx?termid=21365</v>
      </c>
    </row>
    <row r="117" spans="1:13" x14ac:dyDescent="0.3">
      <c r="A117" s="22" t="s">
        <v>551</v>
      </c>
      <c r="B117" s="22" t="s">
        <v>552</v>
      </c>
      <c r="C117" s="23" t="s">
        <v>32</v>
      </c>
      <c r="D117" s="22" t="s">
        <v>516</v>
      </c>
      <c r="E117" s="22"/>
      <c r="F117" s="22" t="s">
        <v>328</v>
      </c>
      <c r="G117" s="22"/>
      <c r="H117" s="22"/>
      <c r="I117" s="25" t="s">
        <v>553</v>
      </c>
      <c r="J117" s="22"/>
      <c r="K117" s="22" t="s">
        <v>554</v>
      </c>
      <c r="L117" s="22"/>
      <c r="M117" s="22" t="str">
        <f>HYPERLINK("https://ceds.ed.gov/cedselementdetails.aspx?termid=22139")</f>
        <v>https://ceds.ed.gov/cedselementdetails.aspx?termid=22139</v>
      </c>
    </row>
    <row r="118" spans="1:13" x14ac:dyDescent="0.3">
      <c r="A118" s="22" t="s">
        <v>555</v>
      </c>
      <c r="B118" s="22" t="s">
        <v>556</v>
      </c>
      <c r="C118" s="23" t="s">
        <v>32</v>
      </c>
      <c r="D118" s="22" t="s">
        <v>557</v>
      </c>
      <c r="E118" s="22"/>
      <c r="F118" s="22" t="s">
        <v>132</v>
      </c>
      <c r="G118" s="22"/>
      <c r="H118" s="22" t="s">
        <v>7970</v>
      </c>
      <c r="I118" s="25" t="s">
        <v>558</v>
      </c>
      <c r="J118" s="22"/>
      <c r="K118" s="22" t="s">
        <v>559</v>
      </c>
      <c r="L118" s="22"/>
      <c r="M118" s="22" t="str">
        <f>HYPERLINK("https://ceds.ed.gov/cedselementdetails.aspx?termid=21981")</f>
        <v>https://ceds.ed.gov/cedselementdetails.aspx?termid=21981</v>
      </c>
    </row>
    <row r="119" spans="1:13" x14ac:dyDescent="0.3">
      <c r="A119" s="22" t="s">
        <v>560</v>
      </c>
      <c r="B119" s="22" t="s">
        <v>561</v>
      </c>
      <c r="C119" s="23" t="s">
        <v>32</v>
      </c>
      <c r="D119" s="22" t="s">
        <v>557</v>
      </c>
      <c r="E119" s="22"/>
      <c r="F119" s="22" t="s">
        <v>132</v>
      </c>
      <c r="G119" s="22"/>
      <c r="H119" s="22" t="s">
        <v>7945</v>
      </c>
      <c r="I119" s="25" t="s">
        <v>562</v>
      </c>
      <c r="J119" s="22"/>
      <c r="K119" s="22" t="s">
        <v>563</v>
      </c>
      <c r="L119" s="22"/>
      <c r="M119" s="22" t="str">
        <f>HYPERLINK("https://ceds.ed.gov/cedselementdetails.aspx?termid=22142")</f>
        <v>https://ceds.ed.gov/cedselementdetails.aspx?termid=22142</v>
      </c>
    </row>
    <row r="120" spans="1:13" ht="43.2" x14ac:dyDescent="0.3">
      <c r="A120" s="22" t="s">
        <v>564</v>
      </c>
      <c r="B120" s="22" t="s">
        <v>565</v>
      </c>
      <c r="C120" s="26" t="s">
        <v>22</v>
      </c>
      <c r="D120" s="22" t="s">
        <v>566</v>
      </c>
      <c r="E120" s="22"/>
      <c r="F120" s="22"/>
      <c r="G120" s="22"/>
      <c r="H120" s="22"/>
      <c r="I120" s="25" t="s">
        <v>567</v>
      </c>
      <c r="J120" s="22"/>
      <c r="K120" s="22" t="s">
        <v>568</v>
      </c>
      <c r="L120" s="22"/>
      <c r="M120" s="22" t="str">
        <f>HYPERLINK("https://ceds.ed.gov/cedselementdetails.aspx?termid=22511")</f>
        <v>https://ceds.ed.gov/cedselementdetails.aspx?termid=22511</v>
      </c>
    </row>
    <row r="121" spans="1:13" ht="43.2" x14ac:dyDescent="0.3">
      <c r="A121" s="22" t="s">
        <v>569</v>
      </c>
      <c r="B121" s="22" t="s">
        <v>570</v>
      </c>
      <c r="C121" s="26" t="s">
        <v>22</v>
      </c>
      <c r="D121" s="22" t="s">
        <v>557</v>
      </c>
      <c r="E121" s="22"/>
      <c r="F121" s="22"/>
      <c r="G121" s="22"/>
      <c r="H121" s="22"/>
      <c r="I121" s="25" t="s">
        <v>571</v>
      </c>
      <c r="J121" s="22"/>
      <c r="K121" s="22" t="s">
        <v>572</v>
      </c>
      <c r="L121" s="22"/>
      <c r="M121" s="22" t="str">
        <f>HYPERLINK("https://ceds.ed.gov/cedselementdetails.aspx?termid=22145")</f>
        <v>https://ceds.ed.gov/cedselementdetails.aspx?termid=22145</v>
      </c>
    </row>
    <row r="122" spans="1:13" ht="43.2" x14ac:dyDescent="0.3">
      <c r="A122" s="22" t="s">
        <v>573</v>
      </c>
      <c r="B122" s="22" t="s">
        <v>574</v>
      </c>
      <c r="C122" s="26" t="s">
        <v>22</v>
      </c>
      <c r="D122" s="22" t="s">
        <v>557</v>
      </c>
      <c r="E122" s="22"/>
      <c r="F122" s="22"/>
      <c r="G122" s="22"/>
      <c r="H122" s="22"/>
      <c r="I122" s="25" t="s">
        <v>575</v>
      </c>
      <c r="J122" s="22"/>
      <c r="K122" s="22" t="s">
        <v>576</v>
      </c>
      <c r="L122" s="22"/>
      <c r="M122" s="22" t="str">
        <f>HYPERLINK("https://ceds.ed.gov/cedselementdetails.aspx?termid=22144")</f>
        <v>https://ceds.ed.gov/cedselementdetails.aspx?termid=22144</v>
      </c>
    </row>
    <row r="123" spans="1:13" x14ac:dyDescent="0.3">
      <c r="A123" s="22" t="s">
        <v>577</v>
      </c>
      <c r="B123" s="22" t="s">
        <v>578</v>
      </c>
      <c r="C123" s="23" t="s">
        <v>32</v>
      </c>
      <c r="D123" s="22" t="s">
        <v>557</v>
      </c>
      <c r="E123" s="22"/>
      <c r="F123" s="22" t="s">
        <v>148</v>
      </c>
      <c r="G123" s="22"/>
      <c r="H123" s="22"/>
      <c r="I123" s="25" t="s">
        <v>579</v>
      </c>
      <c r="J123" s="22"/>
      <c r="K123" s="22" t="s">
        <v>580</v>
      </c>
      <c r="L123" s="22"/>
      <c r="M123" s="22" t="str">
        <f>HYPERLINK("https://ceds.ed.gov/cedselementdetails.aspx?termid=21980")</f>
        <v>https://ceds.ed.gov/cedselementdetails.aspx?termid=21980</v>
      </c>
    </row>
    <row r="124" spans="1:13" x14ac:dyDescent="0.3">
      <c r="A124" s="22" t="s">
        <v>581</v>
      </c>
      <c r="B124" s="22" t="s">
        <v>582</v>
      </c>
      <c r="C124" s="23" t="s">
        <v>32</v>
      </c>
      <c r="D124" s="22" t="s">
        <v>557</v>
      </c>
      <c r="E124" s="22"/>
      <c r="F124" s="22" t="s">
        <v>430</v>
      </c>
      <c r="G124" s="22"/>
      <c r="H124" s="22"/>
      <c r="I124" s="25" t="s">
        <v>583</v>
      </c>
      <c r="J124" s="22"/>
      <c r="K124" s="22" t="s">
        <v>584</v>
      </c>
      <c r="L124" s="22"/>
      <c r="M124" s="22" t="str">
        <f>HYPERLINK("https://ceds.ed.gov/cedselementdetails.aspx?termid=22143")</f>
        <v>https://ceds.ed.gov/cedselementdetails.aspx?termid=22143</v>
      </c>
    </row>
    <row r="125" spans="1:13" x14ac:dyDescent="0.3">
      <c r="A125" s="22" t="s">
        <v>585</v>
      </c>
      <c r="B125" s="22" t="s">
        <v>586</v>
      </c>
      <c r="C125" s="23" t="s">
        <v>32</v>
      </c>
      <c r="D125" s="22" t="s">
        <v>557</v>
      </c>
      <c r="E125" s="22"/>
      <c r="F125" s="22" t="s">
        <v>85</v>
      </c>
      <c r="G125" s="22"/>
      <c r="H125" s="22"/>
      <c r="I125" s="25" t="s">
        <v>587</v>
      </c>
      <c r="J125" s="22"/>
      <c r="K125" s="22" t="s">
        <v>588</v>
      </c>
      <c r="L125" s="22"/>
      <c r="M125" s="22" t="str">
        <f>HYPERLINK("https://ceds.ed.gov/cedselementdetails.aspx?termid=22140")</f>
        <v>https://ceds.ed.gov/cedselementdetails.aspx?termid=22140</v>
      </c>
    </row>
    <row r="126" spans="1:13" ht="43.2" x14ac:dyDescent="0.3">
      <c r="A126" s="22" t="s">
        <v>589</v>
      </c>
      <c r="B126" s="22" t="s">
        <v>590</v>
      </c>
      <c r="C126" s="26" t="s">
        <v>22</v>
      </c>
      <c r="D126" s="22" t="s">
        <v>495</v>
      </c>
      <c r="E126" s="22"/>
      <c r="F126" s="22"/>
      <c r="G126" s="22"/>
      <c r="H126" s="22"/>
      <c r="I126" s="25" t="s">
        <v>591</v>
      </c>
      <c r="J126" s="22"/>
      <c r="K126" s="22" t="s">
        <v>592</v>
      </c>
      <c r="L126" s="22"/>
      <c r="M126" s="22" t="str">
        <f>HYPERLINK("https://ceds.ed.gov/cedselementdetails.aspx?termid=22181")</f>
        <v>https://ceds.ed.gov/cedselementdetails.aspx?termid=22181</v>
      </c>
    </row>
    <row r="127" spans="1:13" x14ac:dyDescent="0.3">
      <c r="A127" s="22" t="s">
        <v>593</v>
      </c>
      <c r="B127" s="22" t="s">
        <v>594</v>
      </c>
      <c r="C127" s="23" t="s">
        <v>32</v>
      </c>
      <c r="D127" s="22" t="s">
        <v>595</v>
      </c>
      <c r="E127" s="22"/>
      <c r="F127" s="22" t="s">
        <v>148</v>
      </c>
      <c r="G127" s="22"/>
      <c r="H127" s="22"/>
      <c r="I127" s="25" t="s">
        <v>596</v>
      </c>
      <c r="J127" s="22"/>
      <c r="K127" s="22" t="s">
        <v>597</v>
      </c>
      <c r="L127" s="22"/>
      <c r="M127" s="22" t="str">
        <f>HYPERLINK("https://ceds.ed.gov/cedselementdetails.aspx?termid=22013")</f>
        <v>https://ceds.ed.gov/cedselementdetails.aspx?termid=22013</v>
      </c>
    </row>
    <row r="128" spans="1:13" x14ac:dyDescent="0.3">
      <c r="A128" s="22" t="s">
        <v>598</v>
      </c>
      <c r="B128" s="22" t="s">
        <v>599</v>
      </c>
      <c r="C128" s="23" t="s">
        <v>32</v>
      </c>
      <c r="D128" s="22" t="s">
        <v>595</v>
      </c>
      <c r="E128" s="22"/>
      <c r="F128" s="22" t="s">
        <v>148</v>
      </c>
      <c r="G128" s="22"/>
      <c r="H128" s="22"/>
      <c r="I128" s="25" t="s">
        <v>600</v>
      </c>
      <c r="J128" s="22"/>
      <c r="K128" s="22" t="s">
        <v>601</v>
      </c>
      <c r="L128" s="22"/>
      <c r="M128" s="22" t="str">
        <f>HYPERLINK("https://ceds.ed.gov/cedselementdetails.aspx?termid=22014")</f>
        <v>https://ceds.ed.gov/cedselementdetails.aspx?termid=22014</v>
      </c>
    </row>
    <row r="129" spans="1:13" x14ac:dyDescent="0.3">
      <c r="A129" s="22" t="s">
        <v>602</v>
      </c>
      <c r="B129" s="22" t="s">
        <v>603</v>
      </c>
      <c r="C129" s="23" t="s">
        <v>32</v>
      </c>
      <c r="D129" s="22" t="s">
        <v>595</v>
      </c>
      <c r="E129" s="22"/>
      <c r="F129" s="22" t="s">
        <v>148</v>
      </c>
      <c r="G129" s="22"/>
      <c r="H129" s="22"/>
      <c r="I129" s="25" t="s">
        <v>604</v>
      </c>
      <c r="J129" s="22"/>
      <c r="K129" s="22" t="s">
        <v>605</v>
      </c>
      <c r="L129" s="22"/>
      <c r="M129" s="22" t="str">
        <f>HYPERLINK("https://ceds.ed.gov/cedselementdetails.aspx?termid=22015")</f>
        <v>https://ceds.ed.gov/cedselementdetails.aspx?termid=22015</v>
      </c>
    </row>
    <row r="130" spans="1:13" x14ac:dyDescent="0.3">
      <c r="A130" s="22" t="s">
        <v>606</v>
      </c>
      <c r="B130" s="22" t="s">
        <v>7971</v>
      </c>
      <c r="C130" s="23" t="s">
        <v>32</v>
      </c>
      <c r="D130" s="22" t="s">
        <v>495</v>
      </c>
      <c r="E130" s="22"/>
      <c r="F130" s="22" t="s">
        <v>317</v>
      </c>
      <c r="G130" s="22"/>
      <c r="H130" s="22"/>
      <c r="I130" s="25" t="s">
        <v>607</v>
      </c>
      <c r="J130" s="22"/>
      <c r="K130" s="22" t="s">
        <v>608</v>
      </c>
      <c r="L130" s="22"/>
      <c r="M130" s="22" t="str">
        <f>HYPERLINK("https://ceds.ed.gov/cedselementdetails.aspx?termid=22180")</f>
        <v>https://ceds.ed.gov/cedselementdetails.aspx?termid=22180</v>
      </c>
    </row>
    <row r="131" spans="1:13" x14ac:dyDescent="0.3">
      <c r="A131" s="22" t="s">
        <v>609</v>
      </c>
      <c r="B131" s="22" t="s">
        <v>610</v>
      </c>
      <c r="C131" s="23" t="s">
        <v>32</v>
      </c>
      <c r="D131" s="22" t="s">
        <v>516</v>
      </c>
      <c r="E131" s="22"/>
      <c r="F131" s="22" t="s">
        <v>85</v>
      </c>
      <c r="G131" s="22"/>
      <c r="H131" s="22"/>
      <c r="I131" s="25" t="s">
        <v>611</v>
      </c>
      <c r="J131" s="22"/>
      <c r="K131" s="22" t="s">
        <v>612</v>
      </c>
      <c r="L131" s="22"/>
      <c r="M131" s="22" t="str">
        <f>HYPERLINK("https://ceds.ed.gov/cedselementdetails.aspx?termid=22134")</f>
        <v>https://ceds.ed.gov/cedselementdetails.aspx?termid=22134</v>
      </c>
    </row>
    <row r="132" spans="1:13" x14ac:dyDescent="0.3">
      <c r="A132" s="22" t="s">
        <v>613</v>
      </c>
      <c r="B132" s="22" t="s">
        <v>614</v>
      </c>
      <c r="C132" s="23" t="s">
        <v>32</v>
      </c>
      <c r="D132" s="22" t="s">
        <v>506</v>
      </c>
      <c r="E132" s="22"/>
      <c r="F132" s="22" t="s">
        <v>132</v>
      </c>
      <c r="G132" s="22"/>
      <c r="H132" s="22" t="s">
        <v>7970</v>
      </c>
      <c r="I132" s="25" t="s">
        <v>615</v>
      </c>
      <c r="J132" s="22"/>
      <c r="K132" s="22" t="s">
        <v>616</v>
      </c>
      <c r="L132" s="22"/>
      <c r="M132" s="22" t="str">
        <f>HYPERLINK("https://ceds.ed.gov/cedselementdetails.aspx?termid=21982")</f>
        <v>https://ceds.ed.gov/cedselementdetails.aspx?termid=21982</v>
      </c>
    </row>
    <row r="133" spans="1:13" ht="144" x14ac:dyDescent="0.3">
      <c r="A133" s="22" t="s">
        <v>617</v>
      </c>
      <c r="B133" s="22" t="s">
        <v>618</v>
      </c>
      <c r="C133" s="26" t="s">
        <v>8612</v>
      </c>
      <c r="D133" s="24" t="s">
        <v>619</v>
      </c>
      <c r="E133" s="22"/>
      <c r="F133" s="22"/>
      <c r="G133" s="22"/>
      <c r="H133" s="22"/>
      <c r="I133" s="25" t="s">
        <v>620</v>
      </c>
      <c r="J133" s="22"/>
      <c r="K133" s="22" t="s">
        <v>621</v>
      </c>
      <c r="L133" s="24" t="s">
        <v>622</v>
      </c>
      <c r="M133" s="22" t="str">
        <f>HYPERLINK("https://ceds.ed.gov/cedselementdetails.aspx?termid=21158")</f>
        <v>https://ceds.ed.gov/cedselementdetails.aspx?termid=21158</v>
      </c>
    </row>
    <row r="134" spans="1:13" ht="144" x14ac:dyDescent="0.3">
      <c r="A134" s="22" t="s">
        <v>623</v>
      </c>
      <c r="B134" s="22" t="s">
        <v>7972</v>
      </c>
      <c r="C134" s="23" t="s">
        <v>32</v>
      </c>
      <c r="D134" s="24" t="s">
        <v>624</v>
      </c>
      <c r="E134" s="22" t="s">
        <v>172</v>
      </c>
      <c r="F134" s="22" t="s">
        <v>780</v>
      </c>
      <c r="G134" s="22" t="s">
        <v>7973</v>
      </c>
      <c r="H134" s="22" t="s">
        <v>7945</v>
      </c>
      <c r="I134" s="25" t="s">
        <v>625</v>
      </c>
      <c r="J134" s="22"/>
      <c r="K134" s="22" t="s">
        <v>626</v>
      </c>
      <c r="L134" s="24" t="s">
        <v>627</v>
      </c>
      <c r="M134" s="22" t="str">
        <f>HYPERLINK("https://ceds.ed.gov/cedselementdetails.aspx?termid=21152")</f>
        <v>https://ceds.ed.gov/cedselementdetails.aspx?termid=21152</v>
      </c>
    </row>
    <row r="135" spans="1:13" ht="43.2" x14ac:dyDescent="0.3">
      <c r="A135" s="22" t="s">
        <v>628</v>
      </c>
      <c r="B135" s="22" t="s">
        <v>629</v>
      </c>
      <c r="C135" s="26" t="s">
        <v>22</v>
      </c>
      <c r="D135" s="22" t="s">
        <v>630</v>
      </c>
      <c r="E135" s="22"/>
      <c r="F135" s="22"/>
      <c r="G135" s="22"/>
      <c r="H135" s="22"/>
      <c r="I135" s="25" t="s">
        <v>631</v>
      </c>
      <c r="J135" s="22"/>
      <c r="K135" s="22" t="s">
        <v>632</v>
      </c>
      <c r="L135" s="22"/>
      <c r="M135" s="22" t="str">
        <f>HYPERLINK("https://ceds.ed.gov/cedselementdetails.aspx?termid=22111")</f>
        <v>https://ceds.ed.gov/cedselementdetails.aspx?termid=22111</v>
      </c>
    </row>
    <row r="136" spans="1:13" ht="28.8" x14ac:dyDescent="0.3">
      <c r="A136" s="22" t="s">
        <v>633</v>
      </c>
      <c r="B136" s="22" t="s">
        <v>634</v>
      </c>
      <c r="C136" s="23" t="s">
        <v>32</v>
      </c>
      <c r="D136" s="22" t="s">
        <v>635</v>
      </c>
      <c r="E136" s="22"/>
      <c r="F136" s="22" t="s">
        <v>430</v>
      </c>
      <c r="G136" s="22"/>
      <c r="H136" s="22"/>
      <c r="I136" s="25" t="s">
        <v>636</v>
      </c>
      <c r="J136" s="22"/>
      <c r="K136" s="22" t="s">
        <v>637</v>
      </c>
      <c r="L136" s="24" t="s">
        <v>638</v>
      </c>
      <c r="M136" s="22" t="str">
        <f>HYPERLINK("https://ceds.ed.gov/cedselementdetails.aspx?termid=21395")</f>
        <v>https://ceds.ed.gov/cedselementdetails.aspx?termid=21395</v>
      </c>
    </row>
    <row r="137" spans="1:13" x14ac:dyDescent="0.3">
      <c r="A137" s="22" t="s">
        <v>639</v>
      </c>
      <c r="B137" s="22" t="s">
        <v>640</v>
      </c>
      <c r="C137" s="23" t="s">
        <v>32</v>
      </c>
      <c r="D137" s="22" t="s">
        <v>630</v>
      </c>
      <c r="E137" s="22"/>
      <c r="F137" s="22" t="s">
        <v>328</v>
      </c>
      <c r="G137" s="22"/>
      <c r="H137" s="22"/>
      <c r="I137" s="25" t="s">
        <v>641</v>
      </c>
      <c r="J137" s="22"/>
      <c r="K137" s="22" t="s">
        <v>642</v>
      </c>
      <c r="L137" s="22"/>
      <c r="M137" s="22" t="str">
        <f>HYPERLINK("https://ceds.ed.gov/cedselementdetails.aspx?termid=22110")</f>
        <v>https://ceds.ed.gov/cedselementdetails.aspx?termid=22110</v>
      </c>
    </row>
    <row r="138" spans="1:13" x14ac:dyDescent="0.3">
      <c r="A138" s="22" t="s">
        <v>643</v>
      </c>
      <c r="B138" s="22" t="s">
        <v>644</v>
      </c>
      <c r="C138" s="23" t="s">
        <v>32</v>
      </c>
      <c r="D138" s="22" t="s">
        <v>630</v>
      </c>
      <c r="E138" s="22"/>
      <c r="F138" s="22" t="s">
        <v>328</v>
      </c>
      <c r="G138" s="22"/>
      <c r="H138" s="22"/>
      <c r="I138" s="25" t="s">
        <v>645</v>
      </c>
      <c r="J138" s="22"/>
      <c r="K138" s="22" t="s">
        <v>646</v>
      </c>
      <c r="L138" s="22"/>
      <c r="M138" s="22" t="str">
        <f>HYPERLINK("https://ceds.ed.gov/cedselementdetails.aspx?termid=22109")</f>
        <v>https://ceds.ed.gov/cedselementdetails.aspx?termid=22109</v>
      </c>
    </row>
    <row r="139" spans="1:13" x14ac:dyDescent="0.3">
      <c r="A139" s="22" t="s">
        <v>647</v>
      </c>
      <c r="B139" s="22" t="s">
        <v>7974</v>
      </c>
      <c r="C139" s="23" t="s">
        <v>32</v>
      </c>
      <c r="D139" s="22" t="s">
        <v>630</v>
      </c>
      <c r="E139" s="22"/>
      <c r="F139" s="22" t="s">
        <v>328</v>
      </c>
      <c r="G139" s="22"/>
      <c r="H139" s="22"/>
      <c r="I139" s="25" t="s">
        <v>648</v>
      </c>
      <c r="J139" s="22"/>
      <c r="K139" s="22" t="s">
        <v>649</v>
      </c>
      <c r="L139" s="22"/>
      <c r="M139" s="22" t="str">
        <f>HYPERLINK("https://ceds.ed.gov/cedselementdetails.aspx?termid=22106")</f>
        <v>https://ceds.ed.gov/cedselementdetails.aspx?termid=22106</v>
      </c>
    </row>
    <row r="140" spans="1:13" x14ac:dyDescent="0.3">
      <c r="A140" s="22" t="s">
        <v>650</v>
      </c>
      <c r="B140" s="22" t="s">
        <v>7975</v>
      </c>
      <c r="C140" s="23" t="s">
        <v>32</v>
      </c>
      <c r="D140" s="22" t="s">
        <v>630</v>
      </c>
      <c r="E140" s="22"/>
      <c r="F140" s="22" t="s">
        <v>328</v>
      </c>
      <c r="G140" s="22"/>
      <c r="H140" s="22"/>
      <c r="I140" s="25" t="s">
        <v>651</v>
      </c>
      <c r="J140" s="22"/>
      <c r="K140" s="22" t="s">
        <v>652</v>
      </c>
      <c r="L140" s="22"/>
      <c r="M140" s="22" t="str">
        <f>HYPERLINK("https://ceds.ed.gov/cedselementdetails.aspx?termid=22105")</f>
        <v>https://ceds.ed.gov/cedselementdetails.aspx?termid=22105</v>
      </c>
    </row>
    <row r="141" spans="1:13" x14ac:dyDescent="0.3">
      <c r="A141" s="22" t="s">
        <v>653</v>
      </c>
      <c r="B141" s="22" t="s">
        <v>654</v>
      </c>
      <c r="C141" s="23" t="s">
        <v>32</v>
      </c>
      <c r="D141" s="22" t="s">
        <v>630</v>
      </c>
      <c r="E141" s="22"/>
      <c r="F141" s="22" t="s">
        <v>50</v>
      </c>
      <c r="G141" s="22"/>
      <c r="H141" s="22"/>
      <c r="I141" s="25" t="s">
        <v>655</v>
      </c>
      <c r="J141" s="22"/>
      <c r="K141" s="22" t="s">
        <v>656</v>
      </c>
      <c r="L141" s="22"/>
      <c r="M141" s="22" t="str">
        <f>HYPERLINK("https://ceds.ed.gov/cedselementdetails.aspx?termid=22103")</f>
        <v>https://ceds.ed.gov/cedselementdetails.aspx?termid=22103</v>
      </c>
    </row>
    <row r="142" spans="1:13" x14ac:dyDescent="0.3">
      <c r="A142" s="22" t="s">
        <v>657</v>
      </c>
      <c r="B142" s="22" t="s">
        <v>658</v>
      </c>
      <c r="C142" s="23" t="s">
        <v>32</v>
      </c>
      <c r="D142" s="22" t="s">
        <v>630</v>
      </c>
      <c r="E142" s="22"/>
      <c r="F142" s="22" t="s">
        <v>328</v>
      </c>
      <c r="G142" s="22"/>
      <c r="H142" s="22"/>
      <c r="I142" s="25" t="s">
        <v>659</v>
      </c>
      <c r="J142" s="22"/>
      <c r="K142" s="22" t="s">
        <v>660</v>
      </c>
      <c r="L142" s="22"/>
      <c r="M142" s="22" t="str">
        <f>HYPERLINK("https://ceds.ed.gov/cedselementdetails.aspx?termid=22104")</f>
        <v>https://ceds.ed.gov/cedselementdetails.aspx?termid=22104</v>
      </c>
    </row>
    <row r="143" spans="1:13" x14ac:dyDescent="0.3">
      <c r="A143" s="22" t="s">
        <v>661</v>
      </c>
      <c r="B143" s="22" t="s">
        <v>7976</v>
      </c>
      <c r="C143" s="23" t="s">
        <v>32</v>
      </c>
      <c r="D143" s="22" t="s">
        <v>630</v>
      </c>
      <c r="E143" s="22"/>
      <c r="F143" s="22" t="s">
        <v>328</v>
      </c>
      <c r="G143" s="22"/>
      <c r="H143" s="22"/>
      <c r="I143" s="25" t="s">
        <v>662</v>
      </c>
      <c r="J143" s="22"/>
      <c r="K143" s="22" t="s">
        <v>663</v>
      </c>
      <c r="L143" s="22"/>
      <c r="M143" s="22" t="str">
        <f>HYPERLINK("https://ceds.ed.gov/cedselementdetails.aspx?termid=22107")</f>
        <v>https://ceds.ed.gov/cedselementdetails.aspx?termid=22107</v>
      </c>
    </row>
    <row r="144" spans="1:13" x14ac:dyDescent="0.3">
      <c r="A144" s="22" t="s">
        <v>664</v>
      </c>
      <c r="B144" s="22" t="s">
        <v>665</v>
      </c>
      <c r="C144" s="23" t="s">
        <v>32</v>
      </c>
      <c r="D144" s="22" t="s">
        <v>630</v>
      </c>
      <c r="E144" s="22"/>
      <c r="F144" s="22" t="s">
        <v>328</v>
      </c>
      <c r="G144" s="22"/>
      <c r="H144" s="22"/>
      <c r="I144" s="25" t="s">
        <v>666</v>
      </c>
      <c r="J144" s="22"/>
      <c r="K144" s="22" t="s">
        <v>667</v>
      </c>
      <c r="L144" s="22"/>
      <c r="M144" s="22" t="str">
        <f>HYPERLINK("https://ceds.ed.gov/cedselementdetails.aspx?termid=22108")</f>
        <v>https://ceds.ed.gov/cedselementdetails.aspx?termid=22108</v>
      </c>
    </row>
    <row r="145" spans="1:13" x14ac:dyDescent="0.3">
      <c r="A145" s="22" t="s">
        <v>668</v>
      </c>
      <c r="B145" s="22" t="s">
        <v>669</v>
      </c>
      <c r="C145" s="23" t="s">
        <v>32</v>
      </c>
      <c r="D145" s="22" t="s">
        <v>635</v>
      </c>
      <c r="E145" s="22"/>
      <c r="F145" s="22" t="s">
        <v>132</v>
      </c>
      <c r="G145" s="22"/>
      <c r="H145" s="22" t="s">
        <v>7945</v>
      </c>
      <c r="I145" s="25" t="s">
        <v>670</v>
      </c>
      <c r="J145" s="22"/>
      <c r="K145" s="22" t="s">
        <v>671</v>
      </c>
      <c r="L145" s="22"/>
      <c r="M145" s="22" t="str">
        <f>HYPERLINK("https://ceds.ed.gov/cedselementdetails.aspx?termid=22132")</f>
        <v>https://ceds.ed.gov/cedselementdetails.aspx?termid=22132</v>
      </c>
    </row>
    <row r="146" spans="1:13" x14ac:dyDescent="0.3">
      <c r="A146" s="22" t="s">
        <v>672</v>
      </c>
      <c r="B146" s="22" t="s">
        <v>673</v>
      </c>
      <c r="C146" s="23" t="s">
        <v>32</v>
      </c>
      <c r="D146" s="22" t="s">
        <v>635</v>
      </c>
      <c r="E146" s="22"/>
      <c r="F146" s="22" t="s">
        <v>157</v>
      </c>
      <c r="G146" s="22"/>
      <c r="H146" s="22"/>
      <c r="I146" s="25" t="s">
        <v>674</v>
      </c>
      <c r="J146" s="22"/>
      <c r="K146" s="22" t="s">
        <v>675</v>
      </c>
      <c r="L146" s="22"/>
      <c r="M146" s="22" t="str">
        <f>HYPERLINK("https://ceds.ed.gov/cedselementdetails.aspx?termid=22133")</f>
        <v>https://ceds.ed.gov/cedselementdetails.aspx?termid=22133</v>
      </c>
    </row>
    <row r="147" spans="1:13" x14ac:dyDescent="0.3">
      <c r="A147" s="22" t="s">
        <v>676</v>
      </c>
      <c r="B147" s="22" t="s">
        <v>677</v>
      </c>
      <c r="C147" s="23" t="s">
        <v>32</v>
      </c>
      <c r="D147" s="22" t="s">
        <v>388</v>
      </c>
      <c r="E147" s="22"/>
      <c r="F147" s="22" t="s">
        <v>328</v>
      </c>
      <c r="G147" s="22"/>
      <c r="H147" s="22"/>
      <c r="I147" s="25" t="s">
        <v>678</v>
      </c>
      <c r="J147" s="22"/>
      <c r="K147" s="22" t="s">
        <v>679</v>
      </c>
      <c r="L147" s="22"/>
      <c r="M147" s="22" t="str">
        <f>HYPERLINK("https://ceds.ed.gov/cedselementdetails.aspx?termid=22100")</f>
        <v>https://ceds.ed.gov/cedselementdetails.aspx?termid=22100</v>
      </c>
    </row>
    <row r="148" spans="1:13" x14ac:dyDescent="0.3">
      <c r="A148" s="22" t="s">
        <v>680</v>
      </c>
      <c r="B148" s="22" t="s">
        <v>681</v>
      </c>
      <c r="C148" s="23" t="s">
        <v>32</v>
      </c>
      <c r="D148" s="22" t="s">
        <v>388</v>
      </c>
      <c r="E148" s="22"/>
      <c r="F148" s="22" t="s">
        <v>328</v>
      </c>
      <c r="G148" s="22"/>
      <c r="H148" s="22"/>
      <c r="I148" s="25" t="s">
        <v>682</v>
      </c>
      <c r="J148" s="22"/>
      <c r="K148" s="22" t="s">
        <v>683</v>
      </c>
      <c r="L148" s="22"/>
      <c r="M148" s="22" t="str">
        <f>HYPERLINK("https://ceds.ed.gov/cedselementdetails.aspx?termid=22090")</f>
        <v>https://ceds.ed.gov/cedselementdetails.aspx?termid=22090</v>
      </c>
    </row>
    <row r="149" spans="1:13" x14ac:dyDescent="0.3">
      <c r="A149" s="22" t="s">
        <v>684</v>
      </c>
      <c r="B149" s="22" t="s">
        <v>7977</v>
      </c>
      <c r="C149" s="23" t="s">
        <v>32</v>
      </c>
      <c r="D149" s="22" t="s">
        <v>685</v>
      </c>
      <c r="E149" s="22"/>
      <c r="F149" s="22" t="s">
        <v>328</v>
      </c>
      <c r="G149" s="22"/>
      <c r="H149" s="22"/>
      <c r="I149" s="25" t="s">
        <v>686</v>
      </c>
      <c r="J149" s="22"/>
      <c r="K149" s="22" t="s">
        <v>687</v>
      </c>
      <c r="L149" s="22"/>
      <c r="M149" s="22" t="str">
        <f>HYPERLINK("https://ceds.ed.gov/cedselementdetails.aspx?termid=22079")</f>
        <v>https://ceds.ed.gov/cedselementdetails.aspx?termid=22079</v>
      </c>
    </row>
    <row r="150" spans="1:13" x14ac:dyDescent="0.3">
      <c r="A150" s="22" t="s">
        <v>688</v>
      </c>
      <c r="B150" s="22" t="s">
        <v>689</v>
      </c>
      <c r="C150" s="23" t="s">
        <v>32</v>
      </c>
      <c r="D150" s="22" t="s">
        <v>388</v>
      </c>
      <c r="E150" s="22"/>
      <c r="F150" s="22" t="s">
        <v>328</v>
      </c>
      <c r="G150" s="22"/>
      <c r="H150" s="22"/>
      <c r="I150" s="25" t="s">
        <v>690</v>
      </c>
      <c r="J150" s="22"/>
      <c r="K150" s="22" t="s">
        <v>691</v>
      </c>
      <c r="L150" s="22"/>
      <c r="M150" s="22" t="str">
        <f>HYPERLINK("https://ceds.ed.gov/cedselementdetails.aspx?termid=22080")</f>
        <v>https://ceds.ed.gov/cedselementdetails.aspx?termid=22080</v>
      </c>
    </row>
    <row r="151" spans="1:13" x14ac:dyDescent="0.3">
      <c r="A151" s="22" t="s">
        <v>692</v>
      </c>
      <c r="B151" s="22" t="s">
        <v>693</v>
      </c>
      <c r="C151" s="23" t="s">
        <v>32</v>
      </c>
      <c r="D151" s="22" t="s">
        <v>388</v>
      </c>
      <c r="E151" s="22"/>
      <c r="F151" s="22" t="s">
        <v>328</v>
      </c>
      <c r="G151" s="22"/>
      <c r="H151" s="22"/>
      <c r="I151" s="25" t="s">
        <v>694</v>
      </c>
      <c r="J151" s="22"/>
      <c r="K151" s="22" t="s">
        <v>695</v>
      </c>
      <c r="L151" s="22"/>
      <c r="M151" s="22" t="str">
        <f>HYPERLINK("https://ceds.ed.gov/cedselementdetails.aspx?termid=22098")</f>
        <v>https://ceds.ed.gov/cedselementdetails.aspx?termid=22098</v>
      </c>
    </row>
    <row r="152" spans="1:13" x14ac:dyDescent="0.3">
      <c r="A152" s="22" t="s">
        <v>696</v>
      </c>
      <c r="B152" s="22" t="s">
        <v>697</v>
      </c>
      <c r="C152" s="23" t="s">
        <v>32</v>
      </c>
      <c r="D152" s="22" t="s">
        <v>388</v>
      </c>
      <c r="E152" s="22"/>
      <c r="F152" s="22" t="s">
        <v>328</v>
      </c>
      <c r="G152" s="22"/>
      <c r="H152" s="22"/>
      <c r="I152" s="25" t="s">
        <v>698</v>
      </c>
      <c r="J152" s="22"/>
      <c r="K152" s="22" t="s">
        <v>699</v>
      </c>
      <c r="L152" s="22"/>
      <c r="M152" s="22" t="str">
        <f>HYPERLINK("https://ceds.ed.gov/cedselementdetails.aspx?termid=22097")</f>
        <v>https://ceds.ed.gov/cedselementdetails.aspx?termid=22097</v>
      </c>
    </row>
    <row r="153" spans="1:13" x14ac:dyDescent="0.3">
      <c r="A153" s="22" t="s">
        <v>700</v>
      </c>
      <c r="B153" s="22" t="s">
        <v>701</v>
      </c>
      <c r="C153" s="23" t="s">
        <v>32</v>
      </c>
      <c r="D153" s="22" t="s">
        <v>388</v>
      </c>
      <c r="E153" s="22"/>
      <c r="F153" s="22" t="s">
        <v>328</v>
      </c>
      <c r="G153" s="22"/>
      <c r="H153" s="22"/>
      <c r="I153" s="25" t="s">
        <v>702</v>
      </c>
      <c r="J153" s="22"/>
      <c r="K153" s="22" t="s">
        <v>703</v>
      </c>
      <c r="L153" s="22"/>
      <c r="M153" s="22" t="str">
        <f>HYPERLINK("https://ceds.ed.gov/cedselementdetails.aspx?termid=22081")</f>
        <v>https://ceds.ed.gov/cedselementdetails.aspx?termid=22081</v>
      </c>
    </row>
    <row r="154" spans="1:13" x14ac:dyDescent="0.3">
      <c r="A154" s="22" t="s">
        <v>704</v>
      </c>
      <c r="B154" s="22" t="s">
        <v>705</v>
      </c>
      <c r="C154" s="23" t="s">
        <v>32</v>
      </c>
      <c r="D154" s="22" t="s">
        <v>388</v>
      </c>
      <c r="E154" s="22"/>
      <c r="F154" s="22" t="s">
        <v>328</v>
      </c>
      <c r="G154" s="22"/>
      <c r="H154" s="22"/>
      <c r="I154" s="25" t="s">
        <v>706</v>
      </c>
      <c r="J154" s="22"/>
      <c r="K154" s="22" t="s">
        <v>707</v>
      </c>
      <c r="L154" s="22"/>
      <c r="M154" s="22" t="str">
        <f>HYPERLINK("https://ceds.ed.gov/cedselementdetails.aspx?termid=22083")</f>
        <v>https://ceds.ed.gov/cedselementdetails.aspx?termid=22083</v>
      </c>
    </row>
    <row r="155" spans="1:13" x14ac:dyDescent="0.3">
      <c r="A155" s="22" t="s">
        <v>708</v>
      </c>
      <c r="B155" s="22" t="s">
        <v>709</v>
      </c>
      <c r="C155" s="23" t="s">
        <v>32</v>
      </c>
      <c r="D155" s="22" t="s">
        <v>388</v>
      </c>
      <c r="E155" s="22"/>
      <c r="F155" s="22" t="s">
        <v>328</v>
      </c>
      <c r="G155" s="22"/>
      <c r="H155" s="22"/>
      <c r="I155" s="25" t="s">
        <v>710</v>
      </c>
      <c r="J155" s="22"/>
      <c r="K155" s="22" t="s">
        <v>711</v>
      </c>
      <c r="L155" s="22"/>
      <c r="M155" s="22" t="str">
        <f>HYPERLINK("https://ceds.ed.gov/cedselementdetails.aspx?termid=22085")</f>
        <v>https://ceds.ed.gov/cedselementdetails.aspx?termid=22085</v>
      </c>
    </row>
    <row r="156" spans="1:13" x14ac:dyDescent="0.3">
      <c r="A156" s="22" t="s">
        <v>712</v>
      </c>
      <c r="B156" s="22" t="s">
        <v>713</v>
      </c>
      <c r="C156" s="23" t="s">
        <v>32</v>
      </c>
      <c r="D156" s="22" t="s">
        <v>388</v>
      </c>
      <c r="E156" s="22"/>
      <c r="F156" s="22" t="s">
        <v>328</v>
      </c>
      <c r="G156" s="22"/>
      <c r="H156" s="22"/>
      <c r="I156" s="25" t="s">
        <v>714</v>
      </c>
      <c r="J156" s="22"/>
      <c r="K156" s="22" t="s">
        <v>715</v>
      </c>
      <c r="L156" s="22"/>
      <c r="M156" s="22" t="str">
        <f>HYPERLINK("https://ceds.ed.gov/cedselementdetails.aspx?termid=22084")</f>
        <v>https://ceds.ed.gov/cedselementdetails.aspx?termid=22084</v>
      </c>
    </row>
    <row r="157" spans="1:13" x14ac:dyDescent="0.3">
      <c r="A157" s="22" t="s">
        <v>716</v>
      </c>
      <c r="B157" s="22" t="s">
        <v>717</v>
      </c>
      <c r="C157" s="23" t="s">
        <v>32</v>
      </c>
      <c r="D157" s="22" t="s">
        <v>388</v>
      </c>
      <c r="E157" s="22"/>
      <c r="F157" s="22" t="s">
        <v>328</v>
      </c>
      <c r="G157" s="22"/>
      <c r="H157" s="22"/>
      <c r="I157" s="25" t="s">
        <v>718</v>
      </c>
      <c r="J157" s="22"/>
      <c r="K157" s="22" t="s">
        <v>719</v>
      </c>
      <c r="L157" s="22"/>
      <c r="M157" s="22" t="str">
        <f>HYPERLINK("https://ceds.ed.gov/cedselementdetails.aspx?termid=22093")</f>
        <v>https://ceds.ed.gov/cedselementdetails.aspx?termid=22093</v>
      </c>
    </row>
    <row r="158" spans="1:13" x14ac:dyDescent="0.3">
      <c r="A158" s="22" t="s">
        <v>720</v>
      </c>
      <c r="B158" s="22" t="s">
        <v>721</v>
      </c>
      <c r="C158" s="23" t="s">
        <v>32</v>
      </c>
      <c r="D158" s="22" t="s">
        <v>388</v>
      </c>
      <c r="E158" s="22"/>
      <c r="F158" s="22" t="s">
        <v>328</v>
      </c>
      <c r="G158" s="22"/>
      <c r="H158" s="22"/>
      <c r="I158" s="25" t="s">
        <v>722</v>
      </c>
      <c r="J158" s="22"/>
      <c r="K158" s="22" t="s">
        <v>723</v>
      </c>
      <c r="L158" s="22"/>
      <c r="M158" s="22" t="str">
        <f>HYPERLINK("https://ceds.ed.gov/cedselementdetails.aspx?termid=22091")</f>
        <v>https://ceds.ed.gov/cedselementdetails.aspx?termid=22091</v>
      </c>
    </row>
    <row r="159" spans="1:13" x14ac:dyDescent="0.3">
      <c r="A159" s="22" t="s">
        <v>724</v>
      </c>
      <c r="B159" s="22" t="s">
        <v>725</v>
      </c>
      <c r="C159" s="23" t="s">
        <v>32</v>
      </c>
      <c r="D159" s="22" t="s">
        <v>388</v>
      </c>
      <c r="E159" s="22"/>
      <c r="F159" s="22" t="s">
        <v>328</v>
      </c>
      <c r="G159" s="22"/>
      <c r="H159" s="22"/>
      <c r="I159" s="25" t="s">
        <v>726</v>
      </c>
      <c r="J159" s="22"/>
      <c r="K159" s="22" t="s">
        <v>727</v>
      </c>
      <c r="L159" s="22"/>
      <c r="M159" s="22" t="str">
        <f>HYPERLINK("https://ceds.ed.gov/cedselementdetails.aspx?termid=22082")</f>
        <v>https://ceds.ed.gov/cedselementdetails.aspx?termid=22082</v>
      </c>
    </row>
    <row r="160" spans="1:13" x14ac:dyDescent="0.3">
      <c r="A160" s="22" t="s">
        <v>728</v>
      </c>
      <c r="B160" s="22" t="s">
        <v>729</v>
      </c>
      <c r="C160" s="23" t="s">
        <v>32</v>
      </c>
      <c r="D160" s="22" t="s">
        <v>388</v>
      </c>
      <c r="E160" s="22"/>
      <c r="F160" s="22" t="s">
        <v>328</v>
      </c>
      <c r="G160" s="22"/>
      <c r="H160" s="22"/>
      <c r="I160" s="25" t="s">
        <v>730</v>
      </c>
      <c r="J160" s="22"/>
      <c r="K160" s="22" t="s">
        <v>731</v>
      </c>
      <c r="L160" s="22"/>
      <c r="M160" s="22" t="str">
        <f>HYPERLINK("https://ceds.ed.gov/cedselementdetails.aspx?termid=22092")</f>
        <v>https://ceds.ed.gov/cedselementdetails.aspx?termid=22092</v>
      </c>
    </row>
    <row r="161" spans="1:13" x14ac:dyDescent="0.3">
      <c r="A161" s="22" t="s">
        <v>732</v>
      </c>
      <c r="B161" s="22" t="s">
        <v>733</v>
      </c>
      <c r="C161" s="23" t="s">
        <v>32</v>
      </c>
      <c r="D161" s="22" t="s">
        <v>388</v>
      </c>
      <c r="E161" s="22"/>
      <c r="F161" s="22" t="s">
        <v>328</v>
      </c>
      <c r="G161" s="22"/>
      <c r="H161" s="22"/>
      <c r="I161" s="25" t="s">
        <v>734</v>
      </c>
      <c r="J161" s="22"/>
      <c r="K161" s="22" t="s">
        <v>735</v>
      </c>
      <c r="L161" s="22"/>
      <c r="M161" s="22" t="str">
        <f>HYPERLINK("https://ceds.ed.gov/cedselementdetails.aspx?termid=22094")</f>
        <v>https://ceds.ed.gov/cedselementdetails.aspx?termid=22094</v>
      </c>
    </row>
    <row r="162" spans="1:13" x14ac:dyDescent="0.3">
      <c r="A162" s="22" t="s">
        <v>736</v>
      </c>
      <c r="B162" s="22" t="s">
        <v>737</v>
      </c>
      <c r="C162" s="23" t="s">
        <v>32</v>
      </c>
      <c r="D162" s="22" t="s">
        <v>388</v>
      </c>
      <c r="E162" s="22"/>
      <c r="F162" s="22" t="s">
        <v>328</v>
      </c>
      <c r="G162" s="22"/>
      <c r="H162" s="22"/>
      <c r="I162" s="25" t="s">
        <v>738</v>
      </c>
      <c r="J162" s="22"/>
      <c r="K162" s="22" t="s">
        <v>739</v>
      </c>
      <c r="L162" s="22"/>
      <c r="M162" s="22" t="str">
        <f>HYPERLINK("https://ceds.ed.gov/cedselementdetails.aspx?termid=22095")</f>
        <v>https://ceds.ed.gov/cedselementdetails.aspx?termid=22095</v>
      </c>
    </row>
    <row r="163" spans="1:13" x14ac:dyDescent="0.3">
      <c r="A163" s="22" t="s">
        <v>740</v>
      </c>
      <c r="B163" s="22" t="s">
        <v>741</v>
      </c>
      <c r="C163" s="23" t="s">
        <v>32</v>
      </c>
      <c r="D163" s="22" t="s">
        <v>388</v>
      </c>
      <c r="E163" s="22"/>
      <c r="F163" s="22" t="s">
        <v>328</v>
      </c>
      <c r="G163" s="22"/>
      <c r="H163" s="22"/>
      <c r="I163" s="25" t="s">
        <v>742</v>
      </c>
      <c r="J163" s="22"/>
      <c r="K163" s="22" t="s">
        <v>743</v>
      </c>
      <c r="L163" s="22"/>
      <c r="M163" s="22" t="str">
        <f>HYPERLINK("https://ceds.ed.gov/cedselementdetails.aspx?termid=22088")</f>
        <v>https://ceds.ed.gov/cedselementdetails.aspx?termid=22088</v>
      </c>
    </row>
    <row r="164" spans="1:13" x14ac:dyDescent="0.3">
      <c r="A164" s="22" t="s">
        <v>744</v>
      </c>
      <c r="B164" s="22" t="s">
        <v>745</v>
      </c>
      <c r="C164" s="23" t="s">
        <v>32</v>
      </c>
      <c r="D164" s="22" t="s">
        <v>388</v>
      </c>
      <c r="E164" s="22"/>
      <c r="F164" s="22" t="s">
        <v>328</v>
      </c>
      <c r="G164" s="22"/>
      <c r="H164" s="22"/>
      <c r="I164" s="25" t="s">
        <v>746</v>
      </c>
      <c r="J164" s="22"/>
      <c r="K164" s="22" t="s">
        <v>747</v>
      </c>
      <c r="L164" s="22"/>
      <c r="M164" s="22" t="str">
        <f>HYPERLINK("https://ceds.ed.gov/cedselementdetails.aspx?termid=22087")</f>
        <v>https://ceds.ed.gov/cedselementdetails.aspx?termid=22087</v>
      </c>
    </row>
    <row r="165" spans="1:13" x14ac:dyDescent="0.3">
      <c r="A165" s="22" t="s">
        <v>748</v>
      </c>
      <c r="B165" s="22" t="s">
        <v>749</v>
      </c>
      <c r="C165" s="23" t="s">
        <v>32</v>
      </c>
      <c r="D165" s="22" t="s">
        <v>388</v>
      </c>
      <c r="E165" s="22"/>
      <c r="F165" s="22" t="s">
        <v>328</v>
      </c>
      <c r="G165" s="22"/>
      <c r="H165" s="22"/>
      <c r="I165" s="25" t="s">
        <v>750</v>
      </c>
      <c r="J165" s="22"/>
      <c r="K165" s="22" t="s">
        <v>751</v>
      </c>
      <c r="L165" s="22"/>
      <c r="M165" s="22" t="str">
        <f>HYPERLINK("https://ceds.ed.gov/cedselementdetails.aspx?termid=22089")</f>
        <v>https://ceds.ed.gov/cedselementdetails.aspx?termid=22089</v>
      </c>
    </row>
    <row r="166" spans="1:13" x14ac:dyDescent="0.3">
      <c r="A166" s="22" t="s">
        <v>752</v>
      </c>
      <c r="B166" s="22" t="s">
        <v>753</v>
      </c>
      <c r="C166" s="23" t="s">
        <v>32</v>
      </c>
      <c r="D166" s="22" t="s">
        <v>635</v>
      </c>
      <c r="E166" s="22"/>
      <c r="F166" s="22" t="s">
        <v>328</v>
      </c>
      <c r="G166" s="22"/>
      <c r="H166" s="22"/>
      <c r="I166" s="25" t="s">
        <v>754</v>
      </c>
      <c r="J166" s="22"/>
      <c r="K166" s="22" t="s">
        <v>755</v>
      </c>
      <c r="L166" s="22"/>
      <c r="M166" s="22" t="str">
        <f>HYPERLINK("https://ceds.ed.gov/cedselementdetails.aspx?termid=22233")</f>
        <v>https://ceds.ed.gov/cedselementdetails.aspx?termid=22233</v>
      </c>
    </row>
    <row r="167" spans="1:13" x14ac:dyDescent="0.3">
      <c r="A167" s="22" t="s">
        <v>756</v>
      </c>
      <c r="B167" s="22" t="s">
        <v>757</v>
      </c>
      <c r="C167" s="23" t="s">
        <v>32</v>
      </c>
      <c r="D167" s="22" t="s">
        <v>388</v>
      </c>
      <c r="E167" s="22"/>
      <c r="F167" s="22" t="s">
        <v>328</v>
      </c>
      <c r="G167" s="22"/>
      <c r="H167" s="22"/>
      <c r="I167" s="25" t="s">
        <v>758</v>
      </c>
      <c r="J167" s="22"/>
      <c r="K167" s="22" t="s">
        <v>759</v>
      </c>
      <c r="L167" s="22"/>
      <c r="M167" s="22" t="str">
        <f>HYPERLINK("https://ceds.ed.gov/cedselementdetails.aspx?termid=22096")</f>
        <v>https://ceds.ed.gov/cedselementdetails.aspx?termid=22096</v>
      </c>
    </row>
    <row r="168" spans="1:13" x14ac:dyDescent="0.3">
      <c r="A168" s="22" t="s">
        <v>760</v>
      </c>
      <c r="B168" s="22" t="s">
        <v>761</v>
      </c>
      <c r="C168" s="23" t="s">
        <v>32</v>
      </c>
      <c r="D168" s="22" t="s">
        <v>388</v>
      </c>
      <c r="E168" s="22"/>
      <c r="F168" s="22" t="s">
        <v>328</v>
      </c>
      <c r="G168" s="22"/>
      <c r="H168" s="22"/>
      <c r="I168" s="25" t="s">
        <v>762</v>
      </c>
      <c r="J168" s="22"/>
      <c r="K168" s="22" t="s">
        <v>763</v>
      </c>
      <c r="L168" s="22"/>
      <c r="M168" s="22" t="str">
        <f>HYPERLINK("https://ceds.ed.gov/cedselementdetails.aspx?termid=22099")</f>
        <v>https://ceds.ed.gov/cedselementdetails.aspx?termid=22099</v>
      </c>
    </row>
    <row r="169" spans="1:13" ht="360" x14ac:dyDescent="0.3">
      <c r="A169" s="22" t="s">
        <v>764</v>
      </c>
      <c r="B169" s="22" t="s">
        <v>765</v>
      </c>
      <c r="C169" s="26" t="s">
        <v>8613</v>
      </c>
      <c r="D169" s="22" t="s">
        <v>766</v>
      </c>
      <c r="E169" s="22"/>
      <c r="F169" s="22"/>
      <c r="G169" s="22"/>
      <c r="H169" s="22"/>
      <c r="I169" s="25" t="s">
        <v>767</v>
      </c>
      <c r="J169" s="22"/>
      <c r="K169" s="22" t="s">
        <v>768</v>
      </c>
      <c r="L169" s="24" t="s">
        <v>638</v>
      </c>
      <c r="M169" s="22" t="str">
        <f>HYPERLINK("https://ceds.ed.gov/cedselementdetails.aspx?termid=21384")</f>
        <v>https://ceds.ed.gov/cedselementdetails.aspx?termid=21384</v>
      </c>
    </row>
    <row r="170" spans="1:13" x14ac:dyDescent="0.3">
      <c r="A170" s="22" t="s">
        <v>769</v>
      </c>
      <c r="B170" s="22" t="s">
        <v>770</v>
      </c>
      <c r="C170" s="23" t="s">
        <v>32</v>
      </c>
      <c r="D170" s="22" t="s">
        <v>766</v>
      </c>
      <c r="E170" s="22"/>
      <c r="F170" s="22" t="s">
        <v>85</v>
      </c>
      <c r="G170" s="22"/>
      <c r="H170" s="22"/>
      <c r="I170" s="25" t="s">
        <v>771</v>
      </c>
      <c r="J170" s="22"/>
      <c r="K170" s="22" t="s">
        <v>772</v>
      </c>
      <c r="L170" s="22"/>
      <c r="M170" s="22" t="str">
        <f>HYPERLINK("https://ceds.ed.gov/cedselementdetails.aspx?termid=21685")</f>
        <v>https://ceds.ed.gov/cedselementdetails.aspx?termid=21685</v>
      </c>
    </row>
    <row r="171" spans="1:13" ht="28.8" x14ac:dyDescent="0.3">
      <c r="A171" s="22" t="s">
        <v>773</v>
      </c>
      <c r="B171" s="22" t="s">
        <v>774</v>
      </c>
      <c r="C171" s="23" t="s">
        <v>32</v>
      </c>
      <c r="D171" s="22" t="s">
        <v>635</v>
      </c>
      <c r="E171" s="22"/>
      <c r="F171" s="22" t="s">
        <v>775</v>
      </c>
      <c r="G171" s="22"/>
      <c r="H171" s="22"/>
      <c r="I171" s="25" t="s">
        <v>776</v>
      </c>
      <c r="J171" s="22"/>
      <c r="K171" s="22" t="s">
        <v>777</v>
      </c>
      <c r="L171" s="24" t="s">
        <v>638</v>
      </c>
      <c r="M171" s="22" t="str">
        <f>HYPERLINK("https://ceds.ed.gov/cedselementdetails.aspx?termid=21383")</f>
        <v>https://ceds.ed.gov/cedselementdetails.aspx?termid=21383</v>
      </c>
    </row>
    <row r="172" spans="1:13" ht="28.8" x14ac:dyDescent="0.3">
      <c r="A172" s="22" t="s">
        <v>778</v>
      </c>
      <c r="B172" s="22" t="s">
        <v>779</v>
      </c>
      <c r="C172" s="23" t="s">
        <v>32</v>
      </c>
      <c r="D172" s="22" t="s">
        <v>635</v>
      </c>
      <c r="E172" s="22"/>
      <c r="F172" s="22" t="s">
        <v>780</v>
      </c>
      <c r="G172" s="22"/>
      <c r="H172" s="22"/>
      <c r="I172" s="25" t="s">
        <v>781</v>
      </c>
      <c r="J172" s="22"/>
      <c r="K172" s="22" t="s">
        <v>782</v>
      </c>
      <c r="L172" s="24" t="s">
        <v>638</v>
      </c>
      <c r="M172" s="22" t="str">
        <f>HYPERLINK("https://ceds.ed.gov/cedselementdetails.aspx?termid=21390")</f>
        <v>https://ceds.ed.gov/cedselementdetails.aspx?termid=21390</v>
      </c>
    </row>
    <row r="173" spans="1:13" ht="28.8" x14ac:dyDescent="0.3">
      <c r="A173" s="22" t="s">
        <v>783</v>
      </c>
      <c r="B173" s="22" t="s">
        <v>784</v>
      </c>
      <c r="C173" s="23" t="s">
        <v>32</v>
      </c>
      <c r="D173" s="22" t="s">
        <v>635</v>
      </c>
      <c r="E173" s="22"/>
      <c r="F173" s="22" t="s">
        <v>132</v>
      </c>
      <c r="G173" s="22"/>
      <c r="H173" s="22" t="s">
        <v>7945</v>
      </c>
      <c r="I173" s="25" t="s">
        <v>785</v>
      </c>
      <c r="J173" s="22"/>
      <c r="K173" s="22" t="s">
        <v>786</v>
      </c>
      <c r="L173" s="24" t="s">
        <v>638</v>
      </c>
      <c r="M173" s="22" t="str">
        <f>HYPERLINK("https://ceds.ed.gov/cedselementdetails.aspx?termid=21623")</f>
        <v>https://ceds.ed.gov/cedselementdetails.aspx?termid=21623</v>
      </c>
    </row>
    <row r="174" spans="1:13" ht="409.6" x14ac:dyDescent="0.3">
      <c r="A174" s="22" t="s">
        <v>787</v>
      </c>
      <c r="B174" s="22" t="s">
        <v>788</v>
      </c>
      <c r="C174" s="26" t="s">
        <v>8614</v>
      </c>
      <c r="D174" s="22" t="s">
        <v>388</v>
      </c>
      <c r="E174" s="22"/>
      <c r="F174" s="22"/>
      <c r="G174" s="22"/>
      <c r="H174" s="22"/>
      <c r="I174" s="25" t="s">
        <v>789</v>
      </c>
      <c r="J174" s="22"/>
      <c r="K174" s="22" t="s">
        <v>790</v>
      </c>
      <c r="L174" s="22"/>
      <c r="M174" s="22" t="str">
        <f>HYPERLINK("https://ceds.ed.gov/cedselementdetails.aspx?termid=22117")</f>
        <v>https://ceds.ed.gov/cedselementdetails.aspx?termid=22117</v>
      </c>
    </row>
    <row r="175" spans="1:13" ht="43.2" x14ac:dyDescent="0.3">
      <c r="A175" s="22" t="s">
        <v>791</v>
      </c>
      <c r="B175" s="22" t="s">
        <v>792</v>
      </c>
      <c r="C175" s="26" t="s">
        <v>22</v>
      </c>
      <c r="D175" s="22" t="s">
        <v>635</v>
      </c>
      <c r="E175" s="22"/>
      <c r="F175" s="22"/>
      <c r="G175" s="22"/>
      <c r="H175" s="22"/>
      <c r="I175" s="25" t="s">
        <v>793</v>
      </c>
      <c r="J175" s="22"/>
      <c r="K175" s="22" t="s">
        <v>794</v>
      </c>
      <c r="L175" s="22"/>
      <c r="M175" s="22" t="str">
        <f>HYPERLINK("https://ceds.ed.gov/cedselementdetails.aspx?termid=22227")</f>
        <v>https://ceds.ed.gov/cedselementdetails.aspx?termid=22227</v>
      </c>
    </row>
    <row r="176" spans="1:13" x14ac:dyDescent="0.3">
      <c r="A176" s="22" t="s">
        <v>795</v>
      </c>
      <c r="B176" s="22" t="s">
        <v>796</v>
      </c>
      <c r="C176" s="23" t="s">
        <v>32</v>
      </c>
      <c r="D176" s="22" t="s">
        <v>635</v>
      </c>
      <c r="E176" s="22"/>
      <c r="F176" s="22" t="s">
        <v>148</v>
      </c>
      <c r="G176" s="22"/>
      <c r="H176" s="22"/>
      <c r="I176" s="25" t="s">
        <v>797</v>
      </c>
      <c r="J176" s="22"/>
      <c r="K176" s="22" t="s">
        <v>798</v>
      </c>
      <c r="L176" s="22"/>
      <c r="M176" s="22" t="str">
        <f>HYPERLINK("https://ceds.ed.gov/cedselementdetails.aspx?termid=21683")</f>
        <v>https://ceds.ed.gov/cedselementdetails.aspx?termid=21683</v>
      </c>
    </row>
    <row r="177" spans="1:13" x14ac:dyDescent="0.3">
      <c r="A177" s="22" t="s">
        <v>799</v>
      </c>
      <c r="B177" s="22" t="s">
        <v>800</v>
      </c>
      <c r="C177" s="23" t="s">
        <v>32</v>
      </c>
      <c r="D177" s="22" t="s">
        <v>635</v>
      </c>
      <c r="E177" s="22"/>
      <c r="F177" s="22" t="s">
        <v>148</v>
      </c>
      <c r="G177" s="22"/>
      <c r="H177" s="22"/>
      <c r="I177" s="25" t="s">
        <v>801</v>
      </c>
      <c r="J177" s="22"/>
      <c r="K177" s="22" t="s">
        <v>802</v>
      </c>
      <c r="L177" s="22"/>
      <c r="M177" s="22" t="str">
        <f>HYPERLINK("https://ceds.ed.gov/cedselementdetails.aspx?termid=21684")</f>
        <v>https://ceds.ed.gov/cedselementdetails.aspx?termid=21684</v>
      </c>
    </row>
    <row r="178" spans="1:13" ht="43.2" x14ac:dyDescent="0.3">
      <c r="A178" s="22" t="s">
        <v>803</v>
      </c>
      <c r="B178" s="22" t="s">
        <v>804</v>
      </c>
      <c r="C178" s="26" t="s">
        <v>22</v>
      </c>
      <c r="D178" s="22" t="s">
        <v>805</v>
      </c>
      <c r="E178" s="22"/>
      <c r="F178" s="22"/>
      <c r="G178" s="22"/>
      <c r="H178" s="22"/>
      <c r="I178" s="25" t="s">
        <v>806</v>
      </c>
      <c r="J178" s="22"/>
      <c r="K178" s="22" t="s">
        <v>807</v>
      </c>
      <c r="L178" s="22"/>
      <c r="M178" s="22" t="str">
        <f>HYPERLINK("https://ceds.ed.gov/cedselementdetails.aspx?termid=22183")</f>
        <v>https://ceds.ed.gov/cedselementdetails.aspx?termid=22183</v>
      </c>
    </row>
    <row r="179" spans="1:13" x14ac:dyDescent="0.3">
      <c r="A179" s="22" t="s">
        <v>808</v>
      </c>
      <c r="B179" s="22" t="s">
        <v>809</v>
      </c>
      <c r="C179" s="23" t="s">
        <v>32</v>
      </c>
      <c r="D179" s="22" t="s">
        <v>805</v>
      </c>
      <c r="E179" s="22"/>
      <c r="F179" s="22" t="s">
        <v>113</v>
      </c>
      <c r="G179" s="22"/>
      <c r="H179" s="22" t="s">
        <v>7978</v>
      </c>
      <c r="I179" s="25" t="s">
        <v>810</v>
      </c>
      <c r="J179" s="22"/>
      <c r="K179" s="22" t="s">
        <v>811</v>
      </c>
      <c r="L179" s="22" t="s">
        <v>812</v>
      </c>
      <c r="M179" s="22" t="str">
        <f>HYPERLINK("https://ceds.ed.gov/cedselementdetails.aspx?termid=21904")</f>
        <v>https://ceds.ed.gov/cedselementdetails.aspx?termid=21904</v>
      </c>
    </row>
    <row r="180" spans="1:13" x14ac:dyDescent="0.3">
      <c r="A180" s="22" t="s">
        <v>813</v>
      </c>
      <c r="B180" s="22" t="s">
        <v>814</v>
      </c>
      <c r="C180" s="23" t="s">
        <v>32</v>
      </c>
      <c r="D180" s="22" t="s">
        <v>805</v>
      </c>
      <c r="E180" s="22"/>
      <c r="F180" s="22" t="s">
        <v>328</v>
      </c>
      <c r="G180" s="22"/>
      <c r="H180" s="22"/>
      <c r="I180" s="25" t="s">
        <v>815</v>
      </c>
      <c r="J180" s="22"/>
      <c r="K180" s="22" t="s">
        <v>816</v>
      </c>
      <c r="L180" s="22"/>
      <c r="M180" s="22" t="str">
        <f>HYPERLINK("https://ceds.ed.gov/cedselementdetails.aspx?termid=22235")</f>
        <v>https://ceds.ed.gov/cedselementdetails.aspx?termid=22235</v>
      </c>
    </row>
    <row r="181" spans="1:13" x14ac:dyDescent="0.3">
      <c r="A181" s="22" t="s">
        <v>817</v>
      </c>
      <c r="B181" s="22" t="s">
        <v>818</v>
      </c>
      <c r="C181" s="23" t="s">
        <v>32</v>
      </c>
      <c r="D181" s="22" t="s">
        <v>805</v>
      </c>
      <c r="E181" s="22"/>
      <c r="F181" s="22" t="s">
        <v>317</v>
      </c>
      <c r="G181" s="22"/>
      <c r="H181" s="22"/>
      <c r="I181" s="25" t="s">
        <v>819</v>
      </c>
      <c r="J181" s="22"/>
      <c r="K181" s="22" t="s">
        <v>820</v>
      </c>
      <c r="L181" s="22"/>
      <c r="M181" s="22" t="str">
        <f>HYPERLINK("https://ceds.ed.gov/cedselementdetails.aspx?termid=21905")</f>
        <v>https://ceds.ed.gov/cedselementdetails.aspx?termid=21905</v>
      </c>
    </row>
    <row r="182" spans="1:13" x14ac:dyDescent="0.3">
      <c r="A182" s="22" t="s">
        <v>821</v>
      </c>
      <c r="B182" s="22" t="s">
        <v>822</v>
      </c>
      <c r="C182" s="23" t="s">
        <v>32</v>
      </c>
      <c r="D182" s="22" t="s">
        <v>805</v>
      </c>
      <c r="E182" s="22"/>
      <c r="F182" s="22" t="s">
        <v>113</v>
      </c>
      <c r="G182" s="22"/>
      <c r="H182" s="22"/>
      <c r="I182" s="25" t="s">
        <v>823</v>
      </c>
      <c r="J182" s="22"/>
      <c r="K182" s="22" t="s">
        <v>824</v>
      </c>
      <c r="L182" s="22"/>
      <c r="M182" s="22" t="str">
        <f>HYPERLINK("https://ceds.ed.gov/cedselementdetails.aspx?termid=21908")</f>
        <v>https://ceds.ed.gov/cedselementdetails.aspx?termid=21908</v>
      </c>
    </row>
    <row r="183" spans="1:13" ht="43.2" x14ac:dyDescent="0.3">
      <c r="A183" s="22" t="s">
        <v>825</v>
      </c>
      <c r="B183" s="22" t="s">
        <v>826</v>
      </c>
      <c r="C183" s="26" t="s">
        <v>22</v>
      </c>
      <c r="D183" s="22" t="s">
        <v>635</v>
      </c>
      <c r="E183" s="22"/>
      <c r="F183" s="22"/>
      <c r="G183" s="22"/>
      <c r="H183" s="22"/>
      <c r="I183" s="25" t="s">
        <v>827</v>
      </c>
      <c r="J183" s="22"/>
      <c r="K183" s="22" t="s">
        <v>828</v>
      </c>
      <c r="L183" s="22"/>
      <c r="M183" s="22" t="str">
        <f>HYPERLINK("https://ceds.ed.gov/cedselementdetails.aspx?termid=22229")</f>
        <v>https://ceds.ed.gov/cedselementdetails.aspx?termid=22229</v>
      </c>
    </row>
    <row r="184" spans="1:13" ht="28.8" x14ac:dyDescent="0.3">
      <c r="A184" s="22" t="s">
        <v>829</v>
      </c>
      <c r="B184" s="22" t="s">
        <v>830</v>
      </c>
      <c r="C184" s="23" t="s">
        <v>32</v>
      </c>
      <c r="D184" s="22" t="s">
        <v>831</v>
      </c>
      <c r="E184" s="22"/>
      <c r="F184" s="22" t="s">
        <v>85</v>
      </c>
      <c r="G184" s="22"/>
      <c r="H184" s="22" t="s">
        <v>832</v>
      </c>
      <c r="I184" s="25" t="s">
        <v>833</v>
      </c>
      <c r="J184" s="22"/>
      <c r="K184" s="22" t="s">
        <v>834</v>
      </c>
      <c r="L184" s="24" t="s">
        <v>638</v>
      </c>
      <c r="M184" s="22" t="str">
        <f>HYPERLINK("https://ceds.ed.gov/cedselementdetails.aspx?termid=21397")</f>
        <v>https://ceds.ed.gov/cedselementdetails.aspx?termid=21397</v>
      </c>
    </row>
    <row r="185" spans="1:13" ht="28.8" x14ac:dyDescent="0.3">
      <c r="A185" s="22" t="s">
        <v>835</v>
      </c>
      <c r="B185" s="22" t="s">
        <v>836</v>
      </c>
      <c r="C185" s="23" t="s">
        <v>32</v>
      </c>
      <c r="D185" s="22" t="s">
        <v>831</v>
      </c>
      <c r="E185" s="22"/>
      <c r="F185" s="22" t="s">
        <v>780</v>
      </c>
      <c r="G185" s="22"/>
      <c r="H185" s="22"/>
      <c r="I185" s="25" t="s">
        <v>837</v>
      </c>
      <c r="J185" s="22"/>
      <c r="K185" s="22" t="s">
        <v>838</v>
      </c>
      <c r="L185" s="24" t="s">
        <v>638</v>
      </c>
      <c r="M185" s="22" t="str">
        <f>HYPERLINK("https://ceds.ed.gov/cedselementdetails.aspx?termid=21385")</f>
        <v>https://ceds.ed.gov/cedselementdetails.aspx?termid=21385</v>
      </c>
    </row>
    <row r="186" spans="1:13" x14ac:dyDescent="0.3">
      <c r="A186" s="22" t="s">
        <v>839</v>
      </c>
      <c r="B186" s="22" t="s">
        <v>840</v>
      </c>
      <c r="C186" s="23" t="s">
        <v>32</v>
      </c>
      <c r="D186" s="22" t="s">
        <v>831</v>
      </c>
      <c r="E186" s="22"/>
      <c r="F186" s="22" t="s">
        <v>113</v>
      </c>
      <c r="G186" s="22"/>
      <c r="H186" s="22"/>
      <c r="I186" s="25" t="s">
        <v>841</v>
      </c>
      <c r="J186" s="22"/>
      <c r="K186" s="22" t="s">
        <v>842</v>
      </c>
      <c r="L186" s="22" t="s">
        <v>812</v>
      </c>
      <c r="M186" s="22" t="str">
        <f>HYPERLINK("https://ceds.ed.gov/cedselementdetails.aspx?termid=21891")</f>
        <v>https://ceds.ed.gov/cedselementdetails.aspx?termid=21891</v>
      </c>
    </row>
    <row r="187" spans="1:13" x14ac:dyDescent="0.3">
      <c r="A187" s="22" t="s">
        <v>843</v>
      </c>
      <c r="B187" s="22" t="s">
        <v>844</v>
      </c>
      <c r="C187" s="23" t="s">
        <v>32</v>
      </c>
      <c r="D187" s="22" t="s">
        <v>831</v>
      </c>
      <c r="E187" s="22"/>
      <c r="F187" s="22" t="s">
        <v>845</v>
      </c>
      <c r="G187" s="22"/>
      <c r="H187" s="22"/>
      <c r="I187" s="25" t="s">
        <v>846</v>
      </c>
      <c r="J187" s="22"/>
      <c r="K187" s="22" t="s">
        <v>847</v>
      </c>
      <c r="L187" s="22"/>
      <c r="M187" s="22" t="str">
        <f>HYPERLINK("https://ceds.ed.gov/cedselementdetails.aspx?termid=22512")</f>
        <v>https://ceds.ed.gov/cedselementdetails.aspx?termid=22512</v>
      </c>
    </row>
    <row r="188" spans="1:13" ht="28.8" x14ac:dyDescent="0.3">
      <c r="A188" s="22" t="s">
        <v>848</v>
      </c>
      <c r="B188" s="22" t="s">
        <v>7979</v>
      </c>
      <c r="C188" s="23" t="s">
        <v>32</v>
      </c>
      <c r="D188" s="22" t="s">
        <v>831</v>
      </c>
      <c r="E188" s="22"/>
      <c r="F188" s="22" t="s">
        <v>849</v>
      </c>
      <c r="G188" s="22"/>
      <c r="H188" s="22"/>
      <c r="I188" s="25" t="s">
        <v>850</v>
      </c>
      <c r="J188" s="22"/>
      <c r="K188" s="22" t="s">
        <v>851</v>
      </c>
      <c r="L188" s="24" t="s">
        <v>638</v>
      </c>
      <c r="M188" s="22" t="str">
        <f>HYPERLINK("https://ceds.ed.gov/cedselementdetails.aspx?termid=21394")</f>
        <v>https://ceds.ed.gov/cedselementdetails.aspx?termid=21394</v>
      </c>
    </row>
    <row r="189" spans="1:13" x14ac:dyDescent="0.3">
      <c r="A189" s="22" t="s">
        <v>852</v>
      </c>
      <c r="B189" s="22" t="s">
        <v>853</v>
      </c>
      <c r="C189" s="23" t="s">
        <v>32</v>
      </c>
      <c r="D189" s="22" t="s">
        <v>831</v>
      </c>
      <c r="E189" s="22"/>
      <c r="F189" s="22" t="s">
        <v>849</v>
      </c>
      <c r="G189" s="22"/>
      <c r="H189" s="22" t="s">
        <v>7980</v>
      </c>
      <c r="I189" s="25" t="s">
        <v>854</v>
      </c>
      <c r="J189" s="22"/>
      <c r="K189" s="22" t="s">
        <v>855</v>
      </c>
      <c r="L189" s="22"/>
      <c r="M189" s="22" t="str">
        <f>HYPERLINK("https://ceds.ed.gov/cedselementdetails.aspx?termid=21958")</f>
        <v>https://ceds.ed.gov/cedselementdetails.aspx?termid=21958</v>
      </c>
    </row>
    <row r="190" spans="1:13" x14ac:dyDescent="0.3">
      <c r="A190" s="22" t="s">
        <v>856</v>
      </c>
      <c r="B190" s="22" t="s">
        <v>7981</v>
      </c>
      <c r="C190" s="23" t="s">
        <v>32</v>
      </c>
      <c r="D190" s="22" t="s">
        <v>831</v>
      </c>
      <c r="E190" s="22"/>
      <c r="F190" s="22" t="s">
        <v>317</v>
      </c>
      <c r="G190" s="22"/>
      <c r="H190" s="22"/>
      <c r="I190" s="25" t="s">
        <v>857</v>
      </c>
      <c r="J190" s="22"/>
      <c r="K190" s="22" t="s">
        <v>858</v>
      </c>
      <c r="L190" s="22"/>
      <c r="M190" s="22" t="str">
        <f>HYPERLINK("https://ceds.ed.gov/cedselementdetails.aspx?termid=21956")</f>
        <v>https://ceds.ed.gov/cedselementdetails.aspx?termid=21956</v>
      </c>
    </row>
    <row r="191" spans="1:13" ht="43.2" x14ac:dyDescent="0.3">
      <c r="A191" s="22" t="s">
        <v>859</v>
      </c>
      <c r="B191" s="22" t="s">
        <v>860</v>
      </c>
      <c r="C191" s="26" t="s">
        <v>22</v>
      </c>
      <c r="D191" s="22" t="s">
        <v>831</v>
      </c>
      <c r="E191" s="22"/>
      <c r="F191" s="22"/>
      <c r="G191" s="22"/>
      <c r="H191" s="22" t="s">
        <v>7982</v>
      </c>
      <c r="I191" s="25" t="s">
        <v>861</v>
      </c>
      <c r="J191" s="22"/>
      <c r="K191" s="22" t="s">
        <v>862</v>
      </c>
      <c r="L191" s="22"/>
      <c r="M191" s="22" t="str">
        <f>HYPERLINK("https://ceds.ed.gov/cedselementdetails.aspx?termid=21957")</f>
        <v>https://ceds.ed.gov/cedselementdetails.aspx?termid=21957</v>
      </c>
    </row>
    <row r="192" spans="1:13" ht="43.2" x14ac:dyDescent="0.3">
      <c r="A192" s="22" t="s">
        <v>863</v>
      </c>
      <c r="B192" s="22" t="s">
        <v>7983</v>
      </c>
      <c r="C192" s="26" t="s">
        <v>22</v>
      </c>
      <c r="D192" s="22" t="s">
        <v>831</v>
      </c>
      <c r="E192" s="22"/>
      <c r="F192" s="22"/>
      <c r="G192" s="22"/>
      <c r="H192" s="22"/>
      <c r="I192" s="25" t="s">
        <v>864</v>
      </c>
      <c r="J192" s="22"/>
      <c r="K192" s="22" t="s">
        <v>865</v>
      </c>
      <c r="L192" s="22"/>
      <c r="M192" s="22" t="str">
        <f>HYPERLINK("https://ceds.ed.gov/cedselementdetails.aspx?termid=21955")</f>
        <v>https://ceds.ed.gov/cedselementdetails.aspx?termid=21955</v>
      </c>
    </row>
    <row r="193" spans="1:13" ht="86.4" x14ac:dyDescent="0.3">
      <c r="A193" s="22" t="s">
        <v>866</v>
      </c>
      <c r="B193" s="22" t="s">
        <v>867</v>
      </c>
      <c r="C193" s="26" t="s">
        <v>8615</v>
      </c>
      <c r="D193" s="22" t="s">
        <v>831</v>
      </c>
      <c r="E193" s="22"/>
      <c r="F193" s="22"/>
      <c r="G193" s="22"/>
      <c r="H193" s="22"/>
      <c r="I193" s="25" t="s">
        <v>868</v>
      </c>
      <c r="J193" s="22"/>
      <c r="K193" s="22" t="s">
        <v>869</v>
      </c>
      <c r="L193" s="22"/>
      <c r="M193" s="22" t="str">
        <f>HYPERLINK("https://ceds.ed.gov/cedselementdetails.aspx?termid=22513")</f>
        <v>https://ceds.ed.gov/cedselementdetails.aspx?termid=22513</v>
      </c>
    </row>
    <row r="194" spans="1:13" x14ac:dyDescent="0.3">
      <c r="A194" s="22" t="s">
        <v>870</v>
      </c>
      <c r="B194" s="22" t="s">
        <v>871</v>
      </c>
      <c r="C194" s="23" t="s">
        <v>32</v>
      </c>
      <c r="D194" s="22" t="s">
        <v>831</v>
      </c>
      <c r="E194" s="22"/>
      <c r="F194" s="22" t="s">
        <v>157</v>
      </c>
      <c r="G194" s="22"/>
      <c r="H194" s="22"/>
      <c r="I194" s="25" t="s">
        <v>872</v>
      </c>
      <c r="J194" s="22"/>
      <c r="K194" s="22" t="s">
        <v>873</v>
      </c>
      <c r="L194" s="22" t="s">
        <v>812</v>
      </c>
      <c r="M194" s="22" t="str">
        <f>HYPERLINK("https://ceds.ed.gov/cedselementdetails.aspx?termid=21700")</f>
        <v>https://ceds.ed.gov/cedselementdetails.aspx?termid=21700</v>
      </c>
    </row>
    <row r="195" spans="1:13" x14ac:dyDescent="0.3">
      <c r="A195" s="22" t="s">
        <v>874</v>
      </c>
      <c r="B195" s="22" t="s">
        <v>875</v>
      </c>
      <c r="C195" s="23" t="s">
        <v>32</v>
      </c>
      <c r="D195" s="22" t="s">
        <v>635</v>
      </c>
      <c r="E195" s="22"/>
      <c r="F195" s="22" t="s">
        <v>113</v>
      </c>
      <c r="G195" s="22"/>
      <c r="H195" s="22" t="s">
        <v>876</v>
      </c>
      <c r="I195" s="25" t="s">
        <v>877</v>
      </c>
      <c r="J195" s="22"/>
      <c r="K195" s="22" t="s">
        <v>878</v>
      </c>
      <c r="L195" s="22"/>
      <c r="M195" s="22" t="str">
        <f>HYPERLINK("https://ceds.ed.gov/cedselementdetails.aspx?termid=21970")</f>
        <v>https://ceds.ed.gov/cedselementdetails.aspx?termid=21970</v>
      </c>
    </row>
    <row r="196" spans="1:13" x14ac:dyDescent="0.3">
      <c r="A196" s="22" t="s">
        <v>879</v>
      </c>
      <c r="B196" s="22" t="s">
        <v>880</v>
      </c>
      <c r="C196" s="23" t="s">
        <v>32</v>
      </c>
      <c r="D196" s="22" t="s">
        <v>831</v>
      </c>
      <c r="E196" s="22"/>
      <c r="F196" s="22" t="s">
        <v>118</v>
      </c>
      <c r="G196" s="22"/>
      <c r="H196" s="22"/>
      <c r="I196" s="25" t="s">
        <v>881</v>
      </c>
      <c r="J196" s="22"/>
      <c r="K196" s="22" t="s">
        <v>882</v>
      </c>
      <c r="L196" s="22"/>
      <c r="M196" s="22" t="str">
        <f>HYPERLINK("https://ceds.ed.gov/cedselementdetails.aspx?termid=21960")</f>
        <v>https://ceds.ed.gov/cedselementdetails.aspx?termid=21960</v>
      </c>
    </row>
    <row r="197" spans="1:13" x14ac:dyDescent="0.3">
      <c r="A197" s="22" t="s">
        <v>883</v>
      </c>
      <c r="B197" s="22" t="s">
        <v>884</v>
      </c>
      <c r="C197" s="23" t="s">
        <v>32</v>
      </c>
      <c r="D197" s="22" t="s">
        <v>831</v>
      </c>
      <c r="E197" s="22"/>
      <c r="F197" s="22" t="s">
        <v>849</v>
      </c>
      <c r="G197" s="22"/>
      <c r="H197" s="22"/>
      <c r="I197" s="25" t="s">
        <v>885</v>
      </c>
      <c r="J197" s="22"/>
      <c r="K197" s="22" t="s">
        <v>886</v>
      </c>
      <c r="L197" s="22"/>
      <c r="M197" s="22" t="str">
        <f>HYPERLINK("https://ceds.ed.gov/cedselementdetails.aspx?termid=21959")</f>
        <v>https://ceds.ed.gov/cedselementdetails.aspx?termid=21959</v>
      </c>
    </row>
    <row r="198" spans="1:13" ht="172.8" x14ac:dyDescent="0.3">
      <c r="A198" s="22" t="s">
        <v>887</v>
      </c>
      <c r="B198" s="22" t="s">
        <v>888</v>
      </c>
      <c r="C198" s="26" t="s">
        <v>8616</v>
      </c>
      <c r="D198" s="22" t="s">
        <v>831</v>
      </c>
      <c r="E198" s="22"/>
      <c r="F198" s="22"/>
      <c r="G198" s="22"/>
      <c r="H198" s="22"/>
      <c r="I198" s="25" t="s">
        <v>889</v>
      </c>
      <c r="J198" s="22"/>
      <c r="K198" s="22" t="s">
        <v>890</v>
      </c>
      <c r="L198" s="24" t="s">
        <v>638</v>
      </c>
      <c r="M198" s="22" t="str">
        <f>HYPERLINK("https://ceds.ed.gov/cedselementdetails.aspx?termid=21396")</f>
        <v>https://ceds.ed.gov/cedselementdetails.aspx?termid=21396</v>
      </c>
    </row>
    <row r="199" spans="1:13" x14ac:dyDescent="0.3">
      <c r="A199" s="22" t="s">
        <v>891</v>
      </c>
      <c r="B199" s="22" t="s">
        <v>7984</v>
      </c>
      <c r="C199" s="23" t="s">
        <v>32</v>
      </c>
      <c r="D199" s="22" t="s">
        <v>892</v>
      </c>
      <c r="E199" s="22"/>
      <c r="F199" s="22" t="s">
        <v>148</v>
      </c>
      <c r="G199" s="22"/>
      <c r="H199" s="22"/>
      <c r="I199" s="25" t="s">
        <v>893</v>
      </c>
      <c r="J199" s="22"/>
      <c r="K199" s="22" t="s">
        <v>894</v>
      </c>
      <c r="L199" s="22"/>
      <c r="M199" s="22" t="str">
        <f>HYPERLINK("https://ceds.ed.gov/cedselementdetails.aspx?termid=22230")</f>
        <v>https://ceds.ed.gov/cedselementdetails.aspx?termid=22230</v>
      </c>
    </row>
    <row r="200" spans="1:13" ht="86.4" x14ac:dyDescent="0.3">
      <c r="A200" s="22" t="s">
        <v>895</v>
      </c>
      <c r="B200" s="22" t="s">
        <v>896</v>
      </c>
      <c r="C200" s="26" t="s">
        <v>8617</v>
      </c>
      <c r="D200" s="22" t="s">
        <v>892</v>
      </c>
      <c r="E200" s="22"/>
      <c r="F200" s="22"/>
      <c r="G200" s="22"/>
      <c r="H200" s="22"/>
      <c r="I200" s="25" t="s">
        <v>897</v>
      </c>
      <c r="J200" s="22"/>
      <c r="K200" s="22" t="s">
        <v>898</v>
      </c>
      <c r="L200" s="22"/>
      <c r="M200" s="22" t="str">
        <f>HYPERLINK("https://ceds.ed.gov/cedselementdetails.aspx?termid=22232")</f>
        <v>https://ceds.ed.gov/cedselementdetails.aspx?termid=22232</v>
      </c>
    </row>
    <row r="201" spans="1:13" x14ac:dyDescent="0.3">
      <c r="A201" s="22" t="s">
        <v>899</v>
      </c>
      <c r="B201" s="22" t="s">
        <v>900</v>
      </c>
      <c r="C201" s="23" t="s">
        <v>32</v>
      </c>
      <c r="D201" s="22" t="s">
        <v>892</v>
      </c>
      <c r="E201" s="22"/>
      <c r="F201" s="22" t="s">
        <v>148</v>
      </c>
      <c r="G201" s="22"/>
      <c r="H201" s="22"/>
      <c r="I201" s="25" t="s">
        <v>901</v>
      </c>
      <c r="J201" s="22"/>
      <c r="K201" s="22" t="s">
        <v>902</v>
      </c>
      <c r="L201" s="22"/>
      <c r="M201" s="22" t="str">
        <f>HYPERLINK("https://ceds.ed.gov/cedselementdetails.aspx?termid=22231")</f>
        <v>https://ceds.ed.gov/cedselementdetails.aspx?termid=22231</v>
      </c>
    </row>
    <row r="202" spans="1:13" x14ac:dyDescent="0.3">
      <c r="A202" s="22" t="s">
        <v>903</v>
      </c>
      <c r="B202" s="22" t="s">
        <v>904</v>
      </c>
      <c r="C202" s="23" t="s">
        <v>32</v>
      </c>
      <c r="D202" s="22" t="s">
        <v>892</v>
      </c>
      <c r="E202" s="22"/>
      <c r="F202" s="22" t="s">
        <v>148</v>
      </c>
      <c r="G202" s="22"/>
      <c r="H202" s="22"/>
      <c r="I202" s="25" t="s">
        <v>905</v>
      </c>
      <c r="J202" s="22"/>
      <c r="K202" s="22" t="s">
        <v>906</v>
      </c>
      <c r="L202" s="22"/>
      <c r="M202" s="22" t="str">
        <f>HYPERLINK("https://ceds.ed.gov/cedselementdetails.aspx?termid=22217")</f>
        <v>https://ceds.ed.gov/cedselementdetails.aspx?termid=22217</v>
      </c>
    </row>
    <row r="203" spans="1:13" x14ac:dyDescent="0.3">
      <c r="A203" s="22" t="s">
        <v>907</v>
      </c>
      <c r="B203" s="22" t="s">
        <v>7985</v>
      </c>
      <c r="C203" s="23" t="s">
        <v>32</v>
      </c>
      <c r="D203" s="22" t="s">
        <v>892</v>
      </c>
      <c r="E203" s="22"/>
      <c r="F203" s="22" t="s">
        <v>148</v>
      </c>
      <c r="G203" s="22"/>
      <c r="H203" s="22"/>
      <c r="I203" s="25" t="s">
        <v>908</v>
      </c>
      <c r="J203" s="22"/>
      <c r="K203" s="22" t="s">
        <v>909</v>
      </c>
      <c r="L203" s="22"/>
      <c r="M203" s="22" t="str">
        <f>HYPERLINK("https://ceds.ed.gov/cedselementdetails.aspx?termid=22218")</f>
        <v>https://ceds.ed.gov/cedselementdetails.aspx?termid=22218</v>
      </c>
    </row>
    <row r="204" spans="1:13" x14ac:dyDescent="0.3">
      <c r="A204" s="22" t="s">
        <v>910</v>
      </c>
      <c r="B204" s="22" t="s">
        <v>911</v>
      </c>
      <c r="C204" s="23" t="s">
        <v>32</v>
      </c>
      <c r="D204" s="22" t="s">
        <v>892</v>
      </c>
      <c r="E204" s="22"/>
      <c r="F204" s="22" t="s">
        <v>148</v>
      </c>
      <c r="G204" s="22"/>
      <c r="H204" s="22"/>
      <c r="I204" s="25" t="s">
        <v>912</v>
      </c>
      <c r="J204" s="22"/>
      <c r="K204" s="22" t="s">
        <v>913</v>
      </c>
      <c r="L204" s="22"/>
      <c r="M204" s="22" t="str">
        <f>HYPERLINK("https://ceds.ed.gov/cedselementdetails.aspx?termid=22220")</f>
        <v>https://ceds.ed.gov/cedselementdetails.aspx?termid=22220</v>
      </c>
    </row>
    <row r="205" spans="1:13" x14ac:dyDescent="0.3">
      <c r="A205" s="22" t="s">
        <v>914</v>
      </c>
      <c r="B205" s="22" t="s">
        <v>7986</v>
      </c>
      <c r="C205" s="23" t="s">
        <v>32</v>
      </c>
      <c r="D205" s="22" t="s">
        <v>892</v>
      </c>
      <c r="E205" s="22"/>
      <c r="F205" s="22" t="s">
        <v>148</v>
      </c>
      <c r="G205" s="22"/>
      <c r="H205" s="22"/>
      <c r="I205" s="25" t="s">
        <v>915</v>
      </c>
      <c r="J205" s="22"/>
      <c r="K205" s="22" t="s">
        <v>916</v>
      </c>
      <c r="L205" s="22"/>
      <c r="M205" s="22" t="str">
        <f>HYPERLINK("https://ceds.ed.gov/cedselementdetails.aspx?termid=22221")</f>
        <v>https://ceds.ed.gov/cedselementdetails.aspx?termid=22221</v>
      </c>
    </row>
    <row r="206" spans="1:13" x14ac:dyDescent="0.3">
      <c r="A206" s="22" t="s">
        <v>917</v>
      </c>
      <c r="B206" s="22" t="s">
        <v>7987</v>
      </c>
      <c r="C206" s="23" t="s">
        <v>32</v>
      </c>
      <c r="D206" s="22" t="s">
        <v>892</v>
      </c>
      <c r="E206" s="22"/>
      <c r="F206" s="22" t="s">
        <v>148</v>
      </c>
      <c r="G206" s="22"/>
      <c r="H206" s="22"/>
      <c r="I206" s="25" t="s">
        <v>918</v>
      </c>
      <c r="J206" s="22"/>
      <c r="K206" s="22" t="s">
        <v>919</v>
      </c>
      <c r="L206" s="22"/>
      <c r="M206" s="22" t="str">
        <f>HYPERLINK("https://ceds.ed.gov/cedselementdetails.aspx?termid=22222")</f>
        <v>https://ceds.ed.gov/cedselementdetails.aspx?termid=22222</v>
      </c>
    </row>
    <row r="207" spans="1:13" x14ac:dyDescent="0.3">
      <c r="A207" s="22" t="s">
        <v>920</v>
      </c>
      <c r="B207" s="22" t="s">
        <v>7988</v>
      </c>
      <c r="C207" s="23" t="s">
        <v>32</v>
      </c>
      <c r="D207" s="22" t="s">
        <v>892</v>
      </c>
      <c r="E207" s="22"/>
      <c r="F207" s="22" t="s">
        <v>148</v>
      </c>
      <c r="G207" s="22"/>
      <c r="H207" s="22"/>
      <c r="I207" s="25" t="s">
        <v>921</v>
      </c>
      <c r="J207" s="22"/>
      <c r="K207" s="22" t="s">
        <v>922</v>
      </c>
      <c r="L207" s="22"/>
      <c r="M207" s="22" t="str">
        <f>HYPERLINK("https://ceds.ed.gov/cedselementdetails.aspx?termid=22223")</f>
        <v>https://ceds.ed.gov/cedselementdetails.aspx?termid=22223</v>
      </c>
    </row>
    <row r="208" spans="1:13" x14ac:dyDescent="0.3">
      <c r="A208" s="22" t="s">
        <v>923</v>
      </c>
      <c r="B208" s="22" t="s">
        <v>7989</v>
      </c>
      <c r="C208" s="23" t="s">
        <v>32</v>
      </c>
      <c r="D208" s="22" t="s">
        <v>892</v>
      </c>
      <c r="E208" s="22"/>
      <c r="F208" s="22" t="s">
        <v>148</v>
      </c>
      <c r="G208" s="22"/>
      <c r="H208" s="22"/>
      <c r="I208" s="25" t="s">
        <v>924</v>
      </c>
      <c r="J208" s="22"/>
      <c r="K208" s="22" t="s">
        <v>925</v>
      </c>
      <c r="L208" s="22"/>
      <c r="M208" s="22" t="str">
        <f>HYPERLINK("https://ceds.ed.gov/cedselementdetails.aspx?termid=22224")</f>
        <v>https://ceds.ed.gov/cedselementdetails.aspx?termid=22224</v>
      </c>
    </row>
    <row r="209" spans="1:13" x14ac:dyDescent="0.3">
      <c r="A209" s="22" t="s">
        <v>926</v>
      </c>
      <c r="B209" s="22" t="s">
        <v>7990</v>
      </c>
      <c r="C209" s="23" t="s">
        <v>32</v>
      </c>
      <c r="D209" s="22" t="s">
        <v>892</v>
      </c>
      <c r="E209" s="22"/>
      <c r="F209" s="22" t="s">
        <v>148</v>
      </c>
      <c r="G209" s="22"/>
      <c r="H209" s="22"/>
      <c r="I209" s="25" t="s">
        <v>927</v>
      </c>
      <c r="J209" s="22"/>
      <c r="K209" s="22" t="s">
        <v>928</v>
      </c>
      <c r="L209" s="22"/>
      <c r="M209" s="22" t="str">
        <f>HYPERLINK("https://ceds.ed.gov/cedselementdetails.aspx?termid=22225")</f>
        <v>https://ceds.ed.gov/cedselementdetails.aspx?termid=22225</v>
      </c>
    </row>
    <row r="210" spans="1:13" x14ac:dyDescent="0.3">
      <c r="A210" s="22" t="s">
        <v>929</v>
      </c>
      <c r="B210" s="22" t="s">
        <v>7991</v>
      </c>
      <c r="C210" s="23" t="s">
        <v>32</v>
      </c>
      <c r="D210" s="22" t="s">
        <v>892</v>
      </c>
      <c r="E210" s="22"/>
      <c r="F210" s="22" t="s">
        <v>148</v>
      </c>
      <c r="G210" s="22"/>
      <c r="H210" s="22"/>
      <c r="I210" s="25" t="s">
        <v>930</v>
      </c>
      <c r="J210" s="22"/>
      <c r="K210" s="22" t="s">
        <v>931</v>
      </c>
      <c r="L210" s="22"/>
      <c r="M210" s="22" t="str">
        <f>HYPERLINK("https://ceds.ed.gov/cedselementdetails.aspx?termid=22226")</f>
        <v>https://ceds.ed.gov/cedselementdetails.aspx?termid=22226</v>
      </c>
    </row>
    <row r="211" spans="1:13" ht="115.2" x14ac:dyDescent="0.3">
      <c r="A211" s="22" t="s">
        <v>932</v>
      </c>
      <c r="B211" s="22" t="s">
        <v>933</v>
      </c>
      <c r="C211" s="26" t="s">
        <v>8618</v>
      </c>
      <c r="D211" s="22" t="s">
        <v>892</v>
      </c>
      <c r="E211" s="22"/>
      <c r="F211" s="22"/>
      <c r="G211" s="22"/>
      <c r="H211" s="22"/>
      <c r="I211" s="25" t="s">
        <v>934</v>
      </c>
      <c r="J211" s="22"/>
      <c r="K211" s="22" t="s">
        <v>935</v>
      </c>
      <c r="L211" s="22"/>
      <c r="M211" s="22" t="str">
        <f>HYPERLINK("https://ceds.ed.gov/cedselementdetails.aspx?termid=22219")</f>
        <v>https://ceds.ed.gov/cedselementdetails.aspx?termid=22219</v>
      </c>
    </row>
    <row r="212" spans="1:13" x14ac:dyDescent="0.3">
      <c r="A212" s="22" t="s">
        <v>936</v>
      </c>
      <c r="B212" s="22" t="s">
        <v>937</v>
      </c>
      <c r="C212" s="23" t="s">
        <v>32</v>
      </c>
      <c r="D212" s="22" t="s">
        <v>892</v>
      </c>
      <c r="E212" s="22"/>
      <c r="F212" s="22" t="s">
        <v>148</v>
      </c>
      <c r="G212" s="22"/>
      <c r="H212" s="22"/>
      <c r="I212" s="25" t="s">
        <v>938</v>
      </c>
      <c r="J212" s="22"/>
      <c r="K212" s="22" t="s">
        <v>939</v>
      </c>
      <c r="L212" s="22"/>
      <c r="M212" s="22" t="str">
        <f>HYPERLINK("https://ceds.ed.gov/cedselementdetails.aspx?termid=22228")</f>
        <v>https://ceds.ed.gov/cedselementdetails.aspx?termid=22228</v>
      </c>
    </row>
    <row r="213" spans="1:13" x14ac:dyDescent="0.3">
      <c r="A213" s="22" t="s">
        <v>940</v>
      </c>
      <c r="B213" s="22" t="s">
        <v>941</v>
      </c>
      <c r="C213" s="23" t="s">
        <v>32</v>
      </c>
      <c r="D213" s="22" t="s">
        <v>831</v>
      </c>
      <c r="E213" s="22"/>
      <c r="F213" s="22" t="s">
        <v>113</v>
      </c>
      <c r="G213" s="22"/>
      <c r="H213" s="22"/>
      <c r="I213" s="25" t="s">
        <v>942</v>
      </c>
      <c r="J213" s="22"/>
      <c r="K213" s="22" t="s">
        <v>943</v>
      </c>
      <c r="L213" s="22" t="s">
        <v>812</v>
      </c>
      <c r="M213" s="22" t="str">
        <f>HYPERLINK("https://ceds.ed.gov/cedselementdetails.aspx?termid=22069")</f>
        <v>https://ceds.ed.gov/cedselementdetails.aspx?termid=22069</v>
      </c>
    </row>
    <row r="214" spans="1:13" x14ac:dyDescent="0.3">
      <c r="A214" s="22" t="s">
        <v>944</v>
      </c>
      <c r="B214" s="22" t="s">
        <v>7992</v>
      </c>
      <c r="C214" s="23" t="s">
        <v>32</v>
      </c>
      <c r="D214" s="22" t="s">
        <v>630</v>
      </c>
      <c r="E214" s="22"/>
      <c r="F214" s="22" t="s">
        <v>328</v>
      </c>
      <c r="G214" s="22"/>
      <c r="H214" s="22" t="s">
        <v>945</v>
      </c>
      <c r="I214" s="25" t="s">
        <v>946</v>
      </c>
      <c r="J214" s="22"/>
      <c r="K214" s="22" t="s">
        <v>947</v>
      </c>
      <c r="L214" s="22"/>
      <c r="M214" s="22" t="str">
        <f>HYPERLINK("https://ceds.ed.gov/cedselementdetails.aspx?termid=22250")</f>
        <v>https://ceds.ed.gov/cedselementdetails.aspx?termid=22250</v>
      </c>
    </row>
    <row r="215" spans="1:13" ht="28.8" x14ac:dyDescent="0.3">
      <c r="A215" s="22" t="s">
        <v>948</v>
      </c>
      <c r="B215" s="22" t="s">
        <v>949</v>
      </c>
      <c r="C215" s="23" t="s">
        <v>32</v>
      </c>
      <c r="D215" s="22" t="s">
        <v>635</v>
      </c>
      <c r="E215" s="22"/>
      <c r="F215" s="22" t="s">
        <v>328</v>
      </c>
      <c r="G215" s="22"/>
      <c r="H215" s="22"/>
      <c r="I215" s="25" t="s">
        <v>950</v>
      </c>
      <c r="J215" s="22"/>
      <c r="K215" s="22" t="s">
        <v>951</v>
      </c>
      <c r="L215" s="24" t="s">
        <v>638</v>
      </c>
      <c r="M215" s="22" t="str">
        <f>HYPERLINK("https://ceds.ed.gov/cedselementdetails.aspx?termid=21392")</f>
        <v>https://ceds.ed.gov/cedselementdetails.aspx?termid=21392</v>
      </c>
    </row>
    <row r="216" spans="1:13" x14ac:dyDescent="0.3">
      <c r="A216" s="22" t="s">
        <v>952</v>
      </c>
      <c r="B216" s="22" t="s">
        <v>7993</v>
      </c>
      <c r="C216" s="23" t="s">
        <v>32</v>
      </c>
      <c r="D216" s="22" t="s">
        <v>635</v>
      </c>
      <c r="E216" s="22"/>
      <c r="F216" s="22" t="s">
        <v>328</v>
      </c>
      <c r="G216" s="22"/>
      <c r="H216" s="22"/>
      <c r="I216" s="25" t="s">
        <v>953</v>
      </c>
      <c r="J216" s="22"/>
      <c r="K216" s="22" t="s">
        <v>954</v>
      </c>
      <c r="L216" s="22"/>
      <c r="M216" s="22" t="str">
        <f>HYPERLINK("https://ceds.ed.gov/cedselementdetails.aspx?termid=22234")</f>
        <v>https://ceds.ed.gov/cedselementdetails.aspx?termid=22234</v>
      </c>
    </row>
    <row r="217" spans="1:13" ht="288" x14ac:dyDescent="0.3">
      <c r="A217" s="22" t="s">
        <v>955</v>
      </c>
      <c r="B217" s="22" t="s">
        <v>956</v>
      </c>
      <c r="C217" s="26" t="s">
        <v>8619</v>
      </c>
      <c r="D217" s="22" t="s">
        <v>635</v>
      </c>
      <c r="E217" s="22"/>
      <c r="F217" s="22"/>
      <c r="G217" s="22"/>
      <c r="H217" s="22"/>
      <c r="I217" s="25" t="s">
        <v>957</v>
      </c>
      <c r="J217" s="22"/>
      <c r="K217" s="22" t="s">
        <v>958</v>
      </c>
      <c r="L217" s="22"/>
      <c r="M217" s="22" t="str">
        <f>HYPERLINK("https://ceds.ed.gov/cedselementdetails.aspx?termid=21907")</f>
        <v>https://ceds.ed.gov/cedselementdetails.aspx?termid=21907</v>
      </c>
    </row>
    <row r="218" spans="1:13" x14ac:dyDescent="0.3">
      <c r="A218" s="22" t="s">
        <v>959</v>
      </c>
      <c r="B218" s="22" t="s">
        <v>960</v>
      </c>
      <c r="C218" s="23" t="s">
        <v>32</v>
      </c>
      <c r="D218" s="22" t="s">
        <v>635</v>
      </c>
      <c r="E218" s="22"/>
      <c r="F218" s="22" t="s">
        <v>85</v>
      </c>
      <c r="G218" s="22"/>
      <c r="H218" s="22"/>
      <c r="I218" s="25" t="s">
        <v>961</v>
      </c>
      <c r="J218" s="22"/>
      <c r="K218" s="22" t="s">
        <v>962</v>
      </c>
      <c r="L218" s="22"/>
      <c r="M218" s="22" t="str">
        <f>HYPERLINK("https://ceds.ed.gov/cedselementdetails.aspx?termid=21906")</f>
        <v>https://ceds.ed.gov/cedselementdetails.aspx?termid=21906</v>
      </c>
    </row>
    <row r="219" spans="1:13" ht="302.39999999999998" x14ac:dyDescent="0.3">
      <c r="A219" s="22" t="s">
        <v>963</v>
      </c>
      <c r="B219" s="22" t="s">
        <v>964</v>
      </c>
      <c r="C219" s="26" t="s">
        <v>8620</v>
      </c>
      <c r="D219" s="22" t="s">
        <v>635</v>
      </c>
      <c r="E219" s="22"/>
      <c r="F219" s="22"/>
      <c r="G219" s="22"/>
      <c r="H219" s="22"/>
      <c r="I219" s="25" t="s">
        <v>965</v>
      </c>
      <c r="J219" s="22"/>
      <c r="K219" s="22" t="s">
        <v>966</v>
      </c>
      <c r="L219" s="24" t="s">
        <v>638</v>
      </c>
      <c r="M219" s="22" t="str">
        <f>HYPERLINK("https://ceds.ed.gov/cedselementdetails.aspx?termid=21382")</f>
        <v>https://ceds.ed.gov/cedselementdetails.aspx?termid=21382</v>
      </c>
    </row>
    <row r="220" spans="1:13" x14ac:dyDescent="0.3">
      <c r="A220" s="22" t="s">
        <v>967</v>
      </c>
      <c r="B220" s="22" t="s">
        <v>968</v>
      </c>
      <c r="C220" s="23" t="s">
        <v>7423</v>
      </c>
      <c r="D220" s="22" t="s">
        <v>516</v>
      </c>
      <c r="E220" s="22"/>
      <c r="F220" s="22"/>
      <c r="G220" s="22"/>
      <c r="H220" s="22" t="s">
        <v>7994</v>
      </c>
      <c r="I220" s="25" t="s">
        <v>969</v>
      </c>
      <c r="J220" s="22"/>
      <c r="K220" s="22" t="s">
        <v>970</v>
      </c>
      <c r="L220" s="22"/>
      <c r="M220" s="22" t="str">
        <f>HYPERLINK("https://ceds.ed.gov/cedselementdetails.aspx?termid=22073")</f>
        <v>https://ceds.ed.gov/cedselementdetails.aspx?termid=22073</v>
      </c>
    </row>
    <row r="221" spans="1:13" ht="360" x14ac:dyDescent="0.3">
      <c r="A221" s="22" t="s">
        <v>971</v>
      </c>
      <c r="B221" s="22" t="s">
        <v>972</v>
      </c>
      <c r="C221" s="26" t="s">
        <v>8399</v>
      </c>
      <c r="D221" s="24" t="s">
        <v>8400</v>
      </c>
      <c r="E221" s="22" t="s">
        <v>172</v>
      </c>
      <c r="F221" s="22"/>
      <c r="G221" s="22" t="s">
        <v>7995</v>
      </c>
      <c r="H221" s="22"/>
      <c r="I221" s="25" t="s">
        <v>973</v>
      </c>
      <c r="J221" s="22"/>
      <c r="K221" s="22" t="s">
        <v>974</v>
      </c>
      <c r="L221" s="24" t="s">
        <v>975</v>
      </c>
      <c r="M221" s="22" t="str">
        <f>HYPERLINK("https://ceds.ed.gov/cedselementdetails.aspx?termid=21177")</f>
        <v>https://ceds.ed.gov/cedselementdetails.aspx?termid=21177</v>
      </c>
    </row>
    <row r="222" spans="1:13" ht="86.4" x14ac:dyDescent="0.3">
      <c r="A222" s="22" t="s">
        <v>976</v>
      </c>
      <c r="B222" s="22" t="s">
        <v>977</v>
      </c>
      <c r="C222" s="26" t="s">
        <v>8621</v>
      </c>
      <c r="D222" s="22" t="s">
        <v>978</v>
      </c>
      <c r="E222" s="22"/>
      <c r="F222" s="22"/>
      <c r="G222" s="22"/>
      <c r="H222" s="22"/>
      <c r="I222" s="25" t="s">
        <v>979</v>
      </c>
      <c r="J222" s="22"/>
      <c r="K222" s="22" t="s">
        <v>980</v>
      </c>
      <c r="L222" s="22"/>
      <c r="M222" s="22" t="str">
        <f>HYPERLINK("https://ceds.ed.gov/cedselementdetails.aspx?termid=22045")</f>
        <v>https://ceds.ed.gov/cedselementdetails.aspx?termid=22045</v>
      </c>
    </row>
    <row r="223" spans="1:13" x14ac:dyDescent="0.3">
      <c r="A223" s="22" t="s">
        <v>981</v>
      </c>
      <c r="B223" s="22" t="s">
        <v>982</v>
      </c>
      <c r="C223" s="23" t="s">
        <v>32</v>
      </c>
      <c r="D223" s="22" t="s">
        <v>983</v>
      </c>
      <c r="E223" s="22"/>
      <c r="F223" s="22" t="s">
        <v>984</v>
      </c>
      <c r="G223" s="22"/>
      <c r="H223" s="22"/>
      <c r="I223" s="25" t="s">
        <v>985</v>
      </c>
      <c r="J223" s="22"/>
      <c r="K223" s="22" t="s">
        <v>986</v>
      </c>
      <c r="L223" s="22"/>
      <c r="M223" s="22" t="str">
        <f>HYPERLINK("https://ceds.ed.gov/cedselementdetails.aspx?termid=22059")</f>
        <v>https://ceds.ed.gov/cedselementdetails.aspx?termid=22059</v>
      </c>
    </row>
    <row r="224" spans="1:13" x14ac:dyDescent="0.3">
      <c r="A224" s="22" t="s">
        <v>987</v>
      </c>
      <c r="B224" s="22" t="s">
        <v>988</v>
      </c>
      <c r="C224" s="23" t="s">
        <v>32</v>
      </c>
      <c r="D224" s="22" t="s">
        <v>989</v>
      </c>
      <c r="E224" s="22"/>
      <c r="F224" s="22" t="s">
        <v>990</v>
      </c>
      <c r="G224" s="22"/>
      <c r="H224" s="22"/>
      <c r="I224" s="25" t="s">
        <v>991</v>
      </c>
      <c r="J224" s="22"/>
      <c r="K224" s="22" t="s">
        <v>992</v>
      </c>
      <c r="L224" s="22"/>
      <c r="M224" s="22" t="str">
        <f>HYPERLINK("https://ceds.ed.gov/cedselementdetails.aspx?termid=22040")</f>
        <v>https://ceds.ed.gov/cedselementdetails.aspx?termid=22040</v>
      </c>
    </row>
    <row r="225" spans="1:13" ht="43.2" x14ac:dyDescent="0.3">
      <c r="A225" s="22" t="s">
        <v>993</v>
      </c>
      <c r="B225" s="22" t="s">
        <v>994</v>
      </c>
      <c r="C225" s="26" t="s">
        <v>8622</v>
      </c>
      <c r="D225" s="22" t="s">
        <v>989</v>
      </c>
      <c r="E225" s="22"/>
      <c r="F225" s="22"/>
      <c r="G225" s="22"/>
      <c r="H225" s="22"/>
      <c r="I225" s="25" t="s">
        <v>995</v>
      </c>
      <c r="J225" s="22"/>
      <c r="K225" s="22" t="s">
        <v>996</v>
      </c>
      <c r="L225" s="22"/>
      <c r="M225" s="22" t="str">
        <f>HYPERLINK("https://ceds.ed.gov/cedselementdetails.aspx?termid=22035")</f>
        <v>https://ceds.ed.gov/cedselementdetails.aspx?termid=22035</v>
      </c>
    </row>
    <row r="226" spans="1:13" ht="100.8" x14ac:dyDescent="0.3">
      <c r="A226" s="22" t="s">
        <v>997</v>
      </c>
      <c r="B226" s="22" t="s">
        <v>998</v>
      </c>
      <c r="C226" s="26" t="s">
        <v>8623</v>
      </c>
      <c r="D226" s="22" t="s">
        <v>989</v>
      </c>
      <c r="E226" s="22"/>
      <c r="F226" s="22"/>
      <c r="G226" s="22"/>
      <c r="H226" s="22"/>
      <c r="I226" s="25" t="s">
        <v>999</v>
      </c>
      <c r="J226" s="22"/>
      <c r="K226" s="22" t="s">
        <v>1000</v>
      </c>
      <c r="L226" s="22"/>
      <c r="M226" s="22" t="str">
        <f>HYPERLINK("https://ceds.ed.gov/cedselementdetails.aspx?termid=22038")</f>
        <v>https://ceds.ed.gov/cedselementdetails.aspx?termid=22038</v>
      </c>
    </row>
    <row r="227" spans="1:13" ht="57.6" x14ac:dyDescent="0.3">
      <c r="A227" s="22" t="s">
        <v>1001</v>
      </c>
      <c r="B227" s="22" t="s">
        <v>1002</v>
      </c>
      <c r="C227" s="26" t="s">
        <v>8624</v>
      </c>
      <c r="D227" s="22" t="s">
        <v>989</v>
      </c>
      <c r="E227" s="22"/>
      <c r="F227" s="22"/>
      <c r="G227" s="22"/>
      <c r="H227" s="22"/>
      <c r="I227" s="25" t="s">
        <v>1003</v>
      </c>
      <c r="J227" s="22"/>
      <c r="K227" s="22" t="s">
        <v>1004</v>
      </c>
      <c r="L227" s="22"/>
      <c r="M227" s="22" t="str">
        <f>HYPERLINK("https://ceds.ed.gov/cedselementdetails.aspx?termid=22041")</f>
        <v>https://ceds.ed.gov/cedselementdetails.aspx?termid=22041</v>
      </c>
    </row>
    <row r="228" spans="1:13" ht="43.2" x14ac:dyDescent="0.3">
      <c r="A228" s="22" t="s">
        <v>1005</v>
      </c>
      <c r="B228" s="22" t="s">
        <v>1006</v>
      </c>
      <c r="C228" s="26" t="s">
        <v>22</v>
      </c>
      <c r="D228" s="22" t="s">
        <v>978</v>
      </c>
      <c r="E228" s="22"/>
      <c r="F228" s="22"/>
      <c r="G228" s="22"/>
      <c r="H228" s="22"/>
      <c r="I228" s="25" t="s">
        <v>1007</v>
      </c>
      <c r="J228" s="22"/>
      <c r="K228" s="22" t="s">
        <v>1008</v>
      </c>
      <c r="L228" s="22"/>
      <c r="M228" s="22" t="str">
        <f>HYPERLINK("https://ceds.ed.gov/cedselementdetails.aspx?termid=22050")</f>
        <v>https://ceds.ed.gov/cedselementdetails.aspx?termid=22050</v>
      </c>
    </row>
    <row r="229" spans="1:13" x14ac:dyDescent="0.3">
      <c r="A229" s="22" t="s">
        <v>1009</v>
      </c>
      <c r="B229" s="22" t="s">
        <v>1010</v>
      </c>
      <c r="C229" s="23" t="s">
        <v>32</v>
      </c>
      <c r="D229" s="22" t="s">
        <v>983</v>
      </c>
      <c r="E229" s="22"/>
      <c r="F229" s="22" t="s">
        <v>984</v>
      </c>
      <c r="G229" s="22"/>
      <c r="H229" s="22"/>
      <c r="I229" s="25" t="s">
        <v>1011</v>
      </c>
      <c r="J229" s="22"/>
      <c r="K229" s="22" t="s">
        <v>1012</v>
      </c>
      <c r="L229" s="22"/>
      <c r="M229" s="22" t="str">
        <f>HYPERLINK("https://ceds.ed.gov/cedselementdetails.aspx?termid=22058")</f>
        <v>https://ceds.ed.gov/cedselementdetails.aspx?termid=22058</v>
      </c>
    </row>
    <row r="230" spans="1:13" ht="72" x14ac:dyDescent="0.3">
      <c r="A230" s="22" t="s">
        <v>1013</v>
      </c>
      <c r="B230" s="22" t="s">
        <v>1014</v>
      </c>
      <c r="C230" s="26" t="s">
        <v>8625</v>
      </c>
      <c r="D230" s="22" t="s">
        <v>978</v>
      </c>
      <c r="E230" s="22"/>
      <c r="F230" s="22"/>
      <c r="G230" s="22"/>
      <c r="H230" s="22"/>
      <c r="I230" s="25" t="s">
        <v>1015</v>
      </c>
      <c r="J230" s="22"/>
      <c r="K230" s="22" t="s">
        <v>1016</v>
      </c>
      <c r="L230" s="22"/>
      <c r="M230" s="22" t="str">
        <f>HYPERLINK("https://ceds.ed.gov/cedselementdetails.aspx?termid=22026")</f>
        <v>https://ceds.ed.gov/cedselementdetails.aspx?termid=22026</v>
      </c>
    </row>
    <row r="231" spans="1:13" ht="57.6" x14ac:dyDescent="0.3">
      <c r="A231" s="22" t="s">
        <v>1017</v>
      </c>
      <c r="B231" s="22" t="s">
        <v>1018</v>
      </c>
      <c r="C231" s="26" t="s">
        <v>8626</v>
      </c>
      <c r="D231" s="22" t="s">
        <v>983</v>
      </c>
      <c r="E231" s="22"/>
      <c r="F231" s="22"/>
      <c r="G231" s="22"/>
      <c r="H231" s="22"/>
      <c r="I231" s="25" t="s">
        <v>1019</v>
      </c>
      <c r="J231" s="22"/>
      <c r="K231" s="22" t="s">
        <v>1020</v>
      </c>
      <c r="L231" s="22"/>
      <c r="M231" s="22" t="str">
        <f>HYPERLINK("https://ceds.ed.gov/cedselementdetails.aspx?termid=22060")</f>
        <v>https://ceds.ed.gov/cedselementdetails.aspx?termid=22060</v>
      </c>
    </row>
    <row r="232" spans="1:13" ht="43.2" x14ac:dyDescent="0.3">
      <c r="A232" s="22" t="s">
        <v>1021</v>
      </c>
      <c r="B232" s="22" t="s">
        <v>1022</v>
      </c>
      <c r="C232" s="26" t="s">
        <v>22</v>
      </c>
      <c r="D232" s="22" t="s">
        <v>989</v>
      </c>
      <c r="E232" s="22"/>
      <c r="F232" s="22"/>
      <c r="G232" s="22"/>
      <c r="H232" s="22"/>
      <c r="I232" s="25" t="s">
        <v>1023</v>
      </c>
      <c r="J232" s="22"/>
      <c r="K232" s="22" t="s">
        <v>1024</v>
      </c>
      <c r="L232" s="22"/>
      <c r="M232" s="22" t="str">
        <f>HYPERLINK("https://ceds.ed.gov/cedselementdetails.aspx?termid=22033")</f>
        <v>https://ceds.ed.gov/cedselementdetails.aspx?termid=22033</v>
      </c>
    </row>
    <row r="233" spans="1:13" x14ac:dyDescent="0.3">
      <c r="A233" s="22" t="s">
        <v>1025</v>
      </c>
      <c r="B233" s="22" t="s">
        <v>1026</v>
      </c>
      <c r="C233" s="23" t="s">
        <v>7423</v>
      </c>
      <c r="D233" s="22" t="s">
        <v>978</v>
      </c>
      <c r="E233" s="22"/>
      <c r="F233" s="22"/>
      <c r="G233" s="22"/>
      <c r="H233" s="22" t="s">
        <v>7994</v>
      </c>
      <c r="I233" s="25" t="s">
        <v>1027</v>
      </c>
      <c r="J233" s="22"/>
      <c r="K233" s="22" t="s">
        <v>1028</v>
      </c>
      <c r="L233" s="22"/>
      <c r="M233" s="22" t="str">
        <f>HYPERLINK("https://ceds.ed.gov/cedselementdetails.aspx?termid=22042")</f>
        <v>https://ceds.ed.gov/cedselementdetails.aspx?termid=22042</v>
      </c>
    </row>
    <row r="234" spans="1:13" x14ac:dyDescent="0.3">
      <c r="A234" s="22" t="s">
        <v>1029</v>
      </c>
      <c r="B234" s="22" t="s">
        <v>1030</v>
      </c>
      <c r="C234" s="23" t="s">
        <v>7423</v>
      </c>
      <c r="D234" s="22" t="s">
        <v>978</v>
      </c>
      <c r="E234" s="22"/>
      <c r="F234" s="22"/>
      <c r="G234" s="22"/>
      <c r="H234" s="22" t="s">
        <v>7994</v>
      </c>
      <c r="I234" s="25" t="s">
        <v>1031</v>
      </c>
      <c r="J234" s="22"/>
      <c r="K234" s="22" t="s">
        <v>1032</v>
      </c>
      <c r="L234" s="22"/>
      <c r="M234" s="22" t="str">
        <f>HYPERLINK("https://ceds.ed.gov/cedselementdetails.aspx?termid=22043")</f>
        <v>https://ceds.ed.gov/cedselementdetails.aspx?termid=22043</v>
      </c>
    </row>
    <row r="235" spans="1:13" x14ac:dyDescent="0.3">
      <c r="A235" s="22" t="s">
        <v>1033</v>
      </c>
      <c r="B235" s="22" t="s">
        <v>1034</v>
      </c>
      <c r="C235" s="23" t="s">
        <v>7423</v>
      </c>
      <c r="D235" s="22" t="s">
        <v>1035</v>
      </c>
      <c r="E235" s="22"/>
      <c r="F235" s="22"/>
      <c r="G235" s="22"/>
      <c r="H235" s="22" t="s">
        <v>7994</v>
      </c>
      <c r="I235" s="25" t="s">
        <v>1036</v>
      </c>
      <c r="J235" s="22"/>
      <c r="K235" s="22" t="s">
        <v>1037</v>
      </c>
      <c r="L235" s="22"/>
      <c r="M235" s="22" t="str">
        <f>HYPERLINK("https://ceds.ed.gov/cedselementdetails.aspx?termid=22025")</f>
        <v>https://ceds.ed.gov/cedselementdetails.aspx?termid=22025</v>
      </c>
    </row>
    <row r="236" spans="1:13" x14ac:dyDescent="0.3">
      <c r="A236" s="22" t="s">
        <v>1038</v>
      </c>
      <c r="B236" s="22" t="s">
        <v>1039</v>
      </c>
      <c r="C236" s="23" t="s">
        <v>32</v>
      </c>
      <c r="D236" s="22" t="s">
        <v>989</v>
      </c>
      <c r="E236" s="22"/>
      <c r="F236" s="22" t="s">
        <v>984</v>
      </c>
      <c r="G236" s="22"/>
      <c r="H236" s="22"/>
      <c r="I236" s="25" t="s">
        <v>1040</v>
      </c>
      <c r="J236" s="22"/>
      <c r="K236" s="22" t="s">
        <v>1041</v>
      </c>
      <c r="L236" s="22"/>
      <c r="M236" s="22" t="str">
        <f>HYPERLINK("https://ceds.ed.gov/cedselementdetails.aspx?termid=22056")</f>
        <v>https://ceds.ed.gov/cedselementdetails.aspx?termid=22056</v>
      </c>
    </row>
    <row r="237" spans="1:13" ht="72" x14ac:dyDescent="0.3">
      <c r="A237" s="22" t="s">
        <v>1042</v>
      </c>
      <c r="B237" s="22" t="s">
        <v>1043</v>
      </c>
      <c r="C237" s="26" t="s">
        <v>8627</v>
      </c>
      <c r="D237" s="22" t="s">
        <v>989</v>
      </c>
      <c r="E237" s="22"/>
      <c r="F237" s="22"/>
      <c r="G237" s="22"/>
      <c r="H237" s="22"/>
      <c r="I237" s="25" t="s">
        <v>1044</v>
      </c>
      <c r="J237" s="22"/>
      <c r="K237" s="22" t="s">
        <v>1045</v>
      </c>
      <c r="L237" s="22"/>
      <c r="M237" s="22" t="str">
        <f>HYPERLINK("https://ceds.ed.gov/cedselementdetails.aspx?termid=22029")</f>
        <v>https://ceds.ed.gov/cedselementdetails.aspx?termid=22029</v>
      </c>
    </row>
    <row r="238" spans="1:13" x14ac:dyDescent="0.3">
      <c r="A238" s="22" t="s">
        <v>1046</v>
      </c>
      <c r="B238" s="22" t="s">
        <v>1047</v>
      </c>
      <c r="C238" s="23" t="s">
        <v>32</v>
      </c>
      <c r="D238" s="22" t="s">
        <v>989</v>
      </c>
      <c r="E238" s="22"/>
      <c r="F238" s="22" t="s">
        <v>990</v>
      </c>
      <c r="G238" s="22"/>
      <c r="H238" s="22"/>
      <c r="I238" s="25" t="s">
        <v>1048</v>
      </c>
      <c r="J238" s="22"/>
      <c r="K238" s="22" t="s">
        <v>1049</v>
      </c>
      <c r="L238" s="22"/>
      <c r="M238" s="22" t="str">
        <f>HYPERLINK("https://ceds.ed.gov/cedselementdetails.aspx?termid=22034")</f>
        <v>https://ceds.ed.gov/cedselementdetails.aspx?termid=22034</v>
      </c>
    </row>
    <row r="239" spans="1:13" ht="43.2" x14ac:dyDescent="0.3">
      <c r="A239" s="22" t="s">
        <v>1050</v>
      </c>
      <c r="B239" s="22" t="s">
        <v>7996</v>
      </c>
      <c r="C239" s="26" t="s">
        <v>8628</v>
      </c>
      <c r="D239" s="22" t="s">
        <v>989</v>
      </c>
      <c r="E239" s="22"/>
      <c r="F239" s="22"/>
      <c r="G239" s="22"/>
      <c r="H239" s="22"/>
      <c r="I239" s="25" t="s">
        <v>1051</v>
      </c>
      <c r="J239" s="22"/>
      <c r="K239" s="22" t="s">
        <v>1052</v>
      </c>
      <c r="L239" s="22"/>
      <c r="M239" s="22" t="str">
        <f>HYPERLINK("https://ceds.ed.gov/cedselementdetails.aspx?termid=22051")</f>
        <v>https://ceds.ed.gov/cedselementdetails.aspx?termid=22051</v>
      </c>
    </row>
    <row r="240" spans="1:13" x14ac:dyDescent="0.3">
      <c r="A240" s="22" t="s">
        <v>1053</v>
      </c>
      <c r="B240" s="22" t="s">
        <v>1054</v>
      </c>
      <c r="C240" s="23" t="s">
        <v>32</v>
      </c>
      <c r="D240" s="22" t="s">
        <v>989</v>
      </c>
      <c r="E240" s="22"/>
      <c r="F240" s="22" t="s">
        <v>317</v>
      </c>
      <c r="G240" s="22"/>
      <c r="H240" s="22"/>
      <c r="I240" s="25" t="s">
        <v>1055</v>
      </c>
      <c r="J240" s="22"/>
      <c r="K240" s="22" t="s">
        <v>1056</v>
      </c>
      <c r="L240" s="22"/>
      <c r="M240" s="22" t="str">
        <f>HYPERLINK("https://ceds.ed.gov/cedselementdetails.aspx?termid=22037")</f>
        <v>https://ceds.ed.gov/cedselementdetails.aspx?termid=22037</v>
      </c>
    </row>
    <row r="241" spans="1:13" ht="43.2" x14ac:dyDescent="0.3">
      <c r="A241" s="22" t="s">
        <v>1057</v>
      </c>
      <c r="B241" s="22" t="s">
        <v>1058</v>
      </c>
      <c r="C241" s="26" t="s">
        <v>8629</v>
      </c>
      <c r="D241" s="22" t="s">
        <v>989</v>
      </c>
      <c r="E241" s="22"/>
      <c r="F241" s="22"/>
      <c r="G241" s="22"/>
      <c r="H241" s="22"/>
      <c r="I241" s="25" t="s">
        <v>1059</v>
      </c>
      <c r="J241" s="22"/>
      <c r="K241" s="22" t="s">
        <v>1060</v>
      </c>
      <c r="L241" s="22"/>
      <c r="M241" s="22" t="str">
        <f>HYPERLINK("https://ceds.ed.gov/cedselementdetails.aspx?termid=22036")</f>
        <v>https://ceds.ed.gov/cedselementdetails.aspx?termid=22036</v>
      </c>
    </row>
    <row r="242" spans="1:13" x14ac:dyDescent="0.3">
      <c r="A242" s="22" t="s">
        <v>1061</v>
      </c>
      <c r="B242" s="22" t="s">
        <v>1062</v>
      </c>
      <c r="C242" s="23" t="s">
        <v>32</v>
      </c>
      <c r="D242" s="22" t="s">
        <v>983</v>
      </c>
      <c r="E242" s="22"/>
      <c r="F242" s="22" t="s">
        <v>984</v>
      </c>
      <c r="G242" s="22"/>
      <c r="H242" s="22"/>
      <c r="I242" s="25" t="s">
        <v>1063</v>
      </c>
      <c r="J242" s="22"/>
      <c r="K242" s="22" t="s">
        <v>1064</v>
      </c>
      <c r="L242" s="22"/>
      <c r="M242" s="22" t="str">
        <f>HYPERLINK("https://ceds.ed.gov/cedselementdetails.aspx?termid=22057")</f>
        <v>https://ceds.ed.gov/cedselementdetails.aspx?termid=22057</v>
      </c>
    </row>
    <row r="243" spans="1:13" x14ac:dyDescent="0.3">
      <c r="A243" s="22" t="s">
        <v>1065</v>
      </c>
      <c r="B243" s="22" t="s">
        <v>1066</v>
      </c>
      <c r="C243" s="23" t="s">
        <v>32</v>
      </c>
      <c r="D243" s="22" t="s">
        <v>989</v>
      </c>
      <c r="E243" s="22"/>
      <c r="F243" s="22" t="s">
        <v>990</v>
      </c>
      <c r="G243" s="22"/>
      <c r="H243" s="22"/>
      <c r="I243" s="25" t="s">
        <v>1067</v>
      </c>
      <c r="J243" s="22"/>
      <c r="K243" s="22" t="s">
        <v>1068</v>
      </c>
      <c r="L243" s="22"/>
      <c r="M243" s="22" t="str">
        <f>HYPERLINK("https://ceds.ed.gov/cedselementdetails.aspx?termid=22031")</f>
        <v>https://ceds.ed.gov/cedselementdetails.aspx?termid=22031</v>
      </c>
    </row>
    <row r="244" spans="1:13" ht="43.2" x14ac:dyDescent="0.3">
      <c r="A244" s="22" t="s">
        <v>1069</v>
      </c>
      <c r="B244" s="22" t="s">
        <v>1070</v>
      </c>
      <c r="C244" s="26" t="s">
        <v>22</v>
      </c>
      <c r="D244" s="22" t="s">
        <v>989</v>
      </c>
      <c r="E244" s="22"/>
      <c r="F244" s="22"/>
      <c r="G244" s="22"/>
      <c r="H244" s="22"/>
      <c r="I244" s="25" t="s">
        <v>1071</v>
      </c>
      <c r="J244" s="22"/>
      <c r="K244" s="22" t="s">
        <v>1072</v>
      </c>
      <c r="L244" s="22"/>
      <c r="M244" s="22" t="str">
        <f>HYPERLINK("https://ceds.ed.gov/cedselementdetails.aspx?termid=22048")</f>
        <v>https://ceds.ed.gov/cedselementdetails.aspx?termid=22048</v>
      </c>
    </row>
    <row r="245" spans="1:13" ht="43.2" x14ac:dyDescent="0.3">
      <c r="A245" s="22" t="s">
        <v>1073</v>
      </c>
      <c r="B245" s="22" t="s">
        <v>1074</v>
      </c>
      <c r="C245" s="26" t="s">
        <v>8630</v>
      </c>
      <c r="D245" s="22" t="s">
        <v>989</v>
      </c>
      <c r="E245" s="22"/>
      <c r="F245" s="22"/>
      <c r="G245" s="22"/>
      <c r="H245" s="22"/>
      <c r="I245" s="25" t="s">
        <v>1075</v>
      </c>
      <c r="J245" s="22"/>
      <c r="K245" s="22" t="s">
        <v>1076</v>
      </c>
      <c r="L245" s="22"/>
      <c r="M245" s="22" t="str">
        <f>HYPERLINK("https://ceds.ed.gov/cedselementdetails.aspx?termid=22044")</f>
        <v>https://ceds.ed.gov/cedselementdetails.aspx?termid=22044</v>
      </c>
    </row>
    <row r="246" spans="1:13" x14ac:dyDescent="0.3">
      <c r="A246" s="22" t="s">
        <v>1077</v>
      </c>
      <c r="B246" s="22" t="s">
        <v>1078</v>
      </c>
      <c r="C246" s="23" t="s">
        <v>32</v>
      </c>
      <c r="D246" s="22" t="s">
        <v>989</v>
      </c>
      <c r="E246" s="22"/>
      <c r="F246" s="22" t="s">
        <v>50</v>
      </c>
      <c r="G246" s="22"/>
      <c r="H246" s="22"/>
      <c r="I246" s="25" t="s">
        <v>1079</v>
      </c>
      <c r="J246" s="22"/>
      <c r="K246" s="22" t="s">
        <v>1080</v>
      </c>
      <c r="L246" s="22"/>
      <c r="M246" s="22" t="str">
        <f>HYPERLINK("https://ceds.ed.gov/cedselementdetails.aspx?termid=22053")</f>
        <v>https://ceds.ed.gov/cedselementdetails.aspx?termid=22053</v>
      </c>
    </row>
    <row r="247" spans="1:13" x14ac:dyDescent="0.3">
      <c r="A247" s="22" t="s">
        <v>1081</v>
      </c>
      <c r="B247" s="22" t="s">
        <v>1082</v>
      </c>
      <c r="C247" s="23" t="s">
        <v>32</v>
      </c>
      <c r="D247" s="22" t="s">
        <v>989</v>
      </c>
      <c r="E247" s="22"/>
      <c r="F247" s="22" t="s">
        <v>317</v>
      </c>
      <c r="G247" s="22"/>
      <c r="H247" s="22"/>
      <c r="I247" s="25" t="s">
        <v>1083</v>
      </c>
      <c r="J247" s="22"/>
      <c r="K247" s="22" t="s">
        <v>1084</v>
      </c>
      <c r="L247" s="22"/>
      <c r="M247" s="22" t="str">
        <f>HYPERLINK("https://ceds.ed.gov/cedselementdetails.aspx?termid=22030")</f>
        <v>https://ceds.ed.gov/cedselementdetails.aspx?termid=22030</v>
      </c>
    </row>
    <row r="248" spans="1:13" ht="43.2" x14ac:dyDescent="0.3">
      <c r="A248" s="22" t="s">
        <v>1085</v>
      </c>
      <c r="B248" s="22" t="s">
        <v>1086</v>
      </c>
      <c r="C248" s="26" t="s">
        <v>8631</v>
      </c>
      <c r="D248" s="22" t="s">
        <v>989</v>
      </c>
      <c r="E248" s="22"/>
      <c r="F248" s="22"/>
      <c r="G248" s="22"/>
      <c r="H248" s="22"/>
      <c r="I248" s="25" t="s">
        <v>1087</v>
      </c>
      <c r="J248" s="22"/>
      <c r="K248" s="22" t="s">
        <v>1088</v>
      </c>
      <c r="L248" s="22"/>
      <c r="M248" s="22" t="str">
        <f>HYPERLINK("https://ceds.ed.gov/cedselementdetails.aspx?termid=22046")</f>
        <v>https://ceds.ed.gov/cedselementdetails.aspx?termid=22046</v>
      </c>
    </row>
    <row r="249" spans="1:13" ht="158.4" x14ac:dyDescent="0.3">
      <c r="A249" s="22" t="s">
        <v>1089</v>
      </c>
      <c r="B249" s="22" t="s">
        <v>1090</v>
      </c>
      <c r="C249" s="26" t="s">
        <v>8632</v>
      </c>
      <c r="D249" s="22" t="s">
        <v>978</v>
      </c>
      <c r="E249" s="22"/>
      <c r="F249" s="22"/>
      <c r="G249" s="22"/>
      <c r="H249" s="22"/>
      <c r="I249" s="25" t="s">
        <v>1091</v>
      </c>
      <c r="J249" s="22"/>
      <c r="K249" s="22" t="s">
        <v>1092</v>
      </c>
      <c r="L249" s="22"/>
      <c r="M249" s="22" t="str">
        <f>HYPERLINK("https://ceds.ed.gov/cedselementdetails.aspx?termid=22027")</f>
        <v>https://ceds.ed.gov/cedselementdetails.aspx?termid=22027</v>
      </c>
    </row>
    <row r="250" spans="1:13" x14ac:dyDescent="0.3">
      <c r="A250" s="22" t="s">
        <v>1093</v>
      </c>
      <c r="B250" s="22" t="s">
        <v>7997</v>
      </c>
      <c r="C250" s="23" t="s">
        <v>32</v>
      </c>
      <c r="D250" s="22" t="s">
        <v>989</v>
      </c>
      <c r="E250" s="22"/>
      <c r="F250" s="22" t="s">
        <v>328</v>
      </c>
      <c r="G250" s="22"/>
      <c r="H250" s="22"/>
      <c r="I250" s="25" t="s">
        <v>1094</v>
      </c>
      <c r="J250" s="22"/>
      <c r="K250" s="22" t="s">
        <v>1095</v>
      </c>
      <c r="L250" s="22"/>
      <c r="M250" s="22" t="str">
        <f>HYPERLINK("https://ceds.ed.gov/cedselementdetails.aspx?termid=22052")</f>
        <v>https://ceds.ed.gov/cedselementdetails.aspx?termid=22052</v>
      </c>
    </row>
    <row r="251" spans="1:13" x14ac:dyDescent="0.3">
      <c r="A251" s="22" t="s">
        <v>1096</v>
      </c>
      <c r="B251" s="22" t="s">
        <v>7998</v>
      </c>
      <c r="C251" s="23" t="s">
        <v>32</v>
      </c>
      <c r="D251" s="22" t="s">
        <v>1097</v>
      </c>
      <c r="E251" s="22"/>
      <c r="F251" s="22" t="s">
        <v>1098</v>
      </c>
      <c r="G251" s="22"/>
      <c r="H251" s="22"/>
      <c r="I251" s="25" t="s">
        <v>1099</v>
      </c>
      <c r="J251" s="22"/>
      <c r="K251" s="22" t="s">
        <v>1100</v>
      </c>
      <c r="L251" s="22"/>
      <c r="M251" s="22" t="str">
        <f>HYPERLINK("https://ceds.ed.gov/cedselementdetails.aspx?termid=22055")</f>
        <v>https://ceds.ed.gov/cedselementdetails.aspx?termid=22055</v>
      </c>
    </row>
    <row r="252" spans="1:13" x14ac:dyDescent="0.3">
      <c r="A252" s="22" t="s">
        <v>1101</v>
      </c>
      <c r="B252" s="22" t="s">
        <v>1102</v>
      </c>
      <c r="C252" s="23" t="s">
        <v>32</v>
      </c>
      <c r="D252" s="22" t="s">
        <v>1035</v>
      </c>
      <c r="E252" s="22"/>
      <c r="F252" s="22" t="s">
        <v>328</v>
      </c>
      <c r="G252" s="22"/>
      <c r="H252" s="22"/>
      <c r="I252" s="25" t="s">
        <v>1103</v>
      </c>
      <c r="J252" s="22"/>
      <c r="K252" s="22" t="s">
        <v>1104</v>
      </c>
      <c r="L252" s="22"/>
      <c r="M252" s="22" t="str">
        <f>HYPERLINK("https://ceds.ed.gov/cedselementdetails.aspx?termid=22101")</f>
        <v>https://ceds.ed.gov/cedselementdetails.aspx?termid=22101</v>
      </c>
    </row>
    <row r="253" spans="1:13" ht="72" x14ac:dyDescent="0.3">
      <c r="A253" s="22" t="s">
        <v>1105</v>
      </c>
      <c r="B253" s="22" t="s">
        <v>1106</v>
      </c>
      <c r="C253" s="26" t="s">
        <v>8633</v>
      </c>
      <c r="D253" s="22" t="s">
        <v>989</v>
      </c>
      <c r="E253" s="22"/>
      <c r="F253" s="22"/>
      <c r="G253" s="22"/>
      <c r="H253" s="22"/>
      <c r="I253" s="25" t="s">
        <v>1107</v>
      </c>
      <c r="J253" s="22"/>
      <c r="K253" s="22" t="s">
        <v>1108</v>
      </c>
      <c r="L253" s="22"/>
      <c r="M253" s="22" t="str">
        <f>HYPERLINK("https://ceds.ed.gov/cedselementdetails.aspx?termid=22028")</f>
        <v>https://ceds.ed.gov/cedselementdetails.aspx?termid=22028</v>
      </c>
    </row>
    <row r="254" spans="1:13" ht="72" x14ac:dyDescent="0.3">
      <c r="A254" s="22" t="s">
        <v>1109</v>
      </c>
      <c r="B254" s="22" t="s">
        <v>1110</v>
      </c>
      <c r="C254" s="26" t="s">
        <v>8634</v>
      </c>
      <c r="D254" s="22" t="s">
        <v>978</v>
      </c>
      <c r="E254" s="22"/>
      <c r="F254" s="22"/>
      <c r="G254" s="22"/>
      <c r="H254" s="22"/>
      <c r="I254" s="25" t="s">
        <v>1111</v>
      </c>
      <c r="J254" s="22"/>
      <c r="K254" s="22" t="s">
        <v>1112</v>
      </c>
      <c r="L254" s="22"/>
      <c r="M254" s="22" t="str">
        <f>HYPERLINK("https://ceds.ed.gov/cedselementdetails.aspx?termid=22049")</f>
        <v>https://ceds.ed.gov/cedselementdetails.aspx?termid=22049</v>
      </c>
    </row>
    <row r="255" spans="1:13" x14ac:dyDescent="0.3">
      <c r="A255" s="22" t="s">
        <v>1113</v>
      </c>
      <c r="B255" s="22" t="s">
        <v>1114</v>
      </c>
      <c r="C255" s="23" t="s">
        <v>32</v>
      </c>
      <c r="D255" s="22" t="s">
        <v>989</v>
      </c>
      <c r="E255" s="22"/>
      <c r="F255" s="22" t="s">
        <v>990</v>
      </c>
      <c r="G255" s="22"/>
      <c r="H255" s="22"/>
      <c r="I255" s="25" t="s">
        <v>1115</v>
      </c>
      <c r="J255" s="22"/>
      <c r="K255" s="22" t="s">
        <v>1116</v>
      </c>
      <c r="L255" s="22"/>
      <c r="M255" s="22" t="str">
        <f>HYPERLINK("https://ceds.ed.gov/cedselementdetails.aspx?termid=22032")</f>
        <v>https://ceds.ed.gov/cedselementdetails.aspx?termid=22032</v>
      </c>
    </row>
    <row r="256" spans="1:13" ht="28.8" x14ac:dyDescent="0.3">
      <c r="A256" s="22" t="s">
        <v>1117</v>
      </c>
      <c r="B256" s="22" t="s">
        <v>1118</v>
      </c>
      <c r="C256" s="23" t="s">
        <v>32</v>
      </c>
      <c r="D256" s="22" t="s">
        <v>506</v>
      </c>
      <c r="E256" s="22"/>
      <c r="F256" s="22" t="s">
        <v>780</v>
      </c>
      <c r="G256" s="22"/>
      <c r="H256" s="22"/>
      <c r="I256" s="25" t="s">
        <v>1119</v>
      </c>
      <c r="J256" s="22"/>
      <c r="K256" s="22" t="s">
        <v>1120</v>
      </c>
      <c r="L256" s="24" t="s">
        <v>638</v>
      </c>
      <c r="M256" s="22" t="str">
        <f>HYPERLINK("https://ceds.ed.gov/cedselementdetails.aspx?termid=21373")</f>
        <v>https://ceds.ed.gov/cedselementdetails.aspx?termid=21373</v>
      </c>
    </row>
    <row r="257" spans="1:13" x14ac:dyDescent="0.3">
      <c r="A257" s="22" t="s">
        <v>1121</v>
      </c>
      <c r="B257" s="22" t="s">
        <v>1122</v>
      </c>
      <c r="C257" s="23" t="s">
        <v>32</v>
      </c>
      <c r="D257" s="22" t="s">
        <v>1123</v>
      </c>
      <c r="E257" s="22"/>
      <c r="F257" s="22" t="s">
        <v>113</v>
      </c>
      <c r="G257" s="22"/>
      <c r="H257" s="22"/>
      <c r="I257" s="25" t="s">
        <v>1124</v>
      </c>
      <c r="J257" s="22"/>
      <c r="K257" s="22" t="s">
        <v>1125</v>
      </c>
      <c r="L257" s="22"/>
      <c r="M257" s="22" t="str">
        <f>HYPERLINK("https://ceds.ed.gov/cedselementdetails.aspx?termid=22514")</f>
        <v>https://ceds.ed.gov/cedselementdetails.aspx?termid=22514</v>
      </c>
    </row>
    <row r="258" spans="1:13" x14ac:dyDescent="0.3">
      <c r="A258" s="22" t="s">
        <v>1126</v>
      </c>
      <c r="B258" s="22" t="s">
        <v>1127</v>
      </c>
      <c r="C258" s="23" t="s">
        <v>32</v>
      </c>
      <c r="D258" s="22" t="s">
        <v>1123</v>
      </c>
      <c r="E258" s="22"/>
      <c r="F258" s="22" t="s">
        <v>113</v>
      </c>
      <c r="G258" s="22"/>
      <c r="H258" s="22" t="s">
        <v>1128</v>
      </c>
      <c r="I258" s="25" t="s">
        <v>1129</v>
      </c>
      <c r="J258" s="22"/>
      <c r="K258" s="22" t="s">
        <v>1130</v>
      </c>
      <c r="L258" s="22"/>
      <c r="M258" s="22" t="str">
        <f>HYPERLINK("https://ceds.ed.gov/cedselementdetails.aspx?termid=22006")</f>
        <v>https://ceds.ed.gov/cedselementdetails.aspx?termid=22006</v>
      </c>
    </row>
    <row r="259" spans="1:13" x14ac:dyDescent="0.3">
      <c r="A259" s="22" t="s">
        <v>1131</v>
      </c>
      <c r="B259" s="22" t="s">
        <v>1132</v>
      </c>
      <c r="C259" s="23" t="s">
        <v>32</v>
      </c>
      <c r="D259" s="22" t="s">
        <v>1123</v>
      </c>
      <c r="E259" s="22"/>
      <c r="F259" s="22" t="s">
        <v>132</v>
      </c>
      <c r="G259" s="22"/>
      <c r="H259" s="22" t="s">
        <v>7970</v>
      </c>
      <c r="I259" s="25" t="s">
        <v>1133</v>
      </c>
      <c r="J259" s="22"/>
      <c r="K259" s="22" t="s">
        <v>1134</v>
      </c>
      <c r="L259" s="22"/>
      <c r="M259" s="22" t="str">
        <f>HYPERLINK("https://ceds.ed.gov/cedselementdetails.aspx?termid=22515")</f>
        <v>https://ceds.ed.gov/cedselementdetails.aspx?termid=22515</v>
      </c>
    </row>
    <row r="260" spans="1:13" ht="43.2" x14ac:dyDescent="0.3">
      <c r="A260" s="22" t="s">
        <v>1135</v>
      </c>
      <c r="B260" s="22" t="s">
        <v>1136</v>
      </c>
      <c r="C260" s="23" t="s">
        <v>7423</v>
      </c>
      <c r="D260" s="22" t="s">
        <v>1123</v>
      </c>
      <c r="E260" s="22"/>
      <c r="F260" s="22"/>
      <c r="G260" s="22"/>
      <c r="H260" s="22" t="s">
        <v>7994</v>
      </c>
      <c r="I260" s="25" t="s">
        <v>1137</v>
      </c>
      <c r="J260" s="22"/>
      <c r="K260" s="22" t="s">
        <v>1138</v>
      </c>
      <c r="L260" s="24" t="s">
        <v>93</v>
      </c>
      <c r="M260" s="22" t="str">
        <f>HYPERLINK("https://ceds.ed.gov/cedselementdetails.aspx?termid=21370")</f>
        <v>https://ceds.ed.gov/cedselementdetails.aspx?termid=21370</v>
      </c>
    </row>
    <row r="261" spans="1:13" ht="115.2" x14ac:dyDescent="0.3">
      <c r="A261" s="22" t="s">
        <v>1139</v>
      </c>
      <c r="B261" s="22" t="s">
        <v>1140</v>
      </c>
      <c r="C261" s="26" t="s">
        <v>8635</v>
      </c>
      <c r="D261" s="24" t="s">
        <v>1141</v>
      </c>
      <c r="E261" s="22"/>
      <c r="F261" s="22"/>
      <c r="G261" s="22"/>
      <c r="H261" s="22"/>
      <c r="I261" s="25" t="s">
        <v>1142</v>
      </c>
      <c r="J261" s="22"/>
      <c r="K261" s="22" t="s">
        <v>1143</v>
      </c>
      <c r="L261" s="24" t="s">
        <v>638</v>
      </c>
      <c r="M261" s="22" t="str">
        <f>HYPERLINK("https://ceds.ed.gov/cedselementdetails.aspx?termid=21377")</f>
        <v>https://ceds.ed.gov/cedselementdetails.aspx?termid=21377</v>
      </c>
    </row>
    <row r="262" spans="1:13" x14ac:dyDescent="0.3">
      <c r="A262" s="22" t="s">
        <v>1144</v>
      </c>
      <c r="B262" s="22" t="s">
        <v>7999</v>
      </c>
      <c r="C262" s="23" t="s">
        <v>32</v>
      </c>
      <c r="D262" s="22" t="s">
        <v>1123</v>
      </c>
      <c r="E262" s="22"/>
      <c r="F262" s="22" t="s">
        <v>50</v>
      </c>
      <c r="G262" s="22"/>
      <c r="H262" s="22" t="s">
        <v>8000</v>
      </c>
      <c r="I262" s="25" t="s">
        <v>1145</v>
      </c>
      <c r="J262" s="22"/>
      <c r="K262" s="22" t="s">
        <v>1146</v>
      </c>
      <c r="L262" s="22"/>
      <c r="M262" s="22" t="str">
        <f>HYPERLINK("https://ceds.ed.gov/cedselementdetails.aspx?termid=22112")</f>
        <v>https://ceds.ed.gov/cedselementdetails.aspx?termid=22112</v>
      </c>
    </row>
    <row r="263" spans="1:13" x14ac:dyDescent="0.3">
      <c r="A263" s="22" t="s">
        <v>1147</v>
      </c>
      <c r="B263" s="22" t="s">
        <v>1148</v>
      </c>
      <c r="C263" s="23" t="s">
        <v>32</v>
      </c>
      <c r="D263" s="22" t="s">
        <v>1123</v>
      </c>
      <c r="E263" s="22"/>
      <c r="F263" s="22" t="s">
        <v>328</v>
      </c>
      <c r="G263" s="22"/>
      <c r="H263" s="22"/>
      <c r="I263" s="25" t="s">
        <v>1149</v>
      </c>
      <c r="J263" s="22"/>
      <c r="K263" s="22" t="s">
        <v>1150</v>
      </c>
      <c r="L263" s="22"/>
      <c r="M263" s="22" t="str">
        <f>HYPERLINK("https://ceds.ed.gov/cedselementdetails.aspx?termid=22102")</f>
        <v>https://ceds.ed.gov/cedselementdetails.aspx?termid=22102</v>
      </c>
    </row>
    <row r="264" spans="1:13" ht="43.2" x14ac:dyDescent="0.3">
      <c r="A264" s="22" t="s">
        <v>1151</v>
      </c>
      <c r="B264" s="22" t="s">
        <v>8001</v>
      </c>
      <c r="C264" s="23" t="s">
        <v>32</v>
      </c>
      <c r="D264" s="22" t="s">
        <v>1123</v>
      </c>
      <c r="E264" s="22"/>
      <c r="F264" s="22" t="s">
        <v>85</v>
      </c>
      <c r="G264" s="22"/>
      <c r="H264" s="22"/>
      <c r="I264" s="25" t="s">
        <v>1152</v>
      </c>
      <c r="J264" s="22"/>
      <c r="K264" s="22" t="s">
        <v>1153</v>
      </c>
      <c r="L264" s="24" t="s">
        <v>93</v>
      </c>
      <c r="M264" s="22" t="str">
        <f>HYPERLINK("https://ceds.ed.gov/cedselementdetails.aspx?termid=21398")</f>
        <v>https://ceds.ed.gov/cedselementdetails.aspx?termid=21398</v>
      </c>
    </row>
    <row r="265" spans="1:13" ht="72" x14ac:dyDescent="0.3">
      <c r="A265" s="22" t="s">
        <v>1154</v>
      </c>
      <c r="B265" s="22" t="s">
        <v>1155</v>
      </c>
      <c r="C265" s="23" t="s">
        <v>32</v>
      </c>
      <c r="D265" s="24" t="s">
        <v>1156</v>
      </c>
      <c r="E265" s="22"/>
      <c r="F265" s="22" t="s">
        <v>328</v>
      </c>
      <c r="G265" s="22"/>
      <c r="H265" s="22"/>
      <c r="I265" s="25" t="s">
        <v>1157</v>
      </c>
      <c r="J265" s="22"/>
      <c r="K265" s="22" t="s">
        <v>1158</v>
      </c>
      <c r="L265" s="22"/>
      <c r="M265" s="22" t="str">
        <f>HYPERLINK("https://ceds.ed.gov/cedselementdetails.aspx?termid=22184")</f>
        <v>https://ceds.ed.gov/cedselementdetails.aspx?termid=22184</v>
      </c>
    </row>
    <row r="266" spans="1:13" ht="72" x14ac:dyDescent="0.3">
      <c r="A266" s="22" t="s">
        <v>1159</v>
      </c>
      <c r="B266" s="22" t="s">
        <v>1160</v>
      </c>
      <c r="C266" s="23" t="s">
        <v>32</v>
      </c>
      <c r="D266" s="24" t="s">
        <v>1156</v>
      </c>
      <c r="E266" s="22"/>
      <c r="F266" s="22" t="s">
        <v>132</v>
      </c>
      <c r="G266" s="22"/>
      <c r="H266" s="22" t="s">
        <v>7945</v>
      </c>
      <c r="I266" s="25" t="s">
        <v>1161</v>
      </c>
      <c r="J266" s="22"/>
      <c r="K266" s="22" t="s">
        <v>1162</v>
      </c>
      <c r="L266" s="22" t="s">
        <v>812</v>
      </c>
      <c r="M266" s="22" t="str">
        <f>HYPERLINK("https://ceds.ed.gov/cedselementdetails.aspx?termid=21693")</f>
        <v>https://ceds.ed.gov/cedselementdetails.aspx?termid=21693</v>
      </c>
    </row>
    <row r="267" spans="1:13" ht="72" x14ac:dyDescent="0.3">
      <c r="A267" s="22" t="s">
        <v>1163</v>
      </c>
      <c r="B267" s="22" t="s">
        <v>1164</v>
      </c>
      <c r="C267" s="23" t="s">
        <v>32</v>
      </c>
      <c r="D267" s="24" t="s">
        <v>1156</v>
      </c>
      <c r="E267" s="22"/>
      <c r="F267" s="22" t="s">
        <v>1165</v>
      </c>
      <c r="G267" s="22"/>
      <c r="H267" s="22"/>
      <c r="I267" s="25" t="s">
        <v>1166</v>
      </c>
      <c r="J267" s="22"/>
      <c r="K267" s="22" t="s">
        <v>1167</v>
      </c>
      <c r="L267" s="22" t="s">
        <v>812</v>
      </c>
      <c r="M267" s="22" t="str">
        <f>HYPERLINK("https://ceds.ed.gov/cedselementdetails.aspx?termid=21694")</f>
        <v>https://ceds.ed.gov/cedselementdetails.aspx?termid=21694</v>
      </c>
    </row>
    <row r="268" spans="1:13" ht="72" x14ac:dyDescent="0.3">
      <c r="A268" s="22" t="s">
        <v>1168</v>
      </c>
      <c r="B268" s="22" t="s">
        <v>1169</v>
      </c>
      <c r="C268" s="23" t="s">
        <v>32</v>
      </c>
      <c r="D268" s="24" t="s">
        <v>1156</v>
      </c>
      <c r="E268" s="22"/>
      <c r="F268" s="22" t="s">
        <v>85</v>
      </c>
      <c r="G268" s="22"/>
      <c r="H268" s="22"/>
      <c r="I268" s="25" t="s">
        <v>1170</v>
      </c>
      <c r="J268" s="22"/>
      <c r="K268" s="22" t="s">
        <v>1171</v>
      </c>
      <c r="L268" s="24" t="s">
        <v>93</v>
      </c>
      <c r="M268" s="22" t="str">
        <f>HYPERLINK("https://ceds.ed.gov/cedselementdetails.aspx?termid=21408")</f>
        <v>https://ceds.ed.gov/cedselementdetails.aspx?termid=21408</v>
      </c>
    </row>
    <row r="269" spans="1:13" ht="409.6" x14ac:dyDescent="0.3">
      <c r="A269" s="22" t="s">
        <v>1172</v>
      </c>
      <c r="B269" s="22" t="s">
        <v>1173</v>
      </c>
      <c r="C269" s="26" t="s">
        <v>8636</v>
      </c>
      <c r="D269" s="24" t="s">
        <v>1156</v>
      </c>
      <c r="E269" s="22"/>
      <c r="F269" s="22" t="s">
        <v>85</v>
      </c>
      <c r="G269" s="22"/>
      <c r="H269" s="22"/>
      <c r="I269" s="25" t="s">
        <v>1174</v>
      </c>
      <c r="J269" s="22"/>
      <c r="K269" s="22" t="s">
        <v>1175</v>
      </c>
      <c r="L269" s="24" t="s">
        <v>93</v>
      </c>
      <c r="M269" s="22" t="str">
        <f>HYPERLINK("https://ceds.ed.gov/cedselementdetails.aspx?termid=21407")</f>
        <v>https://ceds.ed.gov/cedselementdetails.aspx?termid=21407</v>
      </c>
    </row>
    <row r="270" spans="1:13" ht="72" x14ac:dyDescent="0.3">
      <c r="A270" s="22" t="s">
        <v>1176</v>
      </c>
      <c r="B270" s="22" t="s">
        <v>1177</v>
      </c>
      <c r="C270" s="23" t="s">
        <v>32</v>
      </c>
      <c r="D270" s="24" t="s">
        <v>1156</v>
      </c>
      <c r="E270" s="22"/>
      <c r="F270" s="22" t="s">
        <v>85</v>
      </c>
      <c r="G270" s="22"/>
      <c r="H270" s="22"/>
      <c r="I270" s="25" t="s">
        <v>1178</v>
      </c>
      <c r="J270" s="22"/>
      <c r="K270" s="22" t="s">
        <v>1179</v>
      </c>
      <c r="L270" s="24" t="s">
        <v>93</v>
      </c>
      <c r="M270" s="22" t="str">
        <f>HYPERLINK("https://ceds.ed.gov/cedselementdetails.aspx?termid=21409")</f>
        <v>https://ceds.ed.gov/cedselementdetails.aspx?termid=21409</v>
      </c>
    </row>
    <row r="271" spans="1:13" ht="43.2" x14ac:dyDescent="0.3">
      <c r="A271" s="22" t="s">
        <v>1180</v>
      </c>
      <c r="B271" s="22" t="s">
        <v>1181</v>
      </c>
      <c r="C271" s="26" t="s">
        <v>22</v>
      </c>
      <c r="D271" s="22" t="s">
        <v>1035</v>
      </c>
      <c r="E271" s="22"/>
      <c r="F271" s="22"/>
      <c r="G271" s="22"/>
      <c r="H271" s="22" t="s">
        <v>1182</v>
      </c>
      <c r="I271" s="25" t="s">
        <v>1183</v>
      </c>
      <c r="J271" s="22"/>
      <c r="K271" s="22" t="s">
        <v>1184</v>
      </c>
      <c r="L271" s="22"/>
      <c r="M271" s="22" t="str">
        <f>HYPERLINK("https://ceds.ed.gov/cedselementdetails.aspx?termid=22008")</f>
        <v>https://ceds.ed.gov/cedselementdetails.aspx?termid=22008</v>
      </c>
    </row>
    <row r="272" spans="1:13" ht="43.2" x14ac:dyDescent="0.3">
      <c r="A272" s="22" t="s">
        <v>1185</v>
      </c>
      <c r="B272" s="22" t="s">
        <v>1186</v>
      </c>
      <c r="C272" s="26" t="s">
        <v>22</v>
      </c>
      <c r="D272" s="22" t="s">
        <v>1035</v>
      </c>
      <c r="E272" s="22"/>
      <c r="F272" s="22"/>
      <c r="G272" s="22"/>
      <c r="H272" s="22" t="s">
        <v>1182</v>
      </c>
      <c r="I272" s="25" t="s">
        <v>1187</v>
      </c>
      <c r="J272" s="22"/>
      <c r="K272" s="22" t="s">
        <v>1188</v>
      </c>
      <c r="L272" s="22"/>
      <c r="M272" s="22" t="str">
        <f>HYPERLINK("https://ceds.ed.gov/cedselementdetails.aspx?termid=22007")</f>
        <v>https://ceds.ed.gov/cedselementdetails.aspx?termid=22007</v>
      </c>
    </row>
    <row r="273" spans="1:13" x14ac:dyDescent="0.3">
      <c r="A273" s="22" t="s">
        <v>1189</v>
      </c>
      <c r="B273" s="22" t="s">
        <v>1190</v>
      </c>
      <c r="C273" s="23" t="s">
        <v>32</v>
      </c>
      <c r="D273" s="22" t="s">
        <v>506</v>
      </c>
      <c r="E273" s="22"/>
      <c r="F273" s="22" t="s">
        <v>85</v>
      </c>
      <c r="G273" s="22"/>
      <c r="H273" s="22" t="s">
        <v>1191</v>
      </c>
      <c r="I273" s="25" t="s">
        <v>1192</v>
      </c>
      <c r="J273" s="22"/>
      <c r="K273" s="22" t="s">
        <v>1193</v>
      </c>
      <c r="L273" s="22"/>
      <c r="M273" s="22" t="str">
        <f>HYPERLINK("https://ceds.ed.gov/cedselementdetails.aspx?termid=22009")</f>
        <v>https://ceds.ed.gov/cedselementdetails.aspx?termid=22009</v>
      </c>
    </row>
    <row r="274" spans="1:13" ht="360" x14ac:dyDescent="0.3">
      <c r="A274" s="22" t="s">
        <v>1194</v>
      </c>
      <c r="B274" s="22" t="s">
        <v>1195</v>
      </c>
      <c r="C274" s="26" t="s">
        <v>8637</v>
      </c>
      <c r="D274" s="24" t="s">
        <v>1196</v>
      </c>
      <c r="E274" s="22"/>
      <c r="F274" s="22"/>
      <c r="G274" s="22"/>
      <c r="H274" s="22" t="s">
        <v>1197</v>
      </c>
      <c r="I274" s="25" t="s">
        <v>1198</v>
      </c>
      <c r="J274" s="22"/>
      <c r="K274" s="22" t="s">
        <v>1199</v>
      </c>
      <c r="L274" s="24" t="s">
        <v>498</v>
      </c>
      <c r="M274" s="22" t="str">
        <f>HYPERLINK("https://ceds.ed.gov/cedselementdetails.aspx?termid=21026")</f>
        <v>https://ceds.ed.gov/cedselementdetails.aspx?termid=21026</v>
      </c>
    </row>
    <row r="275" spans="1:13" x14ac:dyDescent="0.3">
      <c r="A275" s="22" t="s">
        <v>1200</v>
      </c>
      <c r="B275" s="22" t="s">
        <v>1201</v>
      </c>
      <c r="C275" s="23" t="s">
        <v>32</v>
      </c>
      <c r="D275" s="22" t="s">
        <v>1202</v>
      </c>
      <c r="E275" s="22"/>
      <c r="F275" s="22" t="s">
        <v>132</v>
      </c>
      <c r="G275" s="22"/>
      <c r="H275" s="22" t="s">
        <v>8002</v>
      </c>
      <c r="I275" s="25" t="s">
        <v>1203</v>
      </c>
      <c r="J275" s="22"/>
      <c r="K275" s="22" t="s">
        <v>1204</v>
      </c>
      <c r="L275" s="22"/>
      <c r="M275" s="22" t="str">
        <f>HYPERLINK("https://ceds.ed.gov/cedselementdetails.aspx?termid=21889")</f>
        <v>https://ceds.ed.gov/cedselementdetails.aspx?termid=21889</v>
      </c>
    </row>
    <row r="276" spans="1:13" ht="158.4" x14ac:dyDescent="0.3">
      <c r="A276" s="22" t="s">
        <v>1205</v>
      </c>
      <c r="B276" s="22" t="s">
        <v>1206</v>
      </c>
      <c r="C276" s="26" t="s">
        <v>8638</v>
      </c>
      <c r="D276" s="22" t="s">
        <v>1202</v>
      </c>
      <c r="E276" s="22"/>
      <c r="F276" s="22"/>
      <c r="G276" s="22"/>
      <c r="H276" s="22"/>
      <c r="I276" s="25" t="s">
        <v>1207</v>
      </c>
      <c r="J276" s="22"/>
      <c r="K276" s="22" t="s">
        <v>1208</v>
      </c>
      <c r="L276" s="22"/>
      <c r="M276" s="22" t="str">
        <f>HYPERLINK("https://ceds.ed.gov/cedselementdetails.aspx?termid=22516")</f>
        <v>https://ceds.ed.gov/cedselementdetails.aspx?termid=22516</v>
      </c>
    </row>
    <row r="277" spans="1:13" x14ac:dyDescent="0.3">
      <c r="A277" s="22" t="s">
        <v>1209</v>
      </c>
      <c r="B277" s="22" t="s">
        <v>1210</v>
      </c>
      <c r="C277" s="23" t="s">
        <v>32</v>
      </c>
      <c r="D277" s="22" t="s">
        <v>1202</v>
      </c>
      <c r="E277" s="22"/>
      <c r="F277" s="22" t="s">
        <v>845</v>
      </c>
      <c r="G277" s="22"/>
      <c r="H277" s="22"/>
      <c r="I277" s="25" t="s">
        <v>1211</v>
      </c>
      <c r="J277" s="22"/>
      <c r="K277" s="22" t="s">
        <v>1212</v>
      </c>
      <c r="L277" s="22"/>
      <c r="M277" s="22" t="str">
        <f>HYPERLINK("https://ceds.ed.gov/cedselementdetails.aspx?termid=22517")</f>
        <v>https://ceds.ed.gov/cedselementdetails.aspx?termid=22517</v>
      </c>
    </row>
    <row r="278" spans="1:13" x14ac:dyDescent="0.3">
      <c r="A278" s="22" t="s">
        <v>1213</v>
      </c>
      <c r="B278" s="22" t="s">
        <v>1214</v>
      </c>
      <c r="C278" s="23" t="s">
        <v>32</v>
      </c>
      <c r="D278" s="22" t="s">
        <v>1202</v>
      </c>
      <c r="E278" s="22"/>
      <c r="F278" s="22" t="s">
        <v>845</v>
      </c>
      <c r="G278" s="22"/>
      <c r="H278" s="22"/>
      <c r="I278" s="25" t="s">
        <v>1215</v>
      </c>
      <c r="J278" s="22"/>
      <c r="K278" s="22" t="s">
        <v>1216</v>
      </c>
      <c r="L278" s="22"/>
      <c r="M278" s="22" t="str">
        <f>HYPERLINK("https://ceds.ed.gov/cedselementdetails.aspx?termid=22019")</f>
        <v>https://ceds.ed.gov/cedselementdetails.aspx?termid=22019</v>
      </c>
    </row>
    <row r="279" spans="1:13" x14ac:dyDescent="0.3">
      <c r="A279" s="22" t="s">
        <v>1217</v>
      </c>
      <c r="B279" s="22" t="s">
        <v>1218</v>
      </c>
      <c r="C279" s="23" t="s">
        <v>32</v>
      </c>
      <c r="D279" s="22" t="s">
        <v>1202</v>
      </c>
      <c r="E279" s="22"/>
      <c r="F279" s="22" t="s">
        <v>317</v>
      </c>
      <c r="G279" s="22"/>
      <c r="H279" s="22"/>
      <c r="I279" s="25" t="s">
        <v>1219</v>
      </c>
      <c r="J279" s="22"/>
      <c r="K279" s="22" t="s">
        <v>1220</v>
      </c>
      <c r="L279" s="22"/>
      <c r="M279" s="22" t="str">
        <f>HYPERLINK("https://ceds.ed.gov/cedselementdetails.aspx?termid=22017")</f>
        <v>https://ceds.ed.gov/cedselementdetails.aspx?termid=22017</v>
      </c>
    </row>
    <row r="280" spans="1:13" ht="409.6" x14ac:dyDescent="0.3">
      <c r="A280" s="22" t="s">
        <v>1221</v>
      </c>
      <c r="B280" s="22" t="s">
        <v>1222</v>
      </c>
      <c r="C280" s="26" t="s">
        <v>8401</v>
      </c>
      <c r="D280" s="22" t="s">
        <v>1202</v>
      </c>
      <c r="E280" s="22" t="s">
        <v>172</v>
      </c>
      <c r="F280" s="22"/>
      <c r="G280" s="22" t="s">
        <v>8003</v>
      </c>
      <c r="H280" s="22" t="s">
        <v>8004</v>
      </c>
      <c r="I280" s="25" t="s">
        <v>1223</v>
      </c>
      <c r="J280" s="22"/>
      <c r="K280" s="22" t="s">
        <v>1224</v>
      </c>
      <c r="L280" s="22"/>
      <c r="M280" s="22" t="str">
        <f>HYPERLINK("https://ceds.ed.gov/cedselementdetails.aspx?termid=22063")</f>
        <v>https://ceds.ed.gov/cedselementdetails.aspx?termid=22063</v>
      </c>
    </row>
    <row r="281" spans="1:13" ht="43.2" x14ac:dyDescent="0.3">
      <c r="A281" s="22" t="s">
        <v>1225</v>
      </c>
      <c r="B281" s="22" t="s">
        <v>1226</v>
      </c>
      <c r="C281" s="26" t="s">
        <v>8639</v>
      </c>
      <c r="D281" s="22" t="s">
        <v>1202</v>
      </c>
      <c r="E281" s="22"/>
      <c r="F281" s="22"/>
      <c r="G281" s="22"/>
      <c r="H281" s="22"/>
      <c r="I281" s="25" t="s">
        <v>1227</v>
      </c>
      <c r="J281" s="22"/>
      <c r="K281" s="22" t="s">
        <v>1228</v>
      </c>
      <c r="L281" s="24" t="s">
        <v>503</v>
      </c>
      <c r="M281" s="22" t="str">
        <f>HYPERLINK("https://ceds.ed.gov/cedselementdetails.aspx?termid=21025")</f>
        <v>https://ceds.ed.gov/cedselementdetails.aspx?termid=21025</v>
      </c>
    </row>
    <row r="282" spans="1:13" ht="172.8" x14ac:dyDescent="0.3">
      <c r="A282" s="22" t="s">
        <v>1229</v>
      </c>
      <c r="B282" s="22" t="s">
        <v>1230</v>
      </c>
      <c r="C282" s="26" t="s">
        <v>8640</v>
      </c>
      <c r="D282" s="22" t="s">
        <v>1202</v>
      </c>
      <c r="E282" s="22"/>
      <c r="F282" s="22"/>
      <c r="G282" s="22"/>
      <c r="H282" s="22" t="s">
        <v>1231</v>
      </c>
      <c r="I282" s="25" t="s">
        <v>1232</v>
      </c>
      <c r="J282" s="22"/>
      <c r="K282" s="22" t="s">
        <v>1233</v>
      </c>
      <c r="L282" s="24" t="s">
        <v>1234</v>
      </c>
      <c r="M282" s="22" t="str">
        <f>HYPERLINK("https://ceds.ed.gov/cedselementdetails.aspx?termid=21531")</f>
        <v>https://ceds.ed.gov/cedselementdetails.aspx?termid=21531</v>
      </c>
    </row>
    <row r="283" spans="1:13" ht="43.2" x14ac:dyDescent="0.3">
      <c r="A283" s="22" t="s">
        <v>1235</v>
      </c>
      <c r="B283" s="22" t="s">
        <v>1236</v>
      </c>
      <c r="C283" s="26" t="s">
        <v>22</v>
      </c>
      <c r="D283" s="22" t="s">
        <v>1202</v>
      </c>
      <c r="E283" s="22"/>
      <c r="F283" s="22"/>
      <c r="G283" s="22"/>
      <c r="H283" s="22"/>
      <c r="I283" s="25" t="s">
        <v>1237</v>
      </c>
      <c r="J283" s="22"/>
      <c r="K283" s="22" t="s">
        <v>1238</v>
      </c>
      <c r="L283" s="22"/>
      <c r="M283" s="22" t="str">
        <f>HYPERLINK("https://ceds.ed.gov/cedselementdetails.aspx?termid=22018")</f>
        <v>https://ceds.ed.gov/cedselementdetails.aspx?termid=22018</v>
      </c>
    </row>
    <row r="284" spans="1:13" x14ac:dyDescent="0.3">
      <c r="A284" s="22" t="s">
        <v>1239</v>
      </c>
      <c r="B284" s="22" t="s">
        <v>8005</v>
      </c>
      <c r="C284" s="23" t="s">
        <v>32</v>
      </c>
      <c r="D284" s="22" t="s">
        <v>1202</v>
      </c>
      <c r="E284" s="22"/>
      <c r="F284" s="22" t="s">
        <v>118</v>
      </c>
      <c r="G284" s="22"/>
      <c r="H284" s="22"/>
      <c r="I284" s="25" t="s">
        <v>1240</v>
      </c>
      <c r="J284" s="22"/>
      <c r="K284" s="22" t="s">
        <v>1241</v>
      </c>
      <c r="L284" s="22"/>
      <c r="M284" s="22" t="str">
        <f>HYPERLINK("https://ceds.ed.gov/cedselementdetails.aspx?termid=22062")</f>
        <v>https://ceds.ed.gov/cedselementdetails.aspx?termid=22062</v>
      </c>
    </row>
    <row r="285" spans="1:13" x14ac:dyDescent="0.3">
      <c r="A285" s="22" t="s">
        <v>1242</v>
      </c>
      <c r="B285" s="22" t="s">
        <v>1243</v>
      </c>
      <c r="C285" s="23" t="s">
        <v>32</v>
      </c>
      <c r="D285" s="22" t="s">
        <v>1202</v>
      </c>
      <c r="E285" s="22"/>
      <c r="F285" s="22" t="s">
        <v>132</v>
      </c>
      <c r="G285" s="22"/>
      <c r="H285" s="22" t="s">
        <v>8006</v>
      </c>
      <c r="I285" s="25" t="s">
        <v>1244</v>
      </c>
      <c r="J285" s="22"/>
      <c r="K285" s="22" t="s">
        <v>1245</v>
      </c>
      <c r="L285" s="22"/>
      <c r="M285" s="22" t="str">
        <f>HYPERLINK("https://ceds.ed.gov/cedselementdetails.aspx?termid=22119")</f>
        <v>https://ceds.ed.gov/cedselementdetails.aspx?termid=22119</v>
      </c>
    </row>
    <row r="286" spans="1:13" x14ac:dyDescent="0.3">
      <c r="A286" s="22" t="s">
        <v>1246</v>
      </c>
      <c r="B286" s="22" t="s">
        <v>1247</v>
      </c>
      <c r="C286" s="23" t="s">
        <v>32</v>
      </c>
      <c r="D286" s="22" t="s">
        <v>1202</v>
      </c>
      <c r="E286" s="22"/>
      <c r="F286" s="22" t="s">
        <v>113</v>
      </c>
      <c r="G286" s="22"/>
      <c r="H286" s="22" t="s">
        <v>1248</v>
      </c>
      <c r="I286" s="25" t="s">
        <v>1249</v>
      </c>
      <c r="J286" s="22"/>
      <c r="K286" s="22" t="s">
        <v>1250</v>
      </c>
      <c r="L286" s="22"/>
      <c r="M286" s="22" t="str">
        <f>HYPERLINK("https://ceds.ed.gov/cedselementdetails.aspx?termid=22061")</f>
        <v>https://ceds.ed.gov/cedselementdetails.aspx?termid=22061</v>
      </c>
    </row>
    <row r="287" spans="1:13" ht="72" x14ac:dyDescent="0.3">
      <c r="A287" s="22" t="s">
        <v>1251</v>
      </c>
      <c r="B287" s="22" t="s">
        <v>8007</v>
      </c>
      <c r="C287" s="26" t="s">
        <v>8641</v>
      </c>
      <c r="D287" s="22" t="s">
        <v>1252</v>
      </c>
      <c r="E287" s="22"/>
      <c r="F287" s="22"/>
      <c r="G287" s="22"/>
      <c r="H287" s="22" t="s">
        <v>8008</v>
      </c>
      <c r="I287" s="25" t="s">
        <v>1253</v>
      </c>
      <c r="J287" s="22"/>
      <c r="K287" s="22" t="s">
        <v>1254</v>
      </c>
      <c r="L287" s="22"/>
      <c r="M287" s="22" t="str">
        <f>HYPERLINK("https://ceds.ed.gov/cedselementdetails.aspx?termid=22518")</f>
        <v>https://ceds.ed.gov/cedselementdetails.aspx?termid=22518</v>
      </c>
    </row>
    <row r="288" spans="1:13" x14ac:dyDescent="0.3">
      <c r="A288" s="22" t="s">
        <v>1255</v>
      </c>
      <c r="B288" s="22" t="s">
        <v>1256</v>
      </c>
      <c r="C288" s="23" t="s">
        <v>32</v>
      </c>
      <c r="D288" s="22" t="s">
        <v>1252</v>
      </c>
      <c r="E288" s="22"/>
      <c r="F288" s="22" t="s">
        <v>118</v>
      </c>
      <c r="G288" s="22"/>
      <c r="H288" s="22"/>
      <c r="I288" s="25" t="s">
        <v>1257</v>
      </c>
      <c r="J288" s="22"/>
      <c r="K288" s="22" t="s">
        <v>1258</v>
      </c>
      <c r="L288" s="22"/>
      <c r="M288" s="22" t="str">
        <f>HYPERLINK("https://ceds.ed.gov/cedselementdetails.aspx?termid=21972")</f>
        <v>https://ceds.ed.gov/cedselementdetails.aspx?termid=21972</v>
      </c>
    </row>
    <row r="289" spans="1:13" x14ac:dyDescent="0.3">
      <c r="A289" s="22" t="s">
        <v>1259</v>
      </c>
      <c r="B289" s="22" t="s">
        <v>8009</v>
      </c>
      <c r="C289" s="23" t="s">
        <v>32</v>
      </c>
      <c r="D289" s="22" t="s">
        <v>1252</v>
      </c>
      <c r="E289" s="22"/>
      <c r="F289" s="22" t="s">
        <v>118</v>
      </c>
      <c r="G289" s="22"/>
      <c r="H289" s="22" t="s">
        <v>8010</v>
      </c>
      <c r="I289" s="25" t="s">
        <v>1260</v>
      </c>
      <c r="J289" s="22"/>
      <c r="K289" s="22" t="s">
        <v>1261</v>
      </c>
      <c r="L289" s="22"/>
      <c r="M289" s="22" t="str">
        <f>HYPERLINK("https://ceds.ed.gov/cedselementdetails.aspx?termid=21971")</f>
        <v>https://ceds.ed.gov/cedselementdetails.aspx?termid=21971</v>
      </c>
    </row>
    <row r="290" spans="1:13" x14ac:dyDescent="0.3">
      <c r="A290" s="22" t="s">
        <v>1262</v>
      </c>
      <c r="B290" s="22" t="s">
        <v>1263</v>
      </c>
      <c r="C290" s="23" t="s">
        <v>32</v>
      </c>
      <c r="D290" s="22" t="s">
        <v>1252</v>
      </c>
      <c r="E290" s="22"/>
      <c r="F290" s="22" t="s">
        <v>113</v>
      </c>
      <c r="G290" s="22"/>
      <c r="H290" s="22"/>
      <c r="I290" s="25" t="s">
        <v>1264</v>
      </c>
      <c r="J290" s="22"/>
      <c r="K290" s="22" t="s">
        <v>1265</v>
      </c>
      <c r="L290" s="22" t="s">
        <v>812</v>
      </c>
      <c r="M290" s="22" t="str">
        <f>HYPERLINK("https://ceds.ed.gov/cedselementdetails.aspx?termid=21890")</f>
        <v>https://ceds.ed.gov/cedselementdetails.aspx?termid=21890</v>
      </c>
    </row>
    <row r="291" spans="1:13" ht="43.2" x14ac:dyDescent="0.3">
      <c r="A291" s="22" t="s">
        <v>1266</v>
      </c>
      <c r="B291" s="22" t="s">
        <v>1267</v>
      </c>
      <c r="C291" s="23" t="s">
        <v>32</v>
      </c>
      <c r="D291" s="24" t="s">
        <v>1268</v>
      </c>
      <c r="E291" s="22"/>
      <c r="F291" s="22" t="s">
        <v>845</v>
      </c>
      <c r="G291" s="22"/>
      <c r="H291" s="22"/>
      <c r="I291" s="25" t="s">
        <v>1269</v>
      </c>
      <c r="J291" s="22"/>
      <c r="K291" s="22" t="s">
        <v>1270</v>
      </c>
      <c r="L291" s="22"/>
      <c r="M291" s="22" t="str">
        <f>HYPERLINK("https://ceds.ed.gov/cedselementdetails.aspx?termid=22520")</f>
        <v>https://ceds.ed.gov/cedselementdetails.aspx?termid=22520</v>
      </c>
    </row>
    <row r="292" spans="1:13" x14ac:dyDescent="0.3">
      <c r="A292" s="22" t="s">
        <v>1271</v>
      </c>
      <c r="B292" s="22" t="s">
        <v>1272</v>
      </c>
      <c r="C292" s="23" t="s">
        <v>32</v>
      </c>
      <c r="D292" s="22" t="s">
        <v>1252</v>
      </c>
      <c r="E292" s="22"/>
      <c r="F292" s="22" t="s">
        <v>157</v>
      </c>
      <c r="G292" s="22"/>
      <c r="H292" s="22"/>
      <c r="I292" s="25" t="s">
        <v>1273</v>
      </c>
      <c r="J292" s="22"/>
      <c r="K292" s="22" t="s">
        <v>1274</v>
      </c>
      <c r="L292" s="22"/>
      <c r="M292" s="22" t="str">
        <f>HYPERLINK("https://ceds.ed.gov/cedselementdetails.aspx?termid=22076")</f>
        <v>https://ceds.ed.gov/cedselementdetails.aspx?termid=22076</v>
      </c>
    </row>
    <row r="293" spans="1:13" x14ac:dyDescent="0.3">
      <c r="A293" s="22" t="s">
        <v>1275</v>
      </c>
      <c r="B293" s="22" t="s">
        <v>8011</v>
      </c>
      <c r="C293" s="23" t="s">
        <v>32</v>
      </c>
      <c r="D293" s="22" t="s">
        <v>1252</v>
      </c>
      <c r="E293" s="22"/>
      <c r="F293" s="22" t="s">
        <v>328</v>
      </c>
      <c r="G293" s="22"/>
      <c r="H293" s="22"/>
      <c r="I293" s="25" t="s">
        <v>1276</v>
      </c>
      <c r="J293" s="22"/>
      <c r="K293" s="22" t="s">
        <v>1277</v>
      </c>
      <c r="L293" s="22"/>
      <c r="M293" s="22" t="str">
        <f>HYPERLINK("https://ceds.ed.gov/cedselementdetails.aspx?termid=22185")</f>
        <v>https://ceds.ed.gov/cedselementdetails.aspx?termid=22185</v>
      </c>
    </row>
    <row r="294" spans="1:13" x14ac:dyDescent="0.3">
      <c r="A294" s="22" t="s">
        <v>1278</v>
      </c>
      <c r="B294" s="22" t="s">
        <v>1279</v>
      </c>
      <c r="C294" s="23" t="s">
        <v>32</v>
      </c>
      <c r="D294" s="22" t="s">
        <v>1252</v>
      </c>
      <c r="E294" s="22"/>
      <c r="F294" s="22" t="s">
        <v>317</v>
      </c>
      <c r="G294" s="22"/>
      <c r="H294" s="22"/>
      <c r="I294" s="25" t="s">
        <v>1280</v>
      </c>
      <c r="J294" s="22"/>
      <c r="K294" s="22" t="s">
        <v>1281</v>
      </c>
      <c r="L294" s="22"/>
      <c r="M294" s="22" t="str">
        <f>HYPERLINK("https://ceds.ed.gov/cedselementdetails.aspx?termid=22012")</f>
        <v>https://ceds.ed.gov/cedselementdetails.aspx?termid=22012</v>
      </c>
    </row>
    <row r="295" spans="1:13" ht="43.2" x14ac:dyDescent="0.3">
      <c r="A295" s="22" t="s">
        <v>1282</v>
      </c>
      <c r="B295" s="22" t="s">
        <v>8012</v>
      </c>
      <c r="C295" s="26" t="s">
        <v>22</v>
      </c>
      <c r="D295" s="22" t="s">
        <v>1252</v>
      </c>
      <c r="E295" s="22"/>
      <c r="F295" s="22"/>
      <c r="G295" s="22"/>
      <c r="H295" s="22"/>
      <c r="I295" s="25" t="s">
        <v>1283</v>
      </c>
      <c r="J295" s="22"/>
      <c r="K295" s="22" t="s">
        <v>1284</v>
      </c>
      <c r="L295" s="22"/>
      <c r="M295" s="22" t="str">
        <f>HYPERLINK("https://ceds.ed.gov/cedselementdetails.aspx?termid=22010")</f>
        <v>https://ceds.ed.gov/cedselementdetails.aspx?termid=22010</v>
      </c>
    </row>
    <row r="296" spans="1:13" ht="57.6" x14ac:dyDescent="0.3">
      <c r="A296" s="22" t="s">
        <v>1285</v>
      </c>
      <c r="B296" s="22" t="s">
        <v>1286</v>
      </c>
      <c r="C296" s="26" t="s">
        <v>8642</v>
      </c>
      <c r="D296" s="22" t="s">
        <v>1252</v>
      </c>
      <c r="E296" s="22"/>
      <c r="F296" s="22"/>
      <c r="G296" s="22"/>
      <c r="H296" s="22"/>
      <c r="I296" s="25" t="s">
        <v>1287</v>
      </c>
      <c r="J296" s="22"/>
      <c r="K296" s="22" t="s">
        <v>1288</v>
      </c>
      <c r="L296" s="24" t="s">
        <v>1289</v>
      </c>
      <c r="M296" s="22" t="str">
        <f>HYPERLINK("https://ceds.ed.gov/cedselementdetails.aspx?termid=21564")</f>
        <v>https://ceds.ed.gov/cedselementdetails.aspx?termid=21564</v>
      </c>
    </row>
    <row r="297" spans="1:13" x14ac:dyDescent="0.3">
      <c r="A297" s="22" t="s">
        <v>1290</v>
      </c>
      <c r="B297" s="22" t="s">
        <v>1291</v>
      </c>
      <c r="C297" s="23" t="s">
        <v>32</v>
      </c>
      <c r="D297" s="22" t="s">
        <v>1252</v>
      </c>
      <c r="E297" s="22"/>
      <c r="F297" s="22" t="s">
        <v>148</v>
      </c>
      <c r="G297" s="22"/>
      <c r="H297" s="22" t="s">
        <v>1292</v>
      </c>
      <c r="I297" s="25" t="s">
        <v>1293</v>
      </c>
      <c r="J297" s="22"/>
      <c r="K297" s="22" t="s">
        <v>1294</v>
      </c>
      <c r="L297" s="22"/>
      <c r="M297" s="22" t="str">
        <f>HYPERLINK("https://ceds.ed.gov/cedselementdetails.aspx?termid=22522")</f>
        <v>https://ceds.ed.gov/cedselementdetails.aspx?termid=22522</v>
      </c>
    </row>
    <row r="298" spans="1:13" ht="187.2" x14ac:dyDescent="0.3">
      <c r="A298" s="22" t="s">
        <v>1295</v>
      </c>
      <c r="B298" s="22" t="s">
        <v>1296</v>
      </c>
      <c r="C298" s="26" t="s">
        <v>8643</v>
      </c>
      <c r="D298" s="22" t="s">
        <v>1252</v>
      </c>
      <c r="E298" s="22"/>
      <c r="F298" s="22"/>
      <c r="G298" s="22"/>
      <c r="H298" s="22"/>
      <c r="I298" s="25" t="s">
        <v>1297</v>
      </c>
      <c r="J298" s="22"/>
      <c r="K298" s="22" t="s">
        <v>1298</v>
      </c>
      <c r="L298" s="22"/>
      <c r="M298" s="22" t="str">
        <f>HYPERLINK("https://ceds.ed.gov/cedselementdetails.aspx?termid=22523")</f>
        <v>https://ceds.ed.gov/cedselementdetails.aspx?termid=22523</v>
      </c>
    </row>
    <row r="299" spans="1:13" ht="172.8" x14ac:dyDescent="0.3">
      <c r="A299" s="22" t="s">
        <v>1299</v>
      </c>
      <c r="B299" s="22" t="s">
        <v>1300</v>
      </c>
      <c r="C299" s="23" t="s">
        <v>32</v>
      </c>
      <c r="D299" s="22" t="s">
        <v>1252</v>
      </c>
      <c r="E299" s="22"/>
      <c r="F299" s="22" t="s">
        <v>1301</v>
      </c>
      <c r="G299" s="22"/>
      <c r="H299" s="22" t="s">
        <v>8013</v>
      </c>
      <c r="I299" s="25" t="s">
        <v>1302</v>
      </c>
      <c r="J299" s="22"/>
      <c r="K299" s="22" t="s">
        <v>1303</v>
      </c>
      <c r="L299" s="24" t="s">
        <v>1304</v>
      </c>
      <c r="M299" s="22" t="str">
        <f>HYPERLINK("https://ceds.ed.gov/cedselementdetails.aspx?termid=21245")</f>
        <v>https://ceds.ed.gov/cedselementdetails.aspx?termid=21245</v>
      </c>
    </row>
    <row r="300" spans="1:13" x14ac:dyDescent="0.3">
      <c r="A300" s="22" t="s">
        <v>1305</v>
      </c>
      <c r="B300" s="22" t="s">
        <v>1306</v>
      </c>
      <c r="C300" s="23" t="s">
        <v>32</v>
      </c>
      <c r="D300" s="22" t="s">
        <v>506</v>
      </c>
      <c r="E300" s="22"/>
      <c r="F300" s="22" t="s">
        <v>118</v>
      </c>
      <c r="G300" s="22"/>
      <c r="H300" s="22"/>
      <c r="I300" s="25" t="s">
        <v>1307</v>
      </c>
      <c r="J300" s="22"/>
      <c r="K300" s="22" t="s">
        <v>1308</v>
      </c>
      <c r="L300" s="22"/>
      <c r="M300" s="22" t="str">
        <f>HYPERLINK("https://ceds.ed.gov/cedselementdetails.aspx?termid=22519")</f>
        <v>https://ceds.ed.gov/cedselementdetails.aspx?termid=22519</v>
      </c>
    </row>
    <row r="301" spans="1:13" ht="409.6" x14ac:dyDescent="0.3">
      <c r="A301" s="22" t="s">
        <v>1309</v>
      </c>
      <c r="B301" s="22" t="s">
        <v>1310</v>
      </c>
      <c r="C301" s="26" t="s">
        <v>8402</v>
      </c>
      <c r="D301" s="24" t="s">
        <v>1311</v>
      </c>
      <c r="E301" s="22" t="s">
        <v>172</v>
      </c>
      <c r="F301" s="22"/>
      <c r="G301" s="22" t="s">
        <v>7995</v>
      </c>
      <c r="H301" s="22"/>
      <c r="I301" s="25" t="s">
        <v>1312</v>
      </c>
      <c r="J301" s="22"/>
      <c r="K301" s="22" t="s">
        <v>1313</v>
      </c>
      <c r="L301" s="24" t="s">
        <v>1314</v>
      </c>
      <c r="M301" s="22" t="str">
        <f>HYPERLINK("https://ceds.ed.gov/cedselementdetails.aspx?termid=21368")</f>
        <v>https://ceds.ed.gov/cedselementdetails.aspx?termid=21368</v>
      </c>
    </row>
    <row r="302" spans="1:13" ht="43.2" x14ac:dyDescent="0.3">
      <c r="A302" s="22" t="s">
        <v>1315</v>
      </c>
      <c r="B302" s="22" t="s">
        <v>1316</v>
      </c>
      <c r="C302" s="26" t="s">
        <v>22</v>
      </c>
      <c r="D302" s="24" t="s">
        <v>1317</v>
      </c>
      <c r="E302" s="22"/>
      <c r="F302" s="22"/>
      <c r="G302" s="22"/>
      <c r="H302" s="22"/>
      <c r="I302" s="25" t="s">
        <v>1318</v>
      </c>
      <c r="J302" s="22"/>
      <c r="K302" s="22" t="s">
        <v>1319</v>
      </c>
      <c r="L302" s="24" t="s">
        <v>93</v>
      </c>
      <c r="M302" s="22" t="str">
        <f>HYPERLINK("https://ceds.ed.gov/cedselementdetails.aspx?termid=21375")</f>
        <v>https://ceds.ed.gov/cedselementdetails.aspx?termid=21375</v>
      </c>
    </row>
    <row r="303" spans="1:13" ht="43.2" x14ac:dyDescent="0.3">
      <c r="A303" s="22" t="s">
        <v>1320</v>
      </c>
      <c r="B303" s="22" t="s">
        <v>1321</v>
      </c>
      <c r="C303" s="23" t="s">
        <v>32</v>
      </c>
      <c r="D303" s="24" t="s">
        <v>1322</v>
      </c>
      <c r="E303" s="22"/>
      <c r="F303" s="22" t="s">
        <v>845</v>
      </c>
      <c r="G303" s="22"/>
      <c r="H303" s="22" t="s">
        <v>8014</v>
      </c>
      <c r="I303" s="25" t="s">
        <v>1323</v>
      </c>
      <c r="J303" s="22"/>
      <c r="K303" s="22" t="s">
        <v>1324</v>
      </c>
      <c r="L303" s="22"/>
      <c r="M303" s="22" t="str">
        <f>HYPERLINK("https://ceds.ed.gov/cedselementdetails.aspx?termid=22024")</f>
        <v>https://ceds.ed.gov/cedselementdetails.aspx?termid=22024</v>
      </c>
    </row>
    <row r="304" spans="1:13" ht="43.2" x14ac:dyDescent="0.3">
      <c r="A304" s="22" t="s">
        <v>1325</v>
      </c>
      <c r="B304" s="22" t="s">
        <v>1326</v>
      </c>
      <c r="C304" s="23" t="s">
        <v>32</v>
      </c>
      <c r="D304" s="24" t="s">
        <v>1322</v>
      </c>
      <c r="E304" s="22"/>
      <c r="F304" s="22" t="s">
        <v>845</v>
      </c>
      <c r="G304" s="22"/>
      <c r="H304" s="22" t="s">
        <v>8015</v>
      </c>
      <c r="I304" s="25" t="s">
        <v>1327</v>
      </c>
      <c r="J304" s="22"/>
      <c r="K304" s="22" t="s">
        <v>1328</v>
      </c>
      <c r="L304" s="22"/>
      <c r="M304" s="22" t="str">
        <f>HYPERLINK("https://ceds.ed.gov/cedselementdetails.aspx?termid=22023")</f>
        <v>https://ceds.ed.gov/cedselementdetails.aspx?termid=22023</v>
      </c>
    </row>
    <row r="305" spans="1:13" ht="43.2" x14ac:dyDescent="0.3">
      <c r="A305" s="22" t="s">
        <v>1329</v>
      </c>
      <c r="B305" s="22" t="s">
        <v>1330</v>
      </c>
      <c r="C305" s="23" t="s">
        <v>32</v>
      </c>
      <c r="D305" s="22" t="s">
        <v>1331</v>
      </c>
      <c r="E305" s="22"/>
      <c r="F305" s="22" t="s">
        <v>132</v>
      </c>
      <c r="G305" s="22"/>
      <c r="H305" s="22" t="s">
        <v>7945</v>
      </c>
      <c r="I305" s="25" t="s">
        <v>1332</v>
      </c>
      <c r="J305" s="22"/>
      <c r="K305" s="22" t="s">
        <v>1333</v>
      </c>
      <c r="L305" s="24" t="s">
        <v>93</v>
      </c>
      <c r="M305" s="22" t="str">
        <f>HYPERLINK("https://ceds.ed.gov/cedselementdetails.aspx?termid=21400")</f>
        <v>https://ceds.ed.gov/cedselementdetails.aspx?termid=21400</v>
      </c>
    </row>
    <row r="306" spans="1:13" ht="43.2" x14ac:dyDescent="0.3">
      <c r="A306" s="22" t="s">
        <v>1334</v>
      </c>
      <c r="B306" s="22" t="s">
        <v>1335</v>
      </c>
      <c r="C306" s="23" t="s">
        <v>32</v>
      </c>
      <c r="D306" s="22" t="s">
        <v>1331</v>
      </c>
      <c r="E306" s="22"/>
      <c r="F306" s="22" t="s">
        <v>849</v>
      </c>
      <c r="G306" s="22"/>
      <c r="H306" s="22"/>
      <c r="I306" s="25" t="s">
        <v>1336</v>
      </c>
      <c r="J306" s="22"/>
      <c r="K306" s="22" t="s">
        <v>1337</v>
      </c>
      <c r="L306" s="24" t="s">
        <v>93</v>
      </c>
      <c r="M306" s="22" t="str">
        <f>HYPERLINK("https://ceds.ed.gov/cedselementdetails.aspx?termid=21399")</f>
        <v>https://ceds.ed.gov/cedselementdetails.aspx?termid=21399</v>
      </c>
    </row>
    <row r="307" spans="1:13" ht="43.2" x14ac:dyDescent="0.3">
      <c r="A307" s="22" t="s">
        <v>1338</v>
      </c>
      <c r="B307" s="22" t="s">
        <v>8016</v>
      </c>
      <c r="C307" s="23" t="s">
        <v>32</v>
      </c>
      <c r="D307" s="24" t="s">
        <v>1322</v>
      </c>
      <c r="E307" s="22"/>
      <c r="F307" s="22" t="s">
        <v>1339</v>
      </c>
      <c r="G307" s="22"/>
      <c r="H307" s="22"/>
      <c r="I307" s="25" t="s">
        <v>1340</v>
      </c>
      <c r="J307" s="22"/>
      <c r="K307" s="22" t="s">
        <v>1341</v>
      </c>
      <c r="L307" s="24" t="s">
        <v>93</v>
      </c>
      <c r="M307" s="22" t="str">
        <f>HYPERLINK("https://ceds.ed.gov/cedselementdetails.aspx?termid=21590")</f>
        <v>https://ceds.ed.gov/cedselementdetails.aspx?termid=21590</v>
      </c>
    </row>
    <row r="308" spans="1:13" ht="43.2" x14ac:dyDescent="0.3">
      <c r="A308" s="22" t="s">
        <v>1342</v>
      </c>
      <c r="B308" s="22" t="s">
        <v>1343</v>
      </c>
      <c r="C308" s="23" t="s">
        <v>32</v>
      </c>
      <c r="D308" s="22" t="s">
        <v>1331</v>
      </c>
      <c r="E308" s="22"/>
      <c r="F308" s="22" t="s">
        <v>132</v>
      </c>
      <c r="G308" s="22"/>
      <c r="H308" s="22" t="s">
        <v>8017</v>
      </c>
      <c r="I308" s="25" t="s">
        <v>1344</v>
      </c>
      <c r="J308" s="22"/>
      <c r="K308" s="22" t="s">
        <v>1345</v>
      </c>
      <c r="L308" s="24" t="s">
        <v>93</v>
      </c>
      <c r="M308" s="22" t="str">
        <f>HYPERLINK("https://ceds.ed.gov/cedselementdetails.aspx?termid=21401")</f>
        <v>https://ceds.ed.gov/cedselementdetails.aspx?termid=21401</v>
      </c>
    </row>
    <row r="309" spans="1:13" x14ac:dyDescent="0.3">
      <c r="A309" s="22" t="s">
        <v>1346</v>
      </c>
      <c r="B309" s="22" t="s">
        <v>1347</v>
      </c>
      <c r="C309" s="23" t="s">
        <v>32</v>
      </c>
      <c r="D309" s="22" t="s">
        <v>1331</v>
      </c>
      <c r="E309" s="22"/>
      <c r="F309" s="22" t="s">
        <v>845</v>
      </c>
      <c r="G309" s="22"/>
      <c r="H309" s="22" t="s">
        <v>143</v>
      </c>
      <c r="I309" s="25" t="s">
        <v>1348</v>
      </c>
      <c r="J309" s="22"/>
      <c r="K309" s="22" t="s">
        <v>1349</v>
      </c>
      <c r="L309" s="22"/>
      <c r="M309" s="22" t="str">
        <f>HYPERLINK("https://ceds.ed.gov/cedselementdetails.aspx?termid=22022")</f>
        <v>https://ceds.ed.gov/cedselementdetails.aspx?termid=22022</v>
      </c>
    </row>
    <row r="310" spans="1:13" x14ac:dyDescent="0.3">
      <c r="A310" s="22" t="s">
        <v>1350</v>
      </c>
      <c r="B310" s="22" t="s">
        <v>1351</v>
      </c>
      <c r="C310" s="23" t="s">
        <v>32</v>
      </c>
      <c r="D310" s="22" t="s">
        <v>1331</v>
      </c>
      <c r="E310" s="22"/>
      <c r="F310" s="22" t="s">
        <v>845</v>
      </c>
      <c r="G310" s="22"/>
      <c r="H310" s="22"/>
      <c r="I310" s="25" t="s">
        <v>1352</v>
      </c>
      <c r="J310" s="22"/>
      <c r="K310" s="22" t="s">
        <v>1353</v>
      </c>
      <c r="L310" s="22"/>
      <c r="M310" s="22" t="str">
        <f>HYPERLINK("https://ceds.ed.gov/cedselementdetails.aspx?termid=22021")</f>
        <v>https://ceds.ed.gov/cedselementdetails.aspx?termid=22021</v>
      </c>
    </row>
    <row r="311" spans="1:13" ht="43.2" x14ac:dyDescent="0.3">
      <c r="A311" s="22" t="s">
        <v>1354</v>
      </c>
      <c r="B311" s="22" t="s">
        <v>1355</v>
      </c>
      <c r="C311" s="23" t="s">
        <v>32</v>
      </c>
      <c r="D311" s="24" t="s">
        <v>1322</v>
      </c>
      <c r="E311" s="22"/>
      <c r="F311" s="22" t="s">
        <v>113</v>
      </c>
      <c r="G311" s="22"/>
      <c r="H311" s="22" t="s">
        <v>876</v>
      </c>
      <c r="I311" s="25" t="s">
        <v>1356</v>
      </c>
      <c r="J311" s="22"/>
      <c r="K311" s="22" t="s">
        <v>1357</v>
      </c>
      <c r="L311" s="22"/>
      <c r="M311" s="22" t="str">
        <f>HYPERLINK("https://ceds.ed.gov/cedselementdetails.aspx?termid=21969")</f>
        <v>https://ceds.ed.gov/cedselementdetails.aspx?termid=21969</v>
      </c>
    </row>
    <row r="312" spans="1:13" ht="409.6" x14ac:dyDescent="0.3">
      <c r="A312" s="22" t="s">
        <v>1358</v>
      </c>
      <c r="B312" s="22" t="s">
        <v>1359</v>
      </c>
      <c r="C312" s="26" t="s">
        <v>8644</v>
      </c>
      <c r="D312" s="24" t="s">
        <v>1322</v>
      </c>
      <c r="E312" s="22"/>
      <c r="F312" s="22"/>
      <c r="G312" s="22"/>
      <c r="H312" s="22"/>
      <c r="I312" s="25" t="s">
        <v>1360</v>
      </c>
      <c r="J312" s="22"/>
      <c r="K312" s="22" t="s">
        <v>1361</v>
      </c>
      <c r="L312" s="24" t="s">
        <v>93</v>
      </c>
      <c r="M312" s="22" t="str">
        <f>HYPERLINK("https://ceds.ed.gov/cedselementdetails.aspx?termid=21380")</f>
        <v>https://ceds.ed.gov/cedselementdetails.aspx?termid=21380</v>
      </c>
    </row>
    <row r="313" spans="1:13" ht="43.2" x14ac:dyDescent="0.3">
      <c r="A313" s="22" t="s">
        <v>1362</v>
      </c>
      <c r="B313" s="22" t="s">
        <v>1363</v>
      </c>
      <c r="C313" s="23" t="s">
        <v>32</v>
      </c>
      <c r="D313" s="24" t="s">
        <v>1322</v>
      </c>
      <c r="E313" s="22"/>
      <c r="F313" s="22" t="s">
        <v>157</v>
      </c>
      <c r="G313" s="22"/>
      <c r="H313" s="22"/>
      <c r="I313" s="25" t="s">
        <v>1364</v>
      </c>
      <c r="J313" s="22"/>
      <c r="K313" s="22" t="s">
        <v>1365</v>
      </c>
      <c r="L313" s="22"/>
      <c r="M313" s="22" t="str">
        <f>HYPERLINK("https://ceds.ed.gov/cedselementdetails.aspx?termid=22077")</f>
        <v>https://ceds.ed.gov/cedselementdetails.aspx?termid=22077</v>
      </c>
    </row>
    <row r="314" spans="1:13" ht="115.2" x14ac:dyDescent="0.3">
      <c r="A314" s="22" t="s">
        <v>1366</v>
      </c>
      <c r="B314" s="22" t="s">
        <v>1367</v>
      </c>
      <c r="C314" s="26" t="s">
        <v>8645</v>
      </c>
      <c r="D314" s="22" t="s">
        <v>1331</v>
      </c>
      <c r="E314" s="22"/>
      <c r="F314" s="22"/>
      <c r="G314" s="22"/>
      <c r="H314" s="22"/>
      <c r="I314" s="25" t="s">
        <v>1368</v>
      </c>
      <c r="J314" s="22"/>
      <c r="K314" s="22" t="s">
        <v>1369</v>
      </c>
      <c r="L314" s="22"/>
      <c r="M314" s="22" t="str">
        <f>HYPERLINK("https://ceds.ed.gov/cedselementdetails.aspx?termid=22179")</f>
        <v>https://ceds.ed.gov/cedselementdetails.aspx?termid=22179</v>
      </c>
    </row>
    <row r="315" spans="1:13" ht="43.2" x14ac:dyDescent="0.3">
      <c r="A315" s="22" t="s">
        <v>1370</v>
      </c>
      <c r="B315" s="22" t="s">
        <v>1371</v>
      </c>
      <c r="C315" s="26" t="s">
        <v>8646</v>
      </c>
      <c r="D315" s="22" t="s">
        <v>1331</v>
      </c>
      <c r="E315" s="22"/>
      <c r="F315" s="22"/>
      <c r="G315" s="22"/>
      <c r="H315" s="22"/>
      <c r="I315" s="25" t="s">
        <v>1372</v>
      </c>
      <c r="J315" s="22"/>
      <c r="K315" s="22" t="s">
        <v>1373</v>
      </c>
      <c r="L315" s="22"/>
      <c r="M315" s="22" t="str">
        <f>HYPERLINK("https://ceds.ed.gov/cedselementdetails.aspx?termid=22020")</f>
        <v>https://ceds.ed.gov/cedselementdetails.aspx?termid=22020</v>
      </c>
    </row>
    <row r="316" spans="1:13" ht="43.2" x14ac:dyDescent="0.3">
      <c r="A316" s="22" t="s">
        <v>1374</v>
      </c>
      <c r="B316" s="22" t="s">
        <v>1375</v>
      </c>
      <c r="C316" s="26" t="s">
        <v>22</v>
      </c>
      <c r="D316" s="22" t="s">
        <v>8018</v>
      </c>
      <c r="E316" s="22"/>
      <c r="F316" s="22"/>
      <c r="G316" s="22"/>
      <c r="H316" s="22"/>
      <c r="I316" s="25" t="s">
        <v>1376</v>
      </c>
      <c r="J316" s="22"/>
      <c r="K316" s="22" t="s">
        <v>1377</v>
      </c>
      <c r="L316" s="22" t="s">
        <v>109</v>
      </c>
      <c r="M316" s="22" t="str">
        <f>HYPERLINK("https://ceds.ed.gov/cedselementdetails.aspx?termid=21858")</f>
        <v>https://ceds.ed.gov/cedselementdetails.aspx?termid=21858</v>
      </c>
    </row>
    <row r="317" spans="1:13" x14ac:dyDescent="0.3">
      <c r="A317" s="22" t="s">
        <v>1378</v>
      </c>
      <c r="B317" s="22" t="s">
        <v>1379</v>
      </c>
      <c r="C317" s="23" t="s">
        <v>32</v>
      </c>
      <c r="D317" s="22" t="s">
        <v>506</v>
      </c>
      <c r="E317" s="22"/>
      <c r="F317" s="22" t="s">
        <v>85</v>
      </c>
      <c r="G317" s="22"/>
      <c r="H317" s="22"/>
      <c r="I317" s="25" t="s">
        <v>1380</v>
      </c>
      <c r="J317" s="22"/>
      <c r="K317" s="22" t="s">
        <v>1381</v>
      </c>
      <c r="L317" s="22"/>
      <c r="M317" s="22" t="str">
        <f>HYPERLINK("https://ceds.ed.gov/cedselementdetails.aspx?termid=21932")</f>
        <v>https://ceds.ed.gov/cedselementdetails.aspx?termid=21932</v>
      </c>
    </row>
    <row r="318" spans="1:13" ht="28.8" x14ac:dyDescent="0.3">
      <c r="A318" s="22" t="s">
        <v>1382</v>
      </c>
      <c r="B318" s="22" t="s">
        <v>1383</v>
      </c>
      <c r="C318" s="23" t="s">
        <v>32</v>
      </c>
      <c r="D318" s="22" t="s">
        <v>495</v>
      </c>
      <c r="E318" s="22"/>
      <c r="F318" s="22" t="s">
        <v>85</v>
      </c>
      <c r="G318" s="22"/>
      <c r="H318" s="22"/>
      <c r="I318" s="25" t="s">
        <v>1384</v>
      </c>
      <c r="J318" s="22"/>
      <c r="K318" s="22" t="s">
        <v>1385</v>
      </c>
      <c r="L318" s="24" t="s">
        <v>1386</v>
      </c>
      <c r="M318" s="22" t="str">
        <f>HYPERLINK("https://ceds.ed.gov/cedselementdetails.aspx?termid=21367")</f>
        <v>https://ceds.ed.gov/cedselementdetails.aspx?termid=21367</v>
      </c>
    </row>
    <row r="319" spans="1:13" ht="129.6" x14ac:dyDescent="0.3">
      <c r="A319" s="22" t="s">
        <v>1387</v>
      </c>
      <c r="B319" s="22" t="s">
        <v>1388</v>
      </c>
      <c r="C319" s="23" t="s">
        <v>32</v>
      </c>
      <c r="D319" s="22" t="s">
        <v>495</v>
      </c>
      <c r="E319" s="22"/>
      <c r="F319" s="22" t="s">
        <v>157</v>
      </c>
      <c r="G319" s="22"/>
      <c r="H319" s="22"/>
      <c r="I319" s="25" t="s">
        <v>1389</v>
      </c>
      <c r="J319" s="22"/>
      <c r="K319" s="22" t="s">
        <v>1390</v>
      </c>
      <c r="L319" s="24" t="s">
        <v>545</v>
      </c>
      <c r="M319" s="22" t="str">
        <f>HYPERLINK("https://ceds.ed.gov/cedselementdetails.aspx?termid=21274")</f>
        <v>https://ceds.ed.gov/cedselementdetails.aspx?termid=21274</v>
      </c>
    </row>
    <row r="320" spans="1:13" ht="43.2" x14ac:dyDescent="0.3">
      <c r="A320" s="22" t="s">
        <v>1391</v>
      </c>
      <c r="B320" s="22" t="s">
        <v>1392</v>
      </c>
      <c r="C320" s="23" t="s">
        <v>32</v>
      </c>
      <c r="D320" s="22" t="s">
        <v>495</v>
      </c>
      <c r="E320" s="22"/>
      <c r="F320" s="22" t="s">
        <v>132</v>
      </c>
      <c r="G320" s="22"/>
      <c r="H320" s="22" t="s">
        <v>7945</v>
      </c>
      <c r="I320" s="25" t="s">
        <v>1393</v>
      </c>
      <c r="J320" s="22"/>
      <c r="K320" s="22" t="s">
        <v>1394</v>
      </c>
      <c r="L320" s="24" t="s">
        <v>1314</v>
      </c>
      <c r="M320" s="22" t="str">
        <f>HYPERLINK("https://ceds.ed.gov/cedselementdetails.aspx?termid=21366")</f>
        <v>https://ceds.ed.gov/cedselementdetails.aspx?termid=21366</v>
      </c>
    </row>
    <row r="321" spans="1:13" ht="72" x14ac:dyDescent="0.3">
      <c r="A321" s="22" t="s">
        <v>1395</v>
      </c>
      <c r="B321" s="22" t="s">
        <v>1396</v>
      </c>
      <c r="C321" s="26" t="s">
        <v>8647</v>
      </c>
      <c r="D321" s="22" t="s">
        <v>495</v>
      </c>
      <c r="E321" s="22"/>
      <c r="F321" s="22"/>
      <c r="G321" s="22"/>
      <c r="H321" s="22"/>
      <c r="I321" s="25" t="s">
        <v>1397</v>
      </c>
      <c r="J321" s="22"/>
      <c r="K321" s="22" t="s">
        <v>1398</v>
      </c>
      <c r="L321" s="22"/>
      <c r="M321" s="22" t="str">
        <f>HYPERLINK("https://ceds.ed.gov/cedselementdetails.aspx?termid=22016")</f>
        <v>https://ceds.ed.gov/cedselementdetails.aspx?termid=22016</v>
      </c>
    </row>
    <row r="322" spans="1:13" ht="43.2" x14ac:dyDescent="0.3">
      <c r="A322" s="22" t="s">
        <v>1399</v>
      </c>
      <c r="B322" s="22" t="s">
        <v>1400</v>
      </c>
      <c r="C322" s="23" t="s">
        <v>32</v>
      </c>
      <c r="D322" s="22" t="s">
        <v>495</v>
      </c>
      <c r="E322" s="22"/>
      <c r="F322" s="22" t="s">
        <v>85</v>
      </c>
      <c r="G322" s="22"/>
      <c r="H322" s="22"/>
      <c r="I322" s="25" t="s">
        <v>1401</v>
      </c>
      <c r="J322" s="22"/>
      <c r="K322" s="22" t="s">
        <v>1402</v>
      </c>
      <c r="L322" s="24" t="s">
        <v>93</v>
      </c>
      <c r="M322" s="22" t="str">
        <f>HYPERLINK("https://ceds.ed.gov/cedselementdetails.aspx?termid=21388")</f>
        <v>https://ceds.ed.gov/cedselementdetails.aspx?termid=21388</v>
      </c>
    </row>
    <row r="323" spans="1:13" ht="43.2" x14ac:dyDescent="0.3">
      <c r="A323" s="22" t="s">
        <v>1403</v>
      </c>
      <c r="B323" s="22" t="s">
        <v>1404</v>
      </c>
      <c r="C323" s="23" t="s">
        <v>32</v>
      </c>
      <c r="D323" s="22" t="s">
        <v>495</v>
      </c>
      <c r="E323" s="22"/>
      <c r="F323" s="22" t="s">
        <v>85</v>
      </c>
      <c r="G323" s="22"/>
      <c r="H323" s="22"/>
      <c r="I323" s="25" t="s">
        <v>1405</v>
      </c>
      <c r="J323" s="22"/>
      <c r="K323" s="22" t="s">
        <v>1406</v>
      </c>
      <c r="L323" s="24" t="s">
        <v>93</v>
      </c>
      <c r="M323" s="22" t="str">
        <f>HYPERLINK("https://ceds.ed.gov/cedselementdetails.aspx?termid=21387")</f>
        <v>https://ceds.ed.gov/cedselementdetails.aspx?termid=21387</v>
      </c>
    </row>
    <row r="324" spans="1:13" ht="28.8" x14ac:dyDescent="0.3">
      <c r="A324" s="22" t="s">
        <v>1407</v>
      </c>
      <c r="B324" s="22" t="s">
        <v>1408</v>
      </c>
      <c r="C324" s="23" t="s">
        <v>32</v>
      </c>
      <c r="D324" s="22" t="s">
        <v>495</v>
      </c>
      <c r="E324" s="22"/>
      <c r="F324" s="22" t="s">
        <v>85</v>
      </c>
      <c r="G324" s="22"/>
      <c r="H324" s="22" t="s">
        <v>1409</v>
      </c>
      <c r="I324" s="25" t="s">
        <v>1410</v>
      </c>
      <c r="J324" s="22"/>
      <c r="K324" s="22" t="s">
        <v>1411</v>
      </c>
      <c r="L324" s="24" t="s">
        <v>638</v>
      </c>
      <c r="M324" s="22" t="str">
        <f>HYPERLINK("https://ceds.ed.gov/cedselementdetails.aspx?termid=21389")</f>
        <v>https://ceds.ed.gov/cedselementdetails.aspx?termid=21389</v>
      </c>
    </row>
    <row r="325" spans="1:13" x14ac:dyDescent="0.3">
      <c r="A325" s="22" t="s">
        <v>1412</v>
      </c>
      <c r="B325" s="22" t="s">
        <v>1413</v>
      </c>
      <c r="C325" s="23" t="s">
        <v>32</v>
      </c>
      <c r="D325" s="22" t="s">
        <v>495</v>
      </c>
      <c r="E325" s="22"/>
      <c r="F325" s="22" t="s">
        <v>118</v>
      </c>
      <c r="G325" s="22"/>
      <c r="H325" s="22"/>
      <c r="I325" s="25" t="s">
        <v>1414</v>
      </c>
      <c r="J325" s="22"/>
      <c r="K325" s="22" t="s">
        <v>1415</v>
      </c>
      <c r="L325" s="22"/>
      <c r="M325" s="22" t="str">
        <f>HYPERLINK("https://ceds.ed.gov/cedselementdetails.aspx?termid=22075")</f>
        <v>https://ceds.ed.gov/cedselementdetails.aspx?termid=22075</v>
      </c>
    </row>
    <row r="326" spans="1:13" x14ac:dyDescent="0.3">
      <c r="A326" s="22" t="s">
        <v>1416</v>
      </c>
      <c r="B326" s="22" t="s">
        <v>1417</v>
      </c>
      <c r="C326" s="23" t="s">
        <v>32</v>
      </c>
      <c r="D326" s="22" t="s">
        <v>495</v>
      </c>
      <c r="E326" s="22"/>
      <c r="F326" s="22" t="s">
        <v>328</v>
      </c>
      <c r="G326" s="22"/>
      <c r="H326" s="22"/>
      <c r="I326" s="25" t="s">
        <v>1418</v>
      </c>
      <c r="J326" s="22"/>
      <c r="K326" s="22" t="s">
        <v>1419</v>
      </c>
      <c r="L326" s="22"/>
      <c r="M326" s="22" t="str">
        <f>HYPERLINK("https://ceds.ed.gov/cedselementdetails.aspx?termid=21695")</f>
        <v>https://ceds.ed.gov/cedselementdetails.aspx?termid=21695</v>
      </c>
    </row>
    <row r="327" spans="1:13" ht="144" x14ac:dyDescent="0.3">
      <c r="A327" s="22" t="s">
        <v>1420</v>
      </c>
      <c r="B327" s="22" t="s">
        <v>1421</v>
      </c>
      <c r="C327" s="23" t="s">
        <v>32</v>
      </c>
      <c r="D327" s="22" t="s">
        <v>495</v>
      </c>
      <c r="E327" s="22"/>
      <c r="F327" s="22" t="s">
        <v>157</v>
      </c>
      <c r="G327" s="22"/>
      <c r="H327" s="22"/>
      <c r="I327" s="25" t="s">
        <v>1422</v>
      </c>
      <c r="J327" s="22"/>
      <c r="K327" s="22" t="s">
        <v>1423</v>
      </c>
      <c r="L327" s="24" t="s">
        <v>1424</v>
      </c>
      <c r="M327" s="22" t="str">
        <f>HYPERLINK("https://ceds.ed.gov/cedselementdetails.aspx?termid=21275")</f>
        <v>https://ceds.ed.gov/cedselementdetails.aspx?termid=21275</v>
      </c>
    </row>
    <row r="328" spans="1:13" ht="43.2" x14ac:dyDescent="0.3">
      <c r="A328" s="22" t="s">
        <v>1425</v>
      </c>
      <c r="B328" s="22" t="s">
        <v>1426</v>
      </c>
      <c r="C328" s="23" t="s">
        <v>32</v>
      </c>
      <c r="D328" s="22" t="s">
        <v>495</v>
      </c>
      <c r="E328" s="22"/>
      <c r="F328" s="22" t="s">
        <v>85</v>
      </c>
      <c r="G328" s="22"/>
      <c r="H328" s="22"/>
      <c r="I328" s="25" t="s">
        <v>1427</v>
      </c>
      <c r="J328" s="22"/>
      <c r="K328" s="22" t="s">
        <v>1428</v>
      </c>
      <c r="L328" s="24" t="s">
        <v>1314</v>
      </c>
      <c r="M328" s="22" t="str">
        <f>HYPERLINK("https://ceds.ed.gov/cedselementdetails.aspx?termid=21379")</f>
        <v>https://ceds.ed.gov/cedselementdetails.aspx?termid=21379</v>
      </c>
    </row>
    <row r="329" spans="1:13" ht="144" x14ac:dyDescent="0.3">
      <c r="A329" s="22" t="s">
        <v>1429</v>
      </c>
      <c r="B329" s="22" t="s">
        <v>1430</v>
      </c>
      <c r="C329" s="23" t="s">
        <v>32</v>
      </c>
      <c r="D329" s="24" t="s">
        <v>1431</v>
      </c>
      <c r="E329" s="22"/>
      <c r="F329" s="22" t="s">
        <v>157</v>
      </c>
      <c r="G329" s="22"/>
      <c r="H329" s="22"/>
      <c r="I329" s="25" t="s">
        <v>1432</v>
      </c>
      <c r="J329" s="22"/>
      <c r="K329" s="22" t="s">
        <v>1433</v>
      </c>
      <c r="L329" s="24" t="s">
        <v>1424</v>
      </c>
      <c r="M329" s="22" t="str">
        <f>HYPERLINK("https://ceds.ed.gov/cedselementdetails.aspx?termid=21028")</f>
        <v>https://ceds.ed.gov/cedselementdetails.aspx?termid=21028</v>
      </c>
    </row>
    <row r="330" spans="1:13" ht="409.6" x14ac:dyDescent="0.3">
      <c r="A330" s="22" t="s">
        <v>1434</v>
      </c>
      <c r="B330" s="22" t="s">
        <v>1435</v>
      </c>
      <c r="C330" s="26" t="s">
        <v>8648</v>
      </c>
      <c r="D330" s="22" t="s">
        <v>506</v>
      </c>
      <c r="E330" s="22"/>
      <c r="F330" s="22"/>
      <c r="G330" s="22"/>
      <c r="H330" s="22"/>
      <c r="I330" s="25" t="s">
        <v>1436</v>
      </c>
      <c r="J330" s="22"/>
      <c r="K330" s="22" t="s">
        <v>1437</v>
      </c>
      <c r="L330" s="24" t="s">
        <v>498</v>
      </c>
      <c r="M330" s="22" t="str">
        <f>HYPERLINK("https://ceds.ed.gov/cedselementdetails.aspx?termid=21029")</f>
        <v>https://ceds.ed.gov/cedselementdetails.aspx?termid=21029</v>
      </c>
    </row>
    <row r="331" spans="1:13" ht="374.4" x14ac:dyDescent="0.3">
      <c r="A331" s="22" t="s">
        <v>8019</v>
      </c>
      <c r="B331" s="22" t="s">
        <v>8020</v>
      </c>
      <c r="C331" s="26" t="s">
        <v>8403</v>
      </c>
      <c r="D331" s="24" t="s">
        <v>1431</v>
      </c>
      <c r="E331" s="22" t="s">
        <v>172</v>
      </c>
      <c r="F331" s="22"/>
      <c r="G331" s="22" t="s">
        <v>8021</v>
      </c>
      <c r="H331" s="22"/>
      <c r="I331" s="25" t="s">
        <v>1438</v>
      </c>
      <c r="J331" s="22"/>
      <c r="K331" s="22" t="s">
        <v>8022</v>
      </c>
      <c r="L331" s="24" t="s">
        <v>1234</v>
      </c>
      <c r="M331" s="22" t="str">
        <f>HYPERLINK("https://ceds.ed.gov/cedselementdetails.aspx?termid=21405")</f>
        <v>https://ceds.ed.gov/cedselementdetails.aspx?termid=21405</v>
      </c>
    </row>
    <row r="332" spans="1:13" ht="86.4" x14ac:dyDescent="0.3">
      <c r="A332" s="22" t="s">
        <v>8023</v>
      </c>
      <c r="B332" s="22" t="s">
        <v>8024</v>
      </c>
      <c r="C332" s="26" t="s">
        <v>8377</v>
      </c>
      <c r="D332" s="22" t="s">
        <v>8374</v>
      </c>
      <c r="E332" s="22" t="s">
        <v>167</v>
      </c>
      <c r="F332" s="22" t="s">
        <v>2</v>
      </c>
      <c r="G332" s="22" t="s">
        <v>7949</v>
      </c>
      <c r="H332" s="22"/>
      <c r="I332" s="25" t="s">
        <v>8353</v>
      </c>
      <c r="J332" s="22"/>
      <c r="K332" s="22" t="s">
        <v>8025</v>
      </c>
      <c r="L332" s="22"/>
      <c r="M332" s="22" t="str">
        <f>HYPERLINK("https://ceds.ed.gov/cedselementdetails.aspx?termid=22974")</f>
        <v>https://ceds.ed.gov/cedselementdetails.aspx?termid=22974</v>
      </c>
    </row>
    <row r="333" spans="1:13" ht="187.2" x14ac:dyDescent="0.3">
      <c r="A333" s="22" t="s">
        <v>1439</v>
      </c>
      <c r="B333" s="22" t="s">
        <v>1440</v>
      </c>
      <c r="C333" s="23" t="s">
        <v>32</v>
      </c>
      <c r="D333" s="24" t="s">
        <v>8404</v>
      </c>
      <c r="E333" s="22" t="s">
        <v>172</v>
      </c>
      <c r="F333" s="22" t="s">
        <v>118</v>
      </c>
      <c r="G333" s="22" t="s">
        <v>7946</v>
      </c>
      <c r="H333" s="22" t="s">
        <v>143</v>
      </c>
      <c r="I333" s="25" t="s">
        <v>1441</v>
      </c>
      <c r="J333" s="22"/>
      <c r="K333" s="22" t="s">
        <v>1442</v>
      </c>
      <c r="L333" s="22"/>
      <c r="M333" s="22" t="str">
        <f>HYPERLINK("https://ceds.ed.gov/cedselementdetails.aspx?termid=21518")</f>
        <v>https://ceds.ed.gov/cedselementdetails.aspx?termid=21518</v>
      </c>
    </row>
    <row r="334" spans="1:13" ht="187.2" x14ac:dyDescent="0.3">
      <c r="A334" s="22" t="s">
        <v>1443</v>
      </c>
      <c r="B334" s="22" t="s">
        <v>1444</v>
      </c>
      <c r="C334" s="23" t="s">
        <v>32</v>
      </c>
      <c r="D334" s="24" t="s">
        <v>8404</v>
      </c>
      <c r="E334" s="22" t="s">
        <v>172</v>
      </c>
      <c r="F334" s="22" t="s">
        <v>118</v>
      </c>
      <c r="G334" s="22" t="s">
        <v>7946</v>
      </c>
      <c r="H334" s="22"/>
      <c r="I334" s="25" t="s">
        <v>1445</v>
      </c>
      <c r="J334" s="22"/>
      <c r="K334" s="22" t="s">
        <v>1446</v>
      </c>
      <c r="L334" s="22"/>
      <c r="M334" s="22" t="str">
        <f>HYPERLINK("https://ceds.ed.gov/cedselementdetails.aspx?termid=21517")</f>
        <v>https://ceds.ed.gov/cedselementdetails.aspx?termid=21517</v>
      </c>
    </row>
    <row r="335" spans="1:13" ht="187.2" x14ac:dyDescent="0.3">
      <c r="A335" s="22" t="s">
        <v>1447</v>
      </c>
      <c r="B335" s="22" t="s">
        <v>1448</v>
      </c>
      <c r="C335" s="23" t="s">
        <v>32</v>
      </c>
      <c r="D335" s="24" t="s">
        <v>8405</v>
      </c>
      <c r="E335" s="22" t="s">
        <v>172</v>
      </c>
      <c r="F335" s="22" t="s">
        <v>118</v>
      </c>
      <c r="G335" s="22" t="s">
        <v>7946</v>
      </c>
      <c r="H335" s="22"/>
      <c r="I335" s="25" t="s">
        <v>1449</v>
      </c>
      <c r="J335" s="22"/>
      <c r="K335" s="22" t="s">
        <v>1450</v>
      </c>
      <c r="L335" s="22"/>
      <c r="M335" s="22" t="str">
        <f>HYPERLINK("https://ceds.ed.gov/cedselementdetails.aspx?termid=22630")</f>
        <v>https://ceds.ed.gov/cedselementdetails.aspx?termid=22630</v>
      </c>
    </row>
    <row r="336" spans="1:13" ht="100.8" x14ac:dyDescent="0.3">
      <c r="A336" s="22" t="s">
        <v>1451</v>
      </c>
      <c r="B336" s="22" t="s">
        <v>1452</v>
      </c>
      <c r="C336" s="26" t="s">
        <v>8649</v>
      </c>
      <c r="D336" s="24" t="s">
        <v>1453</v>
      </c>
      <c r="E336" s="22"/>
      <c r="F336" s="22"/>
      <c r="G336" s="22"/>
      <c r="H336" s="22"/>
      <c r="I336" s="25" t="s">
        <v>1454</v>
      </c>
      <c r="J336" s="22"/>
      <c r="K336" s="22" t="s">
        <v>1455</v>
      </c>
      <c r="L336" s="22"/>
      <c r="M336" s="22" t="str">
        <f>HYPERLINK("https://ceds.ed.gov/cedselementdetails.aspx?termid=21594")</f>
        <v>https://ceds.ed.gov/cedselementdetails.aspx?termid=21594</v>
      </c>
    </row>
    <row r="337" spans="1:13" ht="187.2" x14ac:dyDescent="0.3">
      <c r="A337" s="22" t="s">
        <v>1456</v>
      </c>
      <c r="B337" s="22" t="s">
        <v>1457</v>
      </c>
      <c r="C337" s="26" t="s">
        <v>8406</v>
      </c>
      <c r="D337" s="24" t="s">
        <v>8405</v>
      </c>
      <c r="E337" s="22" t="s">
        <v>172</v>
      </c>
      <c r="F337" s="22"/>
      <c r="G337" s="22" t="s">
        <v>7946</v>
      </c>
      <c r="H337" s="22"/>
      <c r="I337" s="25" t="s">
        <v>1458</v>
      </c>
      <c r="J337" s="22"/>
      <c r="K337" s="22" t="s">
        <v>1459</v>
      </c>
      <c r="L337" s="22"/>
      <c r="M337" s="22" t="str">
        <f>HYPERLINK("https://ceds.ed.gov/cedselementdetails.aspx?termid=21076")</f>
        <v>https://ceds.ed.gov/cedselementdetails.aspx?termid=21076</v>
      </c>
    </row>
    <row r="338" spans="1:13" x14ac:dyDescent="0.3">
      <c r="A338" s="22" t="s">
        <v>1460</v>
      </c>
      <c r="B338" s="22" t="s">
        <v>8026</v>
      </c>
      <c r="C338" s="23" t="s">
        <v>32</v>
      </c>
      <c r="D338" s="22" t="s">
        <v>1461</v>
      </c>
      <c r="E338" s="22"/>
      <c r="F338" s="22" t="s">
        <v>118</v>
      </c>
      <c r="G338" s="22"/>
      <c r="H338" s="22" t="s">
        <v>143</v>
      </c>
      <c r="I338" s="25" t="s">
        <v>1462</v>
      </c>
      <c r="J338" s="22"/>
      <c r="K338" s="22" t="s">
        <v>1463</v>
      </c>
      <c r="L338" s="22"/>
      <c r="M338" s="22" t="str">
        <f>HYPERLINK("https://ceds.ed.gov/cedselementdetails.aspx?termid=22126")</f>
        <v>https://ceds.ed.gov/cedselementdetails.aspx?termid=22126</v>
      </c>
    </row>
    <row r="339" spans="1:13" x14ac:dyDescent="0.3">
      <c r="A339" s="22" t="s">
        <v>1464</v>
      </c>
      <c r="B339" s="22" t="s">
        <v>1465</v>
      </c>
      <c r="C339" s="23" t="s">
        <v>32</v>
      </c>
      <c r="D339" s="22" t="s">
        <v>1461</v>
      </c>
      <c r="E339" s="22"/>
      <c r="F339" s="22" t="s">
        <v>132</v>
      </c>
      <c r="G339" s="22"/>
      <c r="H339" s="22" t="s">
        <v>7945</v>
      </c>
      <c r="I339" s="25" t="s">
        <v>1466</v>
      </c>
      <c r="J339" s="22"/>
      <c r="K339" s="22" t="s">
        <v>1467</v>
      </c>
      <c r="L339" s="22"/>
      <c r="M339" s="22" t="str">
        <f>HYPERLINK("https://ceds.ed.gov/cedselementdetails.aspx?termid=22124")</f>
        <v>https://ceds.ed.gov/cedselementdetails.aspx?termid=22124</v>
      </c>
    </row>
    <row r="340" spans="1:13" x14ac:dyDescent="0.3">
      <c r="A340" s="22" t="s">
        <v>1468</v>
      </c>
      <c r="B340" s="22" t="s">
        <v>1469</v>
      </c>
      <c r="C340" s="23" t="s">
        <v>32</v>
      </c>
      <c r="D340" s="22" t="s">
        <v>1461</v>
      </c>
      <c r="E340" s="22"/>
      <c r="F340" s="22" t="s">
        <v>157</v>
      </c>
      <c r="G340" s="22"/>
      <c r="H340" s="22"/>
      <c r="I340" s="25" t="s">
        <v>1470</v>
      </c>
      <c r="J340" s="22"/>
      <c r="K340" s="22" t="s">
        <v>1471</v>
      </c>
      <c r="L340" s="22"/>
      <c r="M340" s="22" t="str">
        <f>HYPERLINK("https://ceds.ed.gov/cedselementdetails.aspx?termid=22122")</f>
        <v>https://ceds.ed.gov/cedselementdetails.aspx?termid=22122</v>
      </c>
    </row>
    <row r="341" spans="1:13" x14ac:dyDescent="0.3">
      <c r="A341" s="22" t="s">
        <v>1472</v>
      </c>
      <c r="B341" s="22" t="s">
        <v>8027</v>
      </c>
      <c r="C341" s="23" t="s">
        <v>32</v>
      </c>
      <c r="D341" s="22" t="s">
        <v>1461</v>
      </c>
      <c r="E341" s="22"/>
      <c r="F341" s="22" t="s">
        <v>118</v>
      </c>
      <c r="G341" s="22"/>
      <c r="H341" s="22"/>
      <c r="I341" s="25" t="s">
        <v>1473</v>
      </c>
      <c r="J341" s="22"/>
      <c r="K341" s="22" t="s">
        <v>1474</v>
      </c>
      <c r="L341" s="22"/>
      <c r="M341" s="22" t="str">
        <f>HYPERLINK("https://ceds.ed.gov/cedselementdetails.aspx?termid=22125")</f>
        <v>https://ceds.ed.gov/cedselementdetails.aspx?termid=22125</v>
      </c>
    </row>
    <row r="342" spans="1:13" x14ac:dyDescent="0.3">
      <c r="A342" s="22" t="s">
        <v>1475</v>
      </c>
      <c r="B342" s="22" t="s">
        <v>8028</v>
      </c>
      <c r="C342" s="23" t="s">
        <v>32</v>
      </c>
      <c r="D342" s="22" t="s">
        <v>1461</v>
      </c>
      <c r="E342" s="22"/>
      <c r="F342" s="22" t="s">
        <v>50</v>
      </c>
      <c r="G342" s="22"/>
      <c r="H342" s="22"/>
      <c r="I342" s="25" t="s">
        <v>1476</v>
      </c>
      <c r="J342" s="22"/>
      <c r="K342" s="22" t="s">
        <v>1477</v>
      </c>
      <c r="L342" s="22"/>
      <c r="M342" s="22" t="str">
        <f>HYPERLINK("https://ceds.ed.gov/cedselementdetails.aspx?termid=22123")</f>
        <v>https://ceds.ed.gov/cedselementdetails.aspx?termid=22123</v>
      </c>
    </row>
    <row r="343" spans="1:13" ht="43.2" x14ac:dyDescent="0.3">
      <c r="A343" s="22" t="s">
        <v>1478</v>
      </c>
      <c r="B343" s="22" t="s">
        <v>1479</v>
      </c>
      <c r="C343" s="26" t="s">
        <v>22</v>
      </c>
      <c r="D343" s="22" t="s">
        <v>1480</v>
      </c>
      <c r="E343" s="22"/>
      <c r="F343" s="22"/>
      <c r="G343" s="22"/>
      <c r="H343" s="22"/>
      <c r="I343" s="25" t="s">
        <v>1481</v>
      </c>
      <c r="J343" s="22"/>
      <c r="K343" s="22" t="s">
        <v>1482</v>
      </c>
      <c r="L343" s="22"/>
      <c r="M343" s="22" t="str">
        <f>HYPERLINK("https://ceds.ed.gov/cedselementdetails.aspx?termid=22702")</f>
        <v>https://ceds.ed.gov/cedselementdetails.aspx?termid=22702</v>
      </c>
    </row>
    <row r="344" spans="1:13" x14ac:dyDescent="0.3">
      <c r="A344" s="22" t="s">
        <v>1483</v>
      </c>
      <c r="B344" s="22" t="s">
        <v>1484</v>
      </c>
      <c r="C344" s="23" t="s">
        <v>32</v>
      </c>
      <c r="D344" s="22" t="s">
        <v>1485</v>
      </c>
      <c r="E344" s="22"/>
      <c r="F344" s="22" t="s">
        <v>1486</v>
      </c>
      <c r="G344" s="22"/>
      <c r="H344" s="22"/>
      <c r="I344" s="25" t="s">
        <v>1487</v>
      </c>
      <c r="J344" s="22"/>
      <c r="K344" s="22" t="s">
        <v>1488</v>
      </c>
      <c r="L344" s="22"/>
      <c r="M344" s="22" t="str">
        <f>HYPERLINK("https://ceds.ed.gov/cedselementdetails.aspx?termid=22127")</f>
        <v>https://ceds.ed.gov/cedselementdetails.aspx?termid=22127</v>
      </c>
    </row>
    <row r="345" spans="1:13" x14ac:dyDescent="0.3">
      <c r="A345" s="22" t="s">
        <v>1489</v>
      </c>
      <c r="B345" s="22" t="s">
        <v>1490</v>
      </c>
      <c r="C345" s="23" t="s">
        <v>32</v>
      </c>
      <c r="D345" s="22" t="s">
        <v>1485</v>
      </c>
      <c r="E345" s="22"/>
      <c r="F345" s="22" t="s">
        <v>157</v>
      </c>
      <c r="G345" s="22"/>
      <c r="H345" s="22"/>
      <c r="I345" s="25" t="s">
        <v>1491</v>
      </c>
      <c r="J345" s="22"/>
      <c r="K345" s="22" t="s">
        <v>1492</v>
      </c>
      <c r="L345" s="22"/>
      <c r="M345" s="22" t="str">
        <f>HYPERLINK("https://ceds.ed.gov/cedselementdetails.aspx?termid=22129")</f>
        <v>https://ceds.ed.gov/cedselementdetails.aspx?termid=22129</v>
      </c>
    </row>
    <row r="346" spans="1:13" x14ac:dyDescent="0.3">
      <c r="A346" s="22" t="s">
        <v>1493</v>
      </c>
      <c r="B346" s="22" t="s">
        <v>1494</v>
      </c>
      <c r="C346" s="23" t="s">
        <v>32</v>
      </c>
      <c r="D346" s="22" t="s">
        <v>1485</v>
      </c>
      <c r="E346" s="22"/>
      <c r="F346" s="22" t="s">
        <v>50</v>
      </c>
      <c r="G346" s="22"/>
      <c r="H346" s="22"/>
      <c r="I346" s="25" t="s">
        <v>1495</v>
      </c>
      <c r="J346" s="22"/>
      <c r="K346" s="22" t="s">
        <v>1496</v>
      </c>
      <c r="L346" s="22"/>
      <c r="M346" s="22" t="str">
        <f>HYPERLINK("https://ceds.ed.gov/cedselementdetails.aspx?termid=22128")</f>
        <v>https://ceds.ed.gov/cedselementdetails.aspx?termid=22128</v>
      </c>
    </row>
    <row r="347" spans="1:13" x14ac:dyDescent="0.3">
      <c r="A347" s="22" t="s">
        <v>1497</v>
      </c>
      <c r="B347" s="22" t="s">
        <v>1498</v>
      </c>
      <c r="C347" s="23" t="s">
        <v>32</v>
      </c>
      <c r="D347" s="22" t="s">
        <v>1480</v>
      </c>
      <c r="E347" s="22"/>
      <c r="F347" s="22" t="s">
        <v>118</v>
      </c>
      <c r="G347" s="22"/>
      <c r="H347" s="22"/>
      <c r="I347" s="25" t="s">
        <v>1499</v>
      </c>
      <c r="J347" s="22"/>
      <c r="K347" s="22" t="s">
        <v>1500</v>
      </c>
      <c r="L347" s="22"/>
      <c r="M347" s="22" t="str">
        <f>HYPERLINK("https://ceds.ed.gov/cedselementdetails.aspx?termid=22706")</f>
        <v>https://ceds.ed.gov/cedselementdetails.aspx?termid=22706</v>
      </c>
    </row>
    <row r="348" spans="1:13" x14ac:dyDescent="0.3">
      <c r="A348" s="22" t="s">
        <v>1501</v>
      </c>
      <c r="B348" s="22" t="s">
        <v>1502</v>
      </c>
      <c r="C348" s="23" t="s">
        <v>32</v>
      </c>
      <c r="D348" s="22" t="s">
        <v>1480</v>
      </c>
      <c r="E348" s="22"/>
      <c r="F348" s="22" t="s">
        <v>328</v>
      </c>
      <c r="G348" s="22"/>
      <c r="H348" s="22"/>
      <c r="I348" s="25" t="s">
        <v>1503</v>
      </c>
      <c r="J348" s="22"/>
      <c r="K348" s="22" t="s">
        <v>1504</v>
      </c>
      <c r="L348" s="22"/>
      <c r="M348" s="22" t="str">
        <f>HYPERLINK("https://ceds.ed.gov/cedselementdetails.aspx?termid=22703")</f>
        <v>https://ceds.ed.gov/cedselementdetails.aspx?termid=22703</v>
      </c>
    </row>
    <row r="349" spans="1:13" x14ac:dyDescent="0.3">
      <c r="A349" s="22" t="s">
        <v>1505</v>
      </c>
      <c r="B349" s="22" t="s">
        <v>8029</v>
      </c>
      <c r="C349" s="23" t="s">
        <v>32</v>
      </c>
      <c r="D349" s="22" t="s">
        <v>1485</v>
      </c>
      <c r="E349" s="22"/>
      <c r="F349" s="22" t="s">
        <v>118</v>
      </c>
      <c r="G349" s="22"/>
      <c r="H349" s="22" t="s">
        <v>143</v>
      </c>
      <c r="I349" s="25" t="s">
        <v>1506</v>
      </c>
      <c r="J349" s="22"/>
      <c r="K349" s="22" t="s">
        <v>1507</v>
      </c>
      <c r="L349" s="22"/>
      <c r="M349" s="22" t="str">
        <f>HYPERLINK("https://ceds.ed.gov/cedselementdetails.aspx?termid=22131")</f>
        <v>https://ceds.ed.gov/cedselementdetails.aspx?termid=22131</v>
      </c>
    </row>
    <row r="350" spans="1:13" x14ac:dyDescent="0.3">
      <c r="A350" s="22" t="s">
        <v>1508</v>
      </c>
      <c r="B350" s="22" t="s">
        <v>8030</v>
      </c>
      <c r="C350" s="23" t="s">
        <v>32</v>
      </c>
      <c r="D350" s="22" t="s">
        <v>1485</v>
      </c>
      <c r="E350" s="22"/>
      <c r="F350" s="22" t="s">
        <v>118</v>
      </c>
      <c r="G350" s="22"/>
      <c r="H350" s="22"/>
      <c r="I350" s="25" t="s">
        <v>1509</v>
      </c>
      <c r="J350" s="22"/>
      <c r="K350" s="22" t="s">
        <v>1510</v>
      </c>
      <c r="L350" s="22"/>
      <c r="M350" s="22" t="str">
        <f>HYPERLINK("https://ceds.ed.gov/cedselementdetails.aspx?termid=22130")</f>
        <v>https://ceds.ed.gov/cedselementdetails.aspx?termid=22130</v>
      </c>
    </row>
    <row r="351" spans="1:13" ht="100.8" x14ac:dyDescent="0.3">
      <c r="A351" s="22" t="s">
        <v>1511</v>
      </c>
      <c r="B351" s="22" t="s">
        <v>1512</v>
      </c>
      <c r="C351" s="26" t="s">
        <v>8650</v>
      </c>
      <c r="D351" s="22" t="s">
        <v>1480</v>
      </c>
      <c r="E351" s="22"/>
      <c r="F351" s="22"/>
      <c r="G351" s="22"/>
      <c r="H351" s="22"/>
      <c r="I351" s="25" t="s">
        <v>1513</v>
      </c>
      <c r="J351" s="22"/>
      <c r="K351" s="22" t="s">
        <v>1514</v>
      </c>
      <c r="L351" s="22"/>
      <c r="M351" s="22" t="str">
        <f>HYPERLINK("https://ceds.ed.gov/cedselementdetails.aspx?termid=22701")</f>
        <v>https://ceds.ed.gov/cedselementdetails.aspx?termid=22701</v>
      </c>
    </row>
    <row r="352" spans="1:13" ht="129.6" x14ac:dyDescent="0.3">
      <c r="A352" s="22" t="s">
        <v>1515</v>
      </c>
      <c r="B352" s="22" t="s">
        <v>1516</v>
      </c>
      <c r="C352" s="23" t="s">
        <v>32</v>
      </c>
      <c r="D352" s="24" t="s">
        <v>1517</v>
      </c>
      <c r="E352" s="22"/>
      <c r="F352" s="22" t="s">
        <v>1518</v>
      </c>
      <c r="G352" s="22"/>
      <c r="H352" s="22"/>
      <c r="I352" s="25" t="s">
        <v>1519</v>
      </c>
      <c r="J352" s="22"/>
      <c r="K352" s="22" t="s">
        <v>1520</v>
      </c>
      <c r="L352" s="24" t="s">
        <v>1521</v>
      </c>
      <c r="M352" s="22" t="str">
        <f>HYPERLINK("https://ceds.ed.gov/cedselementdetails.aspx?termid=21030")</f>
        <v>https://ceds.ed.gov/cedselementdetails.aspx?termid=21030</v>
      </c>
    </row>
    <row r="353" spans="1:13" ht="43.2" x14ac:dyDescent="0.3">
      <c r="A353" s="22" t="s">
        <v>1522</v>
      </c>
      <c r="B353" s="22" t="s">
        <v>1523</v>
      </c>
      <c r="C353" s="26" t="s">
        <v>22</v>
      </c>
      <c r="D353" s="22" t="s">
        <v>1524</v>
      </c>
      <c r="E353" s="22"/>
      <c r="F353" s="22"/>
      <c r="G353" s="22"/>
      <c r="H353" s="22"/>
      <c r="I353" s="25" t="s">
        <v>1525</v>
      </c>
      <c r="J353" s="22"/>
      <c r="K353" s="22" t="s">
        <v>1526</v>
      </c>
      <c r="L353" s="22"/>
      <c r="M353" s="22" t="str">
        <f>HYPERLINK("https://ceds.ed.gov/cedselementdetails.aspx?termid=22883")</f>
        <v>https://ceds.ed.gov/cedselementdetails.aspx?termid=22883</v>
      </c>
    </row>
    <row r="354" spans="1:13" ht="100.8" x14ac:dyDescent="0.3">
      <c r="A354" s="22" t="s">
        <v>1527</v>
      </c>
      <c r="B354" s="22" t="s">
        <v>1528</v>
      </c>
      <c r="C354" s="26" t="s">
        <v>22</v>
      </c>
      <c r="D354" s="24" t="s">
        <v>8651</v>
      </c>
      <c r="E354" s="22"/>
      <c r="F354" s="22"/>
      <c r="G354" s="22"/>
      <c r="H354" s="22"/>
      <c r="I354" s="25" t="s">
        <v>1529</v>
      </c>
      <c r="J354" s="22"/>
      <c r="K354" s="22" t="s">
        <v>1530</v>
      </c>
      <c r="L354" s="22"/>
      <c r="M354" s="22" t="str">
        <f>HYPERLINK("https://ceds.ed.gov/cedselementdetails.aspx?termid=22903")</f>
        <v>https://ceds.ed.gov/cedselementdetails.aspx?termid=22903</v>
      </c>
    </row>
    <row r="355" spans="1:13" ht="72" x14ac:dyDescent="0.3">
      <c r="A355" s="22" t="s">
        <v>1531</v>
      </c>
      <c r="B355" s="22" t="s">
        <v>8031</v>
      </c>
      <c r="C355" s="26" t="s">
        <v>22</v>
      </c>
      <c r="D355" s="24" t="s">
        <v>8652</v>
      </c>
      <c r="E355" s="22"/>
      <c r="F355" s="22"/>
      <c r="G355" s="22"/>
      <c r="H355" s="22"/>
      <c r="I355" s="25" t="s">
        <v>1532</v>
      </c>
      <c r="J355" s="22"/>
      <c r="K355" s="22" t="s">
        <v>1533</v>
      </c>
      <c r="L355" s="22" t="s">
        <v>25</v>
      </c>
      <c r="M355" s="22" t="str">
        <f>HYPERLINK("https://ceds.ed.gov/cedselementdetails.aspx?termid=21031")</f>
        <v>https://ceds.ed.gov/cedselementdetails.aspx?termid=21031</v>
      </c>
    </row>
    <row r="356" spans="1:13" ht="129.6" x14ac:dyDescent="0.3">
      <c r="A356" s="22" t="s">
        <v>1534</v>
      </c>
      <c r="B356" s="22" t="s">
        <v>1535</v>
      </c>
      <c r="C356" s="26" t="s">
        <v>8653</v>
      </c>
      <c r="D356" s="22" t="s">
        <v>1536</v>
      </c>
      <c r="E356" s="22"/>
      <c r="F356" s="22"/>
      <c r="G356" s="22"/>
      <c r="H356" s="22"/>
      <c r="I356" s="25" t="s">
        <v>1537</v>
      </c>
      <c r="J356" s="22"/>
      <c r="K356" s="22" t="s">
        <v>1538</v>
      </c>
      <c r="L356" s="22" t="s">
        <v>214</v>
      </c>
      <c r="M356" s="22" t="str">
        <f>HYPERLINK("https://ceds.ed.gov/cedselementdetails.aspx?termid=21439")</f>
        <v>https://ceds.ed.gov/cedselementdetails.aspx?termid=21439</v>
      </c>
    </row>
    <row r="357" spans="1:13" ht="72" x14ac:dyDescent="0.3">
      <c r="A357" s="22" t="s">
        <v>7441</v>
      </c>
      <c r="B357" s="22" t="s">
        <v>7442</v>
      </c>
      <c r="C357" s="26" t="s">
        <v>8654</v>
      </c>
      <c r="D357" s="22" t="s">
        <v>8032</v>
      </c>
      <c r="E357" s="22"/>
      <c r="F357" s="22"/>
      <c r="G357" s="22"/>
      <c r="H357" s="22" t="s">
        <v>7443</v>
      </c>
      <c r="I357" s="25" t="s">
        <v>7444</v>
      </c>
      <c r="J357" s="22"/>
      <c r="K357" s="22" t="s">
        <v>7445</v>
      </c>
      <c r="L357" s="22"/>
      <c r="M357" s="22" t="str">
        <f>HYPERLINK("https://ceds.ed.gov/cedselementdetails.aspx?termid=22916")</f>
        <v>https://ceds.ed.gov/cedselementdetails.aspx?termid=22916</v>
      </c>
    </row>
    <row r="358" spans="1:13" ht="72" x14ac:dyDescent="0.3">
      <c r="A358" s="22" t="s">
        <v>1539</v>
      </c>
      <c r="B358" s="22" t="s">
        <v>1540</v>
      </c>
      <c r="C358" s="26" t="s">
        <v>8655</v>
      </c>
      <c r="D358" s="22" t="s">
        <v>1541</v>
      </c>
      <c r="E358" s="22"/>
      <c r="F358" s="22"/>
      <c r="G358" s="22"/>
      <c r="H358" s="22"/>
      <c r="I358" s="25" t="s">
        <v>1542</v>
      </c>
      <c r="J358" s="22"/>
      <c r="K358" s="22" t="s">
        <v>1543</v>
      </c>
      <c r="L358" s="22"/>
      <c r="M358" s="22" t="str">
        <f>HYPERLINK("https://ceds.ed.gov/cedselementdetails.aspx?termid=22561")</f>
        <v>https://ceds.ed.gov/cedselementdetails.aspx?termid=22561</v>
      </c>
    </row>
    <row r="359" spans="1:13" ht="388.8" x14ac:dyDescent="0.3">
      <c r="A359" s="22" t="s">
        <v>1544</v>
      </c>
      <c r="B359" s="22" t="s">
        <v>1545</v>
      </c>
      <c r="C359" s="23" t="s">
        <v>32</v>
      </c>
      <c r="D359" s="24" t="s">
        <v>8656</v>
      </c>
      <c r="E359" s="22"/>
      <c r="F359" s="22" t="s">
        <v>118</v>
      </c>
      <c r="G359" s="22"/>
      <c r="H359" s="22"/>
      <c r="I359" s="25" t="s">
        <v>1546</v>
      </c>
      <c r="J359" s="22"/>
      <c r="K359" s="22" t="s">
        <v>1544</v>
      </c>
      <c r="L359" s="24" t="s">
        <v>1547</v>
      </c>
      <c r="M359" s="22" t="str">
        <f>HYPERLINK("https://ceds.ed.gov/cedselementdetails.aspx?termid=21033")</f>
        <v>https://ceds.ed.gov/cedselementdetails.aspx?termid=21033</v>
      </c>
    </row>
    <row r="360" spans="1:13" ht="43.2" x14ac:dyDescent="0.3">
      <c r="A360" s="22" t="s">
        <v>1548</v>
      </c>
      <c r="B360" s="22" t="s">
        <v>1549</v>
      </c>
      <c r="C360" s="23" t="s">
        <v>32</v>
      </c>
      <c r="D360" s="24" t="s">
        <v>1550</v>
      </c>
      <c r="E360" s="22"/>
      <c r="F360" s="22" t="s">
        <v>157</v>
      </c>
      <c r="G360" s="22"/>
      <c r="H360" s="22"/>
      <c r="I360" s="25" t="s">
        <v>1551</v>
      </c>
      <c r="J360" s="22"/>
      <c r="K360" s="22" t="s">
        <v>1552</v>
      </c>
      <c r="L360" s="22" t="s">
        <v>1553</v>
      </c>
      <c r="M360" s="22" t="str">
        <f>HYPERLINK("https://ceds.ed.gov/cedselementdetails.aspx?termid=21418")</f>
        <v>https://ceds.ed.gov/cedselementdetails.aspx?termid=21418</v>
      </c>
    </row>
    <row r="361" spans="1:13" ht="244.8" x14ac:dyDescent="0.3">
      <c r="A361" s="22" t="s">
        <v>1554</v>
      </c>
      <c r="B361" s="22" t="s">
        <v>1555</v>
      </c>
      <c r="C361" s="26" t="s">
        <v>8601</v>
      </c>
      <c r="D361" s="24" t="s">
        <v>8602</v>
      </c>
      <c r="E361" s="22"/>
      <c r="F361" s="22"/>
      <c r="G361" s="22"/>
      <c r="H361" s="22" t="s">
        <v>7958</v>
      </c>
      <c r="I361" s="25" t="s">
        <v>1556</v>
      </c>
      <c r="J361" s="22" t="s">
        <v>1557</v>
      </c>
      <c r="K361" s="22" t="s">
        <v>1558</v>
      </c>
      <c r="L361" s="24" t="s">
        <v>365</v>
      </c>
      <c r="M361" s="22" t="str">
        <f>HYPERLINK("https://ceds.ed.gov/cedselementdetails.aspx?termid=21657")</f>
        <v>https://ceds.ed.gov/cedselementdetails.aspx?termid=21657</v>
      </c>
    </row>
    <row r="362" spans="1:13" ht="158.4" x14ac:dyDescent="0.3">
      <c r="A362" s="22" t="s">
        <v>1559</v>
      </c>
      <c r="B362" s="22" t="s">
        <v>1560</v>
      </c>
      <c r="C362" s="26" t="s">
        <v>8407</v>
      </c>
      <c r="D362" s="24" t="s">
        <v>8408</v>
      </c>
      <c r="E362" s="22" t="s">
        <v>172</v>
      </c>
      <c r="F362" s="22"/>
      <c r="G362" s="22" t="s">
        <v>7946</v>
      </c>
      <c r="H362" s="22" t="s">
        <v>1561</v>
      </c>
      <c r="I362" s="25" t="s">
        <v>1562</v>
      </c>
      <c r="J362" s="22"/>
      <c r="K362" s="22" t="s">
        <v>1563</v>
      </c>
      <c r="L362" s="22"/>
      <c r="M362" s="22" t="str">
        <f>HYPERLINK("https://ceds.ed.gov/cedselementdetails.aspx?termid=22253")</f>
        <v>https://ceds.ed.gov/cedselementdetails.aspx?termid=22253</v>
      </c>
    </row>
    <row r="363" spans="1:13" x14ac:dyDescent="0.3">
      <c r="A363" s="22" t="s">
        <v>1564</v>
      </c>
      <c r="B363" s="22" t="s">
        <v>1565</v>
      </c>
      <c r="C363" s="23" t="s">
        <v>32</v>
      </c>
      <c r="D363" s="22" t="s">
        <v>239</v>
      </c>
      <c r="E363" s="22"/>
      <c r="F363" s="22" t="s">
        <v>1518</v>
      </c>
      <c r="G363" s="22"/>
      <c r="H363" s="22" t="s">
        <v>368</v>
      </c>
      <c r="I363" s="25" t="s">
        <v>1566</v>
      </c>
      <c r="J363" s="22"/>
      <c r="K363" s="22" t="s">
        <v>1567</v>
      </c>
      <c r="L363" s="22" t="s">
        <v>1568</v>
      </c>
      <c r="M363" s="22" t="str">
        <f>HYPERLINK("https://ceds.ed.gov/cedselementdetails.aspx?termid=21729")</f>
        <v>https://ceds.ed.gov/cedselementdetails.aspx?termid=21729</v>
      </c>
    </row>
    <row r="364" spans="1:13" x14ac:dyDescent="0.3">
      <c r="A364" s="22" t="s">
        <v>1569</v>
      </c>
      <c r="B364" s="22" t="s">
        <v>1570</v>
      </c>
      <c r="C364" s="23" t="s">
        <v>32</v>
      </c>
      <c r="D364" s="22" t="s">
        <v>239</v>
      </c>
      <c r="E364" s="22"/>
      <c r="F364" s="22" t="s">
        <v>1518</v>
      </c>
      <c r="G364" s="22"/>
      <c r="H364" s="22" t="s">
        <v>368</v>
      </c>
      <c r="I364" s="25" t="s">
        <v>1571</v>
      </c>
      <c r="J364" s="22"/>
      <c r="K364" s="22" t="s">
        <v>1572</v>
      </c>
      <c r="L364" s="22" t="s">
        <v>1568</v>
      </c>
      <c r="M364" s="22" t="str">
        <f>HYPERLINK("https://ceds.ed.gov/cedselementdetails.aspx?termid=21730")</f>
        <v>https://ceds.ed.gov/cedselementdetails.aspx?termid=21730</v>
      </c>
    </row>
    <row r="365" spans="1:13" x14ac:dyDescent="0.3">
      <c r="A365" s="22" t="s">
        <v>1573</v>
      </c>
      <c r="B365" s="22" t="s">
        <v>1574</v>
      </c>
      <c r="C365" s="23" t="s">
        <v>32</v>
      </c>
      <c r="D365" s="22" t="s">
        <v>1575</v>
      </c>
      <c r="E365" s="22"/>
      <c r="F365" s="22" t="s">
        <v>85</v>
      </c>
      <c r="G365" s="22"/>
      <c r="H365" s="22"/>
      <c r="I365" s="25" t="s">
        <v>1576</v>
      </c>
      <c r="J365" s="22"/>
      <c r="K365" s="22" t="s">
        <v>1577</v>
      </c>
      <c r="L365" s="22"/>
      <c r="M365" s="22" t="str">
        <f>HYPERLINK("https://ceds.ed.gov/cedselementdetails.aspx?termid=22757")</f>
        <v>https://ceds.ed.gov/cedselementdetails.aspx?termid=22757</v>
      </c>
    </row>
    <row r="366" spans="1:13" x14ac:dyDescent="0.3">
      <c r="A366" s="22" t="s">
        <v>1578</v>
      </c>
      <c r="B366" s="22" t="s">
        <v>1579</v>
      </c>
      <c r="C366" s="23" t="s">
        <v>32</v>
      </c>
      <c r="D366" s="22" t="s">
        <v>1575</v>
      </c>
      <c r="E366" s="22"/>
      <c r="F366" s="22" t="s">
        <v>55</v>
      </c>
      <c r="G366" s="22"/>
      <c r="H366" s="22"/>
      <c r="I366" s="25" t="s">
        <v>1580</v>
      </c>
      <c r="J366" s="22"/>
      <c r="K366" s="22" t="s">
        <v>1581</v>
      </c>
      <c r="L366" s="22"/>
      <c r="M366" s="22" t="str">
        <f>HYPERLINK("https://ceds.ed.gov/cedselementdetails.aspx?termid=22756")</f>
        <v>https://ceds.ed.gov/cedselementdetails.aspx?termid=22756</v>
      </c>
    </row>
    <row r="367" spans="1:13" ht="331.2" x14ac:dyDescent="0.3">
      <c r="A367" s="22" t="s">
        <v>1582</v>
      </c>
      <c r="B367" s="22" t="s">
        <v>1583</v>
      </c>
      <c r="C367" s="26" t="s">
        <v>8657</v>
      </c>
      <c r="D367" s="22" t="s">
        <v>1584</v>
      </c>
      <c r="E367" s="22"/>
      <c r="F367" s="22"/>
      <c r="G367" s="22"/>
      <c r="H367" s="22"/>
      <c r="I367" s="25" t="s">
        <v>1585</v>
      </c>
      <c r="J367" s="22"/>
      <c r="K367" s="22" t="s">
        <v>1586</v>
      </c>
      <c r="L367" s="22"/>
      <c r="M367" s="22" t="str">
        <f>HYPERLINK("https://ceds.ed.gov/cedselementdetails.aspx?termid=22794")</f>
        <v>https://ceds.ed.gov/cedselementdetails.aspx?termid=22794</v>
      </c>
    </row>
    <row r="368" spans="1:13" ht="129.6" x14ac:dyDescent="0.3">
      <c r="A368" s="22" t="s">
        <v>1587</v>
      </c>
      <c r="B368" s="22" t="s">
        <v>1588</v>
      </c>
      <c r="C368" s="26" t="s">
        <v>8658</v>
      </c>
      <c r="D368" s="22" t="s">
        <v>1589</v>
      </c>
      <c r="E368" s="22"/>
      <c r="F368" s="22"/>
      <c r="G368" s="22"/>
      <c r="H368" s="22"/>
      <c r="I368" s="25" t="s">
        <v>1590</v>
      </c>
      <c r="J368" s="22"/>
      <c r="K368" s="22" t="s">
        <v>1591</v>
      </c>
      <c r="L368" s="22"/>
      <c r="M368" s="22" t="str">
        <f>HYPERLINK("https://ceds.ed.gov/cedselementdetails.aspx?termid=22771")</f>
        <v>https://ceds.ed.gov/cedselementdetails.aspx?termid=22771</v>
      </c>
    </row>
    <row r="369" spans="1:13" x14ac:dyDescent="0.3">
      <c r="A369" s="22" t="s">
        <v>1592</v>
      </c>
      <c r="B369" s="22" t="s">
        <v>1593</v>
      </c>
      <c r="C369" s="23" t="s">
        <v>32</v>
      </c>
      <c r="D369" s="22" t="s">
        <v>1584</v>
      </c>
      <c r="E369" s="22"/>
      <c r="F369" s="22" t="s">
        <v>1339</v>
      </c>
      <c r="G369" s="22"/>
      <c r="H369" s="22"/>
      <c r="I369" s="25" t="s">
        <v>1594</v>
      </c>
      <c r="J369" s="22"/>
      <c r="K369" s="22" t="s">
        <v>1595</v>
      </c>
      <c r="L369" s="22"/>
      <c r="M369" s="22" t="str">
        <f>HYPERLINK("https://ceds.ed.gov/cedselementdetails.aspx?termid=22815")</f>
        <v>https://ceds.ed.gov/cedselementdetails.aspx?termid=22815</v>
      </c>
    </row>
    <row r="370" spans="1:13" x14ac:dyDescent="0.3">
      <c r="A370" s="22" t="s">
        <v>1596</v>
      </c>
      <c r="B370" s="22" t="s">
        <v>1597</v>
      </c>
      <c r="C370" s="23" t="s">
        <v>32</v>
      </c>
      <c r="D370" s="22" t="s">
        <v>1584</v>
      </c>
      <c r="E370" s="22"/>
      <c r="F370" s="22" t="s">
        <v>157</v>
      </c>
      <c r="G370" s="22"/>
      <c r="H370" s="22"/>
      <c r="I370" s="25" t="s">
        <v>1598</v>
      </c>
      <c r="J370" s="22"/>
      <c r="K370" s="22" t="s">
        <v>1599</v>
      </c>
      <c r="L370" s="22"/>
      <c r="M370" s="22" t="str">
        <f>HYPERLINK("https://ceds.ed.gov/cedselementdetails.aspx?termid=22816")</f>
        <v>https://ceds.ed.gov/cedselementdetails.aspx?termid=22816</v>
      </c>
    </row>
    <row r="371" spans="1:13" x14ac:dyDescent="0.3">
      <c r="A371" s="22" t="s">
        <v>1600</v>
      </c>
      <c r="B371" s="22" t="s">
        <v>1601</v>
      </c>
      <c r="C371" s="23" t="s">
        <v>32</v>
      </c>
      <c r="D371" s="22" t="s">
        <v>1575</v>
      </c>
      <c r="E371" s="22"/>
      <c r="F371" s="22" t="s">
        <v>85</v>
      </c>
      <c r="G371" s="22"/>
      <c r="H371" s="22"/>
      <c r="I371" s="25" t="s">
        <v>1602</v>
      </c>
      <c r="J371" s="22"/>
      <c r="K371" s="22" t="s">
        <v>1603</v>
      </c>
      <c r="L371" s="22"/>
      <c r="M371" s="22" t="str">
        <f>HYPERLINK("https://ceds.ed.gov/cedselementdetails.aspx?termid=22745")</f>
        <v>https://ceds.ed.gov/cedselementdetails.aspx?termid=22745</v>
      </c>
    </row>
    <row r="372" spans="1:13" ht="115.2" x14ac:dyDescent="0.3">
      <c r="A372" s="22" t="s">
        <v>1604</v>
      </c>
      <c r="B372" s="22" t="s">
        <v>1605</v>
      </c>
      <c r="C372" s="26" t="s">
        <v>8659</v>
      </c>
      <c r="D372" s="22" t="s">
        <v>1584</v>
      </c>
      <c r="E372" s="22"/>
      <c r="F372" s="22"/>
      <c r="G372" s="22"/>
      <c r="H372" s="22"/>
      <c r="I372" s="25" t="s">
        <v>1606</v>
      </c>
      <c r="J372" s="22"/>
      <c r="K372" s="22" t="s">
        <v>1607</v>
      </c>
      <c r="L372" s="22"/>
      <c r="M372" s="22" t="str">
        <f>HYPERLINK("https://ceds.ed.gov/cedselementdetails.aspx?termid=22795")</f>
        <v>https://ceds.ed.gov/cedselementdetails.aspx?termid=22795</v>
      </c>
    </row>
    <row r="373" spans="1:13" ht="129.6" x14ac:dyDescent="0.3">
      <c r="A373" s="22" t="s">
        <v>1608</v>
      </c>
      <c r="B373" s="22" t="s">
        <v>1609</v>
      </c>
      <c r="C373" s="26" t="s">
        <v>8660</v>
      </c>
      <c r="D373" s="22" t="s">
        <v>1584</v>
      </c>
      <c r="E373" s="22"/>
      <c r="F373" s="22"/>
      <c r="G373" s="22"/>
      <c r="H373" s="22"/>
      <c r="I373" s="25" t="s">
        <v>1610</v>
      </c>
      <c r="J373" s="22"/>
      <c r="K373" s="22" t="s">
        <v>1611</v>
      </c>
      <c r="L373" s="22"/>
      <c r="M373" s="22" t="str">
        <f>HYPERLINK("https://ceds.ed.gov/cedselementdetails.aspx?termid=22817")</f>
        <v>https://ceds.ed.gov/cedselementdetails.aspx?termid=22817</v>
      </c>
    </row>
    <row r="374" spans="1:13" ht="100.8" x14ac:dyDescent="0.3">
      <c r="A374" s="22" t="s">
        <v>1612</v>
      </c>
      <c r="B374" s="22" t="s">
        <v>1613</v>
      </c>
      <c r="C374" s="26" t="s">
        <v>8661</v>
      </c>
      <c r="D374" s="22" t="s">
        <v>1584</v>
      </c>
      <c r="E374" s="22"/>
      <c r="F374" s="22"/>
      <c r="G374" s="22"/>
      <c r="H374" s="22"/>
      <c r="I374" s="25" t="s">
        <v>1614</v>
      </c>
      <c r="J374" s="22"/>
      <c r="K374" s="22" t="s">
        <v>1615</v>
      </c>
      <c r="L374" s="22"/>
      <c r="M374" s="22" t="str">
        <f>HYPERLINK("https://ceds.ed.gov/cedselementdetails.aspx?termid=22796")</f>
        <v>https://ceds.ed.gov/cedselementdetails.aspx?termid=22796</v>
      </c>
    </row>
    <row r="375" spans="1:13" ht="43.2" x14ac:dyDescent="0.3">
      <c r="A375" s="22" t="s">
        <v>1616</v>
      </c>
      <c r="B375" s="22" t="s">
        <v>1617</v>
      </c>
      <c r="C375" s="26" t="s">
        <v>22</v>
      </c>
      <c r="D375" s="22" t="s">
        <v>1524</v>
      </c>
      <c r="E375" s="22"/>
      <c r="F375" s="22"/>
      <c r="G375" s="22"/>
      <c r="H375" s="22"/>
      <c r="I375" s="25" t="s">
        <v>1618</v>
      </c>
      <c r="J375" s="22"/>
      <c r="K375" s="22" t="s">
        <v>1619</v>
      </c>
      <c r="L375" s="22"/>
      <c r="M375" s="22" t="str">
        <f>HYPERLINK("https://ceds.ed.gov/cedselementdetails.aspx?termid=22884")</f>
        <v>https://ceds.ed.gov/cedselementdetails.aspx?termid=22884</v>
      </c>
    </row>
    <row r="376" spans="1:13" ht="409.6" x14ac:dyDescent="0.3">
      <c r="A376" s="22" t="s">
        <v>1620</v>
      </c>
      <c r="B376" s="22" t="s">
        <v>1621</v>
      </c>
      <c r="C376" s="26" t="s">
        <v>8662</v>
      </c>
      <c r="D376" s="22" t="s">
        <v>1584</v>
      </c>
      <c r="E376" s="22"/>
      <c r="F376" s="22"/>
      <c r="G376" s="22"/>
      <c r="H376" s="22"/>
      <c r="I376" s="25" t="s">
        <v>1622</v>
      </c>
      <c r="J376" s="22"/>
      <c r="K376" s="22" t="s">
        <v>1623</v>
      </c>
      <c r="L376" s="22"/>
      <c r="M376" s="22" t="str">
        <f>HYPERLINK("https://ceds.ed.gov/cedselementdetails.aspx?termid=22798")</f>
        <v>https://ceds.ed.gov/cedselementdetails.aspx?termid=22798</v>
      </c>
    </row>
    <row r="377" spans="1:13" ht="100.8" x14ac:dyDescent="0.3">
      <c r="A377" s="22" t="s">
        <v>1624</v>
      </c>
      <c r="B377" s="22" t="s">
        <v>1625</v>
      </c>
      <c r="C377" s="26" t="s">
        <v>8663</v>
      </c>
      <c r="D377" s="22" t="s">
        <v>1626</v>
      </c>
      <c r="E377" s="22"/>
      <c r="F377" s="22"/>
      <c r="G377" s="22"/>
      <c r="H377" s="22"/>
      <c r="I377" s="25" t="s">
        <v>1627</v>
      </c>
      <c r="J377" s="22"/>
      <c r="K377" s="22" t="s">
        <v>1628</v>
      </c>
      <c r="L377" s="22"/>
      <c r="M377" s="22" t="str">
        <f>HYPERLINK("https://ceds.ed.gov/cedselementdetails.aspx?termid=22846")</f>
        <v>https://ceds.ed.gov/cedselementdetails.aspx?termid=22846</v>
      </c>
    </row>
    <row r="378" spans="1:13" ht="144" x14ac:dyDescent="0.3">
      <c r="A378" s="22" t="s">
        <v>1629</v>
      </c>
      <c r="B378" s="22" t="s">
        <v>1630</v>
      </c>
      <c r="C378" s="26" t="s">
        <v>8664</v>
      </c>
      <c r="D378" s="22" t="s">
        <v>1584</v>
      </c>
      <c r="E378" s="22"/>
      <c r="F378" s="22"/>
      <c r="G378" s="22"/>
      <c r="H378" s="22"/>
      <c r="I378" s="25" t="s">
        <v>1631</v>
      </c>
      <c r="J378" s="22"/>
      <c r="K378" s="22" t="s">
        <v>1632</v>
      </c>
      <c r="L378" s="22"/>
      <c r="M378" s="22" t="str">
        <f>HYPERLINK("https://ceds.ed.gov/cedselementdetails.aspx?termid=22799")</f>
        <v>https://ceds.ed.gov/cedselementdetails.aspx?termid=22799</v>
      </c>
    </row>
    <row r="379" spans="1:13" ht="86.4" x14ac:dyDescent="0.3">
      <c r="A379" s="22" t="s">
        <v>1633</v>
      </c>
      <c r="B379" s="22" t="s">
        <v>1634</v>
      </c>
      <c r="C379" s="26" t="s">
        <v>8665</v>
      </c>
      <c r="D379" s="22" t="s">
        <v>1626</v>
      </c>
      <c r="E379" s="22"/>
      <c r="F379" s="22"/>
      <c r="G379" s="22"/>
      <c r="H379" s="22"/>
      <c r="I379" s="25" t="s">
        <v>1635</v>
      </c>
      <c r="J379" s="22"/>
      <c r="K379" s="22" t="s">
        <v>1636</v>
      </c>
      <c r="L379" s="22"/>
      <c r="M379" s="22" t="str">
        <f>HYPERLINK("https://ceds.ed.gov/cedselementdetails.aspx?termid=22847")</f>
        <v>https://ceds.ed.gov/cedselementdetails.aspx?termid=22847</v>
      </c>
    </row>
    <row r="380" spans="1:13" ht="100.8" x14ac:dyDescent="0.3">
      <c r="A380" s="22" t="s">
        <v>1637</v>
      </c>
      <c r="B380" s="22" t="s">
        <v>1638</v>
      </c>
      <c r="C380" s="26" t="s">
        <v>8666</v>
      </c>
      <c r="D380" s="22" t="s">
        <v>1589</v>
      </c>
      <c r="E380" s="22"/>
      <c r="F380" s="22"/>
      <c r="G380" s="22"/>
      <c r="H380" s="22"/>
      <c r="I380" s="25" t="s">
        <v>1639</v>
      </c>
      <c r="J380" s="22"/>
      <c r="K380" s="22" t="s">
        <v>1640</v>
      </c>
      <c r="L380" s="22"/>
      <c r="M380" s="22" t="str">
        <f>HYPERLINK("https://ceds.ed.gov/cedselementdetails.aspx?termid=22772")</f>
        <v>https://ceds.ed.gov/cedselementdetails.aspx?termid=22772</v>
      </c>
    </row>
    <row r="381" spans="1:13" ht="158.4" x14ac:dyDescent="0.3">
      <c r="A381" s="22" t="s">
        <v>1641</v>
      </c>
      <c r="B381" s="22" t="s">
        <v>1642</v>
      </c>
      <c r="C381" s="26" t="s">
        <v>8667</v>
      </c>
      <c r="D381" s="22" t="s">
        <v>1524</v>
      </c>
      <c r="E381" s="22"/>
      <c r="F381" s="22"/>
      <c r="G381" s="22"/>
      <c r="H381" s="22"/>
      <c r="I381" s="25" t="s">
        <v>1643</v>
      </c>
      <c r="J381" s="22"/>
      <c r="K381" s="22" t="s">
        <v>1644</v>
      </c>
      <c r="L381" s="22"/>
      <c r="M381" s="22" t="str">
        <f>HYPERLINK("https://ceds.ed.gov/cedselementdetails.aspx?termid=22836")</f>
        <v>https://ceds.ed.gov/cedselementdetails.aspx?termid=22836</v>
      </c>
    </row>
    <row r="382" spans="1:13" ht="144" x14ac:dyDescent="0.3">
      <c r="A382" s="22" t="s">
        <v>1645</v>
      </c>
      <c r="B382" s="22" t="s">
        <v>1646</v>
      </c>
      <c r="C382" s="26" t="s">
        <v>8668</v>
      </c>
      <c r="D382" s="22" t="s">
        <v>1589</v>
      </c>
      <c r="E382" s="22"/>
      <c r="F382" s="22"/>
      <c r="G382" s="22"/>
      <c r="H382" s="22"/>
      <c r="I382" s="25" t="s">
        <v>1647</v>
      </c>
      <c r="J382" s="22"/>
      <c r="K382" s="22" t="s">
        <v>1648</v>
      </c>
      <c r="L382" s="22"/>
      <c r="M382" s="22" t="str">
        <f>HYPERLINK("https://ceds.ed.gov/cedselementdetails.aspx?termid=22775")</f>
        <v>https://ceds.ed.gov/cedselementdetails.aspx?termid=22775</v>
      </c>
    </row>
    <row r="383" spans="1:13" x14ac:dyDescent="0.3">
      <c r="A383" s="22" t="s">
        <v>1649</v>
      </c>
      <c r="B383" s="22" t="s">
        <v>1650</v>
      </c>
      <c r="C383" s="23" t="s">
        <v>32</v>
      </c>
      <c r="D383" s="22" t="s">
        <v>1626</v>
      </c>
      <c r="E383" s="22"/>
      <c r="F383" s="22" t="s">
        <v>118</v>
      </c>
      <c r="G383" s="22"/>
      <c r="H383" s="22"/>
      <c r="I383" s="25" t="s">
        <v>1651</v>
      </c>
      <c r="J383" s="22"/>
      <c r="K383" s="22" t="s">
        <v>1652</v>
      </c>
      <c r="L383" s="22"/>
      <c r="M383" s="22" t="str">
        <f>HYPERLINK("https://ceds.ed.gov/cedselementdetails.aspx?termid=22861")</f>
        <v>https://ceds.ed.gov/cedselementdetails.aspx?termid=22861</v>
      </c>
    </row>
    <row r="384" spans="1:13" ht="216" x14ac:dyDescent="0.3">
      <c r="A384" s="22" t="s">
        <v>1653</v>
      </c>
      <c r="B384" s="22" t="s">
        <v>1654</v>
      </c>
      <c r="C384" s="26" t="s">
        <v>8669</v>
      </c>
      <c r="D384" s="22" t="s">
        <v>1584</v>
      </c>
      <c r="E384" s="22"/>
      <c r="F384" s="22"/>
      <c r="G384" s="22"/>
      <c r="H384" s="22"/>
      <c r="I384" s="25" t="s">
        <v>1655</v>
      </c>
      <c r="J384" s="22"/>
      <c r="K384" s="22" t="s">
        <v>1656</v>
      </c>
      <c r="L384" s="22"/>
      <c r="M384" s="22" t="str">
        <f>HYPERLINK("https://ceds.ed.gov/cedselementdetails.aspx?termid=22797")</f>
        <v>https://ceds.ed.gov/cedselementdetails.aspx?termid=22797</v>
      </c>
    </row>
    <row r="385" spans="1:13" ht="144" x14ac:dyDescent="0.3">
      <c r="A385" s="22" t="s">
        <v>1657</v>
      </c>
      <c r="B385" s="22" t="s">
        <v>1658</v>
      </c>
      <c r="C385" s="26" t="s">
        <v>8670</v>
      </c>
      <c r="D385" s="22" t="s">
        <v>1589</v>
      </c>
      <c r="E385" s="22"/>
      <c r="F385" s="22"/>
      <c r="G385" s="22"/>
      <c r="H385" s="22"/>
      <c r="I385" s="25" t="s">
        <v>1659</v>
      </c>
      <c r="J385" s="22"/>
      <c r="K385" s="22" t="s">
        <v>1660</v>
      </c>
      <c r="L385" s="22"/>
      <c r="M385" s="22" t="str">
        <f>HYPERLINK("https://ceds.ed.gov/cedselementdetails.aspx?termid=22776")</f>
        <v>https://ceds.ed.gov/cedselementdetails.aspx?termid=22776</v>
      </c>
    </row>
    <row r="386" spans="1:13" ht="158.4" x14ac:dyDescent="0.3">
      <c r="A386" s="22" t="s">
        <v>1661</v>
      </c>
      <c r="B386" s="22" t="s">
        <v>1662</v>
      </c>
      <c r="C386" s="26" t="s">
        <v>8671</v>
      </c>
      <c r="D386" s="22" t="s">
        <v>1626</v>
      </c>
      <c r="E386" s="22"/>
      <c r="F386" s="22"/>
      <c r="G386" s="22"/>
      <c r="H386" s="22"/>
      <c r="I386" s="25" t="s">
        <v>1663</v>
      </c>
      <c r="J386" s="22"/>
      <c r="K386" s="22" t="s">
        <v>1664</v>
      </c>
      <c r="L386" s="22"/>
      <c r="M386" s="22" t="str">
        <f>HYPERLINK("https://ceds.ed.gov/cedselementdetails.aspx?termid=22849")</f>
        <v>https://ceds.ed.gov/cedselementdetails.aspx?termid=22849</v>
      </c>
    </row>
    <row r="387" spans="1:13" x14ac:dyDescent="0.3">
      <c r="A387" s="22" t="s">
        <v>1665</v>
      </c>
      <c r="B387" s="22" t="s">
        <v>1666</v>
      </c>
      <c r="C387" s="23" t="s">
        <v>32</v>
      </c>
      <c r="D387" s="22" t="s">
        <v>1626</v>
      </c>
      <c r="E387" s="22"/>
      <c r="F387" s="22" t="s">
        <v>157</v>
      </c>
      <c r="G387" s="22"/>
      <c r="H387" s="22"/>
      <c r="I387" s="25" t="s">
        <v>1667</v>
      </c>
      <c r="J387" s="22"/>
      <c r="K387" s="22" t="s">
        <v>1668</v>
      </c>
      <c r="L387" s="22"/>
      <c r="M387" s="22" t="str">
        <f>HYPERLINK("https://ceds.ed.gov/cedselementdetails.aspx?termid=22850")</f>
        <v>https://ceds.ed.gov/cedselementdetails.aspx?termid=22850</v>
      </c>
    </row>
    <row r="388" spans="1:13" ht="172.8" x14ac:dyDescent="0.3">
      <c r="A388" s="22" t="s">
        <v>1669</v>
      </c>
      <c r="B388" s="22" t="s">
        <v>1670</v>
      </c>
      <c r="C388" s="26" t="s">
        <v>8672</v>
      </c>
      <c r="D388" s="22" t="s">
        <v>1626</v>
      </c>
      <c r="E388" s="22"/>
      <c r="F388" s="22"/>
      <c r="G388" s="22"/>
      <c r="H388" s="22"/>
      <c r="I388" s="25" t="s">
        <v>1671</v>
      </c>
      <c r="J388" s="22"/>
      <c r="K388" s="22" t="s">
        <v>1672</v>
      </c>
      <c r="L388" s="22"/>
      <c r="M388" s="22" t="str">
        <f>HYPERLINK("https://ceds.ed.gov/cedselementdetails.aspx?termid=22851")</f>
        <v>https://ceds.ed.gov/cedselementdetails.aspx?termid=22851</v>
      </c>
    </row>
    <row r="389" spans="1:13" ht="158.4" x14ac:dyDescent="0.3">
      <c r="A389" s="22" t="s">
        <v>1673</v>
      </c>
      <c r="B389" s="22" t="s">
        <v>1674</v>
      </c>
      <c r="C389" s="26" t="s">
        <v>8673</v>
      </c>
      <c r="D389" s="22" t="s">
        <v>1584</v>
      </c>
      <c r="E389" s="22"/>
      <c r="F389" s="22"/>
      <c r="G389" s="22"/>
      <c r="H389" s="22"/>
      <c r="I389" s="25" t="s">
        <v>1675</v>
      </c>
      <c r="J389" s="22"/>
      <c r="K389" s="22" t="s">
        <v>1676</v>
      </c>
      <c r="L389" s="22"/>
      <c r="M389" s="22" t="str">
        <f>HYPERLINK("https://ceds.ed.gov/cedselementdetails.aspx?termid=22800")</f>
        <v>https://ceds.ed.gov/cedselementdetails.aspx?termid=22800</v>
      </c>
    </row>
    <row r="390" spans="1:13" ht="129.6" x14ac:dyDescent="0.3">
      <c r="A390" s="22" t="s">
        <v>1677</v>
      </c>
      <c r="B390" s="22" t="s">
        <v>1678</v>
      </c>
      <c r="C390" s="26" t="s">
        <v>8674</v>
      </c>
      <c r="D390" s="22" t="s">
        <v>1589</v>
      </c>
      <c r="E390" s="22"/>
      <c r="F390" s="22"/>
      <c r="G390" s="22"/>
      <c r="H390" s="22"/>
      <c r="I390" s="25" t="s">
        <v>1679</v>
      </c>
      <c r="J390" s="22"/>
      <c r="K390" s="22" t="s">
        <v>1680</v>
      </c>
      <c r="L390" s="22"/>
      <c r="M390" s="22" t="str">
        <f>HYPERLINK("https://ceds.ed.gov/cedselementdetails.aspx?termid=22779")</f>
        <v>https://ceds.ed.gov/cedselementdetails.aspx?termid=22779</v>
      </c>
    </row>
    <row r="391" spans="1:13" ht="288" x14ac:dyDescent="0.3">
      <c r="A391" s="22" t="s">
        <v>1681</v>
      </c>
      <c r="B391" s="22" t="s">
        <v>1682</v>
      </c>
      <c r="C391" s="26" t="s">
        <v>8675</v>
      </c>
      <c r="D391" s="22" t="s">
        <v>1584</v>
      </c>
      <c r="E391" s="22"/>
      <c r="F391" s="22"/>
      <c r="G391" s="22"/>
      <c r="H391" s="22"/>
      <c r="I391" s="25" t="s">
        <v>1683</v>
      </c>
      <c r="J391" s="22"/>
      <c r="K391" s="22" t="s">
        <v>1684</v>
      </c>
      <c r="L391" s="22"/>
      <c r="M391" s="22" t="str">
        <f>HYPERLINK("https://ceds.ed.gov/cedselementdetails.aspx?termid=22802")</f>
        <v>https://ceds.ed.gov/cedselementdetails.aspx?termid=22802</v>
      </c>
    </row>
    <row r="392" spans="1:13" ht="72" x14ac:dyDescent="0.3">
      <c r="A392" s="22" t="s">
        <v>1685</v>
      </c>
      <c r="B392" s="22" t="s">
        <v>1686</v>
      </c>
      <c r="C392" s="26" t="s">
        <v>8676</v>
      </c>
      <c r="D392" s="22" t="s">
        <v>1584</v>
      </c>
      <c r="E392" s="22"/>
      <c r="F392" s="22"/>
      <c r="G392" s="22"/>
      <c r="H392" s="22"/>
      <c r="I392" s="25" t="s">
        <v>1687</v>
      </c>
      <c r="J392" s="22"/>
      <c r="K392" s="22" t="s">
        <v>1688</v>
      </c>
      <c r="L392" s="22"/>
      <c r="M392" s="22" t="str">
        <f>HYPERLINK("https://ceds.ed.gov/cedselementdetails.aspx?termid=22824")</f>
        <v>https://ceds.ed.gov/cedselementdetails.aspx?termid=22824</v>
      </c>
    </row>
    <row r="393" spans="1:13" ht="158.4" x14ac:dyDescent="0.3">
      <c r="A393" s="22" t="s">
        <v>1689</v>
      </c>
      <c r="B393" s="22" t="s">
        <v>1690</v>
      </c>
      <c r="C393" s="26" t="s">
        <v>8677</v>
      </c>
      <c r="D393" s="22" t="s">
        <v>1589</v>
      </c>
      <c r="E393" s="22"/>
      <c r="F393" s="22"/>
      <c r="G393" s="22"/>
      <c r="H393" s="22"/>
      <c r="I393" s="25" t="s">
        <v>1691</v>
      </c>
      <c r="J393" s="22"/>
      <c r="K393" s="22" t="s">
        <v>1692</v>
      </c>
      <c r="L393" s="22"/>
      <c r="M393" s="22" t="str">
        <f>HYPERLINK("https://ceds.ed.gov/cedselementdetails.aspx?termid=22780")</f>
        <v>https://ceds.ed.gov/cedselementdetails.aspx?termid=22780</v>
      </c>
    </row>
    <row r="394" spans="1:13" ht="158.4" x14ac:dyDescent="0.3">
      <c r="A394" s="22" t="s">
        <v>1693</v>
      </c>
      <c r="B394" s="22" t="s">
        <v>1694</v>
      </c>
      <c r="C394" s="26" t="s">
        <v>8678</v>
      </c>
      <c r="D394" s="22" t="s">
        <v>1575</v>
      </c>
      <c r="E394" s="22"/>
      <c r="F394" s="22"/>
      <c r="G394" s="22"/>
      <c r="H394" s="22"/>
      <c r="I394" s="25" t="s">
        <v>1695</v>
      </c>
      <c r="J394" s="22"/>
      <c r="K394" s="22" t="s">
        <v>1696</v>
      </c>
      <c r="L394" s="22"/>
      <c r="M394" s="22" t="str">
        <f>HYPERLINK("https://ceds.ed.gov/cedselementdetails.aspx?termid=22753")</f>
        <v>https://ceds.ed.gov/cedselementdetails.aspx?termid=22753</v>
      </c>
    </row>
    <row r="395" spans="1:13" x14ac:dyDescent="0.3">
      <c r="A395" s="22" t="s">
        <v>1697</v>
      </c>
      <c r="B395" s="22" t="s">
        <v>1698</v>
      </c>
      <c r="C395" s="23" t="s">
        <v>32</v>
      </c>
      <c r="D395" s="22" t="s">
        <v>1524</v>
      </c>
      <c r="E395" s="22"/>
      <c r="F395" s="22" t="s">
        <v>1699</v>
      </c>
      <c r="G395" s="22"/>
      <c r="H395" s="22"/>
      <c r="I395" s="25" t="s">
        <v>1700</v>
      </c>
      <c r="J395" s="22"/>
      <c r="K395" s="22" t="s">
        <v>1701</v>
      </c>
      <c r="L395" s="22"/>
      <c r="M395" s="22" t="str">
        <f>HYPERLINK("https://ceds.ed.gov/cedselementdetails.aspx?termid=22837")</f>
        <v>https://ceds.ed.gov/cedselementdetails.aspx?termid=22837</v>
      </c>
    </row>
    <row r="396" spans="1:13" ht="144" x14ac:dyDescent="0.3">
      <c r="A396" s="22" t="s">
        <v>1702</v>
      </c>
      <c r="B396" s="22" t="s">
        <v>1703</v>
      </c>
      <c r="C396" s="26" t="s">
        <v>8679</v>
      </c>
      <c r="D396" s="22" t="s">
        <v>1589</v>
      </c>
      <c r="E396" s="22"/>
      <c r="F396" s="22"/>
      <c r="G396" s="22"/>
      <c r="H396" s="22"/>
      <c r="I396" s="25" t="s">
        <v>1704</v>
      </c>
      <c r="J396" s="22"/>
      <c r="K396" s="22" t="s">
        <v>1705</v>
      </c>
      <c r="L396" s="22"/>
      <c r="M396" s="22" t="str">
        <f>HYPERLINK("https://ceds.ed.gov/cedselementdetails.aspx?termid=22781")</f>
        <v>https://ceds.ed.gov/cedselementdetails.aspx?termid=22781</v>
      </c>
    </row>
    <row r="397" spans="1:13" ht="230.4" x14ac:dyDescent="0.3">
      <c r="A397" s="22" t="s">
        <v>1706</v>
      </c>
      <c r="B397" s="22" t="s">
        <v>1707</v>
      </c>
      <c r="C397" s="26" t="s">
        <v>8680</v>
      </c>
      <c r="D397" s="22" t="s">
        <v>1584</v>
      </c>
      <c r="E397" s="22"/>
      <c r="F397" s="22"/>
      <c r="G397" s="22"/>
      <c r="H397" s="22"/>
      <c r="I397" s="25" t="s">
        <v>1708</v>
      </c>
      <c r="J397" s="22"/>
      <c r="K397" s="22" t="s">
        <v>1709</v>
      </c>
      <c r="L397" s="22"/>
      <c r="M397" s="22" t="str">
        <f>HYPERLINK("https://ceds.ed.gov/cedselementdetails.aspx?termid=22803")</f>
        <v>https://ceds.ed.gov/cedselementdetails.aspx?termid=22803</v>
      </c>
    </row>
    <row r="398" spans="1:13" x14ac:dyDescent="0.3">
      <c r="A398" s="22" t="s">
        <v>1710</v>
      </c>
      <c r="B398" s="22" t="s">
        <v>1711</v>
      </c>
      <c r="C398" s="23" t="s">
        <v>32</v>
      </c>
      <c r="D398" s="22" t="s">
        <v>1589</v>
      </c>
      <c r="E398" s="22"/>
      <c r="F398" s="22" t="s">
        <v>55</v>
      </c>
      <c r="G398" s="22"/>
      <c r="H398" s="22"/>
      <c r="I398" s="25" t="s">
        <v>1712</v>
      </c>
      <c r="J398" s="22"/>
      <c r="K398" s="22" t="s">
        <v>1713</v>
      </c>
      <c r="L398" s="22"/>
      <c r="M398" s="22" t="str">
        <f>HYPERLINK("https://ceds.ed.gov/cedselementdetails.aspx?termid=22782")</f>
        <v>https://ceds.ed.gov/cedselementdetails.aspx?termid=22782</v>
      </c>
    </row>
    <row r="399" spans="1:13" ht="43.2" x14ac:dyDescent="0.3">
      <c r="A399" s="22" t="s">
        <v>1714</v>
      </c>
      <c r="B399" s="22" t="s">
        <v>1715</v>
      </c>
      <c r="C399" s="26" t="s">
        <v>8681</v>
      </c>
      <c r="D399" s="22" t="s">
        <v>1524</v>
      </c>
      <c r="E399" s="22"/>
      <c r="F399" s="22"/>
      <c r="G399" s="22"/>
      <c r="H399" s="22"/>
      <c r="I399" s="25" t="s">
        <v>1716</v>
      </c>
      <c r="J399" s="22"/>
      <c r="K399" s="22" t="s">
        <v>1717</v>
      </c>
      <c r="L399" s="22"/>
      <c r="M399" s="22" t="str">
        <f>HYPERLINK("https://ceds.ed.gov/cedselementdetails.aspx?termid=22832")</f>
        <v>https://ceds.ed.gov/cedselementdetails.aspx?termid=22832</v>
      </c>
    </row>
    <row r="400" spans="1:13" ht="115.2" x14ac:dyDescent="0.3">
      <c r="A400" s="22" t="s">
        <v>1718</v>
      </c>
      <c r="B400" s="22" t="s">
        <v>1719</v>
      </c>
      <c r="C400" s="26" t="s">
        <v>8682</v>
      </c>
      <c r="D400" s="22" t="s">
        <v>1524</v>
      </c>
      <c r="E400" s="22"/>
      <c r="F400" s="22"/>
      <c r="G400" s="22"/>
      <c r="H400" s="22"/>
      <c r="I400" s="25" t="s">
        <v>1720</v>
      </c>
      <c r="J400" s="22"/>
      <c r="K400" s="22" t="s">
        <v>1721</v>
      </c>
      <c r="L400" s="22"/>
      <c r="M400" s="22" t="str">
        <f>HYPERLINK("https://ceds.ed.gov/cedselementdetails.aspx?termid=22833")</f>
        <v>https://ceds.ed.gov/cedselementdetails.aspx?termid=22833</v>
      </c>
    </row>
    <row r="401" spans="1:13" ht="72" x14ac:dyDescent="0.3">
      <c r="A401" s="22" t="s">
        <v>1722</v>
      </c>
      <c r="B401" s="22" t="s">
        <v>1723</v>
      </c>
      <c r="C401" s="26" t="s">
        <v>8683</v>
      </c>
      <c r="D401" s="22" t="s">
        <v>1524</v>
      </c>
      <c r="E401" s="22"/>
      <c r="F401" s="22"/>
      <c r="G401" s="22"/>
      <c r="H401" s="22"/>
      <c r="I401" s="25" t="s">
        <v>1724</v>
      </c>
      <c r="J401" s="22"/>
      <c r="K401" s="22" t="s">
        <v>1725</v>
      </c>
      <c r="L401" s="22"/>
      <c r="M401" s="22" t="str">
        <f>HYPERLINK("https://ceds.ed.gov/cedselementdetails.aspx?termid=22834")</f>
        <v>https://ceds.ed.gov/cedselementdetails.aspx?termid=22834</v>
      </c>
    </row>
    <row r="402" spans="1:13" ht="86.4" x14ac:dyDescent="0.3">
      <c r="A402" s="22" t="s">
        <v>1726</v>
      </c>
      <c r="B402" s="22" t="s">
        <v>1727</v>
      </c>
      <c r="C402" s="26" t="s">
        <v>8684</v>
      </c>
      <c r="D402" s="22" t="s">
        <v>1524</v>
      </c>
      <c r="E402" s="22"/>
      <c r="F402" s="22"/>
      <c r="G402" s="22"/>
      <c r="H402" s="22"/>
      <c r="I402" s="25" t="s">
        <v>1728</v>
      </c>
      <c r="J402" s="22"/>
      <c r="K402" s="22" t="s">
        <v>1729</v>
      </c>
      <c r="L402" s="22"/>
      <c r="M402" s="22" t="str">
        <f>HYPERLINK("https://ceds.ed.gov/cedselementdetails.aspx?termid=22835")</f>
        <v>https://ceds.ed.gov/cedselementdetails.aspx?termid=22835</v>
      </c>
    </row>
    <row r="403" spans="1:13" ht="129.6" x14ac:dyDescent="0.3">
      <c r="A403" s="22" t="s">
        <v>1730</v>
      </c>
      <c r="B403" s="22" t="s">
        <v>1731</v>
      </c>
      <c r="C403" s="26" t="s">
        <v>8685</v>
      </c>
      <c r="D403" s="22" t="s">
        <v>1584</v>
      </c>
      <c r="E403" s="22"/>
      <c r="F403" s="22"/>
      <c r="G403" s="22"/>
      <c r="H403" s="22"/>
      <c r="I403" s="25" t="s">
        <v>1732</v>
      </c>
      <c r="J403" s="22"/>
      <c r="K403" s="22" t="s">
        <v>1733</v>
      </c>
      <c r="L403" s="22"/>
      <c r="M403" s="22" t="str">
        <f>HYPERLINK("https://ceds.ed.gov/cedselementdetails.aspx?termid=22804")</f>
        <v>https://ceds.ed.gov/cedselementdetails.aspx?termid=22804</v>
      </c>
    </row>
    <row r="404" spans="1:13" ht="86.4" x14ac:dyDescent="0.3">
      <c r="A404" s="22" t="s">
        <v>1734</v>
      </c>
      <c r="B404" s="22" t="s">
        <v>1735</v>
      </c>
      <c r="C404" s="26" t="s">
        <v>8686</v>
      </c>
      <c r="D404" s="22" t="s">
        <v>1589</v>
      </c>
      <c r="E404" s="22"/>
      <c r="F404" s="22"/>
      <c r="G404" s="22"/>
      <c r="H404" s="22"/>
      <c r="I404" s="25" t="s">
        <v>1736</v>
      </c>
      <c r="J404" s="22"/>
      <c r="K404" s="22" t="s">
        <v>1737</v>
      </c>
      <c r="L404" s="22"/>
      <c r="M404" s="22" t="str">
        <f>HYPERLINK("https://ceds.ed.gov/cedselementdetails.aspx?termid=22783")</f>
        <v>https://ceds.ed.gov/cedselementdetails.aspx?termid=22783</v>
      </c>
    </row>
    <row r="405" spans="1:13" ht="72" x14ac:dyDescent="0.3">
      <c r="A405" s="22" t="s">
        <v>1738</v>
      </c>
      <c r="B405" s="22" t="s">
        <v>1739</v>
      </c>
      <c r="C405" s="26" t="s">
        <v>8687</v>
      </c>
      <c r="D405" s="22" t="s">
        <v>1589</v>
      </c>
      <c r="E405" s="22"/>
      <c r="F405" s="22"/>
      <c r="G405" s="22"/>
      <c r="H405" s="22"/>
      <c r="I405" s="25" t="s">
        <v>1740</v>
      </c>
      <c r="J405" s="22"/>
      <c r="K405" s="22" t="s">
        <v>1741</v>
      </c>
      <c r="L405" s="22"/>
      <c r="M405" s="22" t="str">
        <f>HYPERLINK("https://ceds.ed.gov/cedselementdetails.aspx?termid=22790")</f>
        <v>https://ceds.ed.gov/cedselementdetails.aspx?termid=22790</v>
      </c>
    </row>
    <row r="406" spans="1:13" x14ac:dyDescent="0.3">
      <c r="A406" s="22" t="s">
        <v>1742</v>
      </c>
      <c r="B406" s="22" t="s">
        <v>1743</v>
      </c>
      <c r="C406" s="23" t="s">
        <v>32</v>
      </c>
      <c r="D406" s="22" t="s">
        <v>1524</v>
      </c>
      <c r="E406" s="22"/>
      <c r="F406" s="22" t="s">
        <v>1518</v>
      </c>
      <c r="G406" s="22"/>
      <c r="H406" s="22"/>
      <c r="I406" s="25" t="s">
        <v>1744</v>
      </c>
      <c r="J406" s="22"/>
      <c r="K406" s="22" t="s">
        <v>1745</v>
      </c>
      <c r="L406" s="22"/>
      <c r="M406" s="22" t="str">
        <f>HYPERLINK("https://ceds.ed.gov/cedselementdetails.aspx?termid=22838")</f>
        <v>https://ceds.ed.gov/cedselementdetails.aspx?termid=22838</v>
      </c>
    </row>
    <row r="407" spans="1:13" x14ac:dyDescent="0.3">
      <c r="A407" s="22" t="s">
        <v>1746</v>
      </c>
      <c r="B407" s="22" t="s">
        <v>1747</v>
      </c>
      <c r="C407" s="23" t="s">
        <v>32</v>
      </c>
      <c r="D407" s="22" t="s">
        <v>1575</v>
      </c>
      <c r="E407" s="22"/>
      <c r="F407" s="22" t="s">
        <v>1699</v>
      </c>
      <c r="G407" s="22"/>
      <c r="H407" s="22"/>
      <c r="I407" s="25" t="s">
        <v>1748</v>
      </c>
      <c r="J407" s="22"/>
      <c r="K407" s="22" t="s">
        <v>1749</v>
      </c>
      <c r="L407" s="22"/>
      <c r="M407" s="22" t="str">
        <f>HYPERLINK("https://ceds.ed.gov/cedselementdetails.aspx?termid=22766")</f>
        <v>https://ceds.ed.gov/cedselementdetails.aspx?termid=22766</v>
      </c>
    </row>
    <row r="408" spans="1:13" x14ac:dyDescent="0.3">
      <c r="A408" s="22" t="s">
        <v>1750</v>
      </c>
      <c r="B408" s="22" t="s">
        <v>1751</v>
      </c>
      <c r="C408" s="23" t="s">
        <v>32</v>
      </c>
      <c r="D408" s="22" t="s">
        <v>1524</v>
      </c>
      <c r="E408" s="22"/>
      <c r="F408" s="22" t="s">
        <v>1699</v>
      </c>
      <c r="G408" s="22"/>
      <c r="H408" s="22"/>
      <c r="I408" s="25" t="s">
        <v>1752</v>
      </c>
      <c r="J408" s="22"/>
      <c r="K408" s="22" t="s">
        <v>1753</v>
      </c>
      <c r="L408" s="22"/>
      <c r="M408" s="22" t="str">
        <f>HYPERLINK("https://ceds.ed.gov/cedselementdetails.aspx?termid=22839")</f>
        <v>https://ceds.ed.gov/cedselementdetails.aspx?termid=22839</v>
      </c>
    </row>
    <row r="409" spans="1:13" ht="244.8" x14ac:dyDescent="0.3">
      <c r="A409" s="22" t="s">
        <v>1754</v>
      </c>
      <c r="B409" s="22" t="s">
        <v>1755</v>
      </c>
      <c r="C409" s="26" t="s">
        <v>8688</v>
      </c>
      <c r="D409" s="22" t="s">
        <v>1584</v>
      </c>
      <c r="E409" s="22"/>
      <c r="F409" s="22"/>
      <c r="G409" s="22"/>
      <c r="H409" s="22"/>
      <c r="I409" s="25" t="s">
        <v>1756</v>
      </c>
      <c r="J409" s="22"/>
      <c r="K409" s="22" t="s">
        <v>1757</v>
      </c>
      <c r="L409" s="22"/>
      <c r="M409" s="22" t="str">
        <f>HYPERLINK("https://ceds.ed.gov/cedselementdetails.aspx?termid=22805")</f>
        <v>https://ceds.ed.gov/cedselementdetails.aspx?termid=22805</v>
      </c>
    </row>
    <row r="410" spans="1:13" ht="216" x14ac:dyDescent="0.3">
      <c r="A410" s="22" t="s">
        <v>1758</v>
      </c>
      <c r="B410" s="22" t="s">
        <v>1759</v>
      </c>
      <c r="C410" s="26" t="s">
        <v>8689</v>
      </c>
      <c r="D410" s="22" t="s">
        <v>1584</v>
      </c>
      <c r="E410" s="22"/>
      <c r="F410" s="22"/>
      <c r="G410" s="22"/>
      <c r="H410" s="22"/>
      <c r="I410" s="25" t="s">
        <v>1760</v>
      </c>
      <c r="J410" s="22"/>
      <c r="K410" s="22" t="s">
        <v>1761</v>
      </c>
      <c r="L410" s="22"/>
      <c r="M410" s="22" t="str">
        <f>HYPERLINK("https://ceds.ed.gov/cedselementdetails.aspx?termid=22806")</f>
        <v>https://ceds.ed.gov/cedselementdetails.aspx?termid=22806</v>
      </c>
    </row>
    <row r="411" spans="1:13" ht="129.6" x14ac:dyDescent="0.3">
      <c r="A411" s="22" t="s">
        <v>1762</v>
      </c>
      <c r="B411" s="22" t="s">
        <v>1763</v>
      </c>
      <c r="C411" s="26" t="s">
        <v>8690</v>
      </c>
      <c r="D411" s="22" t="s">
        <v>1584</v>
      </c>
      <c r="E411" s="22"/>
      <c r="F411" s="22"/>
      <c r="G411" s="22"/>
      <c r="H411" s="22"/>
      <c r="I411" s="25" t="s">
        <v>1764</v>
      </c>
      <c r="J411" s="22"/>
      <c r="K411" s="22" t="s">
        <v>1765</v>
      </c>
      <c r="L411" s="22"/>
      <c r="M411" s="22" t="str">
        <f>HYPERLINK("https://ceds.ed.gov/cedselementdetails.aspx?termid=22807")</f>
        <v>https://ceds.ed.gov/cedselementdetails.aspx?termid=22807</v>
      </c>
    </row>
    <row r="412" spans="1:13" ht="273.60000000000002" x14ac:dyDescent="0.3">
      <c r="A412" s="22" t="s">
        <v>1766</v>
      </c>
      <c r="B412" s="22" t="s">
        <v>1767</v>
      </c>
      <c r="C412" s="26" t="s">
        <v>8691</v>
      </c>
      <c r="D412" s="22" t="s">
        <v>1584</v>
      </c>
      <c r="E412" s="22"/>
      <c r="F412" s="22"/>
      <c r="G412" s="22"/>
      <c r="H412" s="22"/>
      <c r="I412" s="25" t="s">
        <v>1768</v>
      </c>
      <c r="J412" s="22"/>
      <c r="K412" s="22" t="s">
        <v>1769</v>
      </c>
      <c r="L412" s="22"/>
      <c r="M412" s="22" t="str">
        <f>HYPERLINK("https://ceds.ed.gov/cedselementdetails.aspx?termid=22808")</f>
        <v>https://ceds.ed.gov/cedselementdetails.aspx?termid=22808</v>
      </c>
    </row>
    <row r="413" spans="1:13" ht="230.4" x14ac:dyDescent="0.3">
      <c r="A413" s="22" t="s">
        <v>1770</v>
      </c>
      <c r="B413" s="22" t="s">
        <v>1771</v>
      </c>
      <c r="C413" s="26" t="s">
        <v>8692</v>
      </c>
      <c r="D413" s="22" t="s">
        <v>1589</v>
      </c>
      <c r="E413" s="22"/>
      <c r="F413" s="22"/>
      <c r="G413" s="22"/>
      <c r="H413" s="22"/>
      <c r="I413" s="25" t="s">
        <v>1772</v>
      </c>
      <c r="J413" s="22"/>
      <c r="K413" s="22" t="s">
        <v>1773</v>
      </c>
      <c r="L413" s="22"/>
      <c r="M413" s="22" t="str">
        <f>HYPERLINK("https://ceds.ed.gov/cedselementdetails.aspx?termid=22784")</f>
        <v>https://ceds.ed.gov/cedselementdetails.aspx?termid=22784</v>
      </c>
    </row>
    <row r="414" spans="1:13" ht="86.4" x14ac:dyDescent="0.3">
      <c r="A414" s="22" t="s">
        <v>1774</v>
      </c>
      <c r="B414" s="22" t="s">
        <v>1775</v>
      </c>
      <c r="C414" s="26" t="s">
        <v>8693</v>
      </c>
      <c r="D414" s="22" t="s">
        <v>1575</v>
      </c>
      <c r="E414" s="22"/>
      <c r="F414" s="22"/>
      <c r="G414" s="22"/>
      <c r="H414" s="22"/>
      <c r="I414" s="25" t="s">
        <v>1776</v>
      </c>
      <c r="J414" s="22"/>
      <c r="K414" s="22" t="s">
        <v>1777</v>
      </c>
      <c r="L414" s="22"/>
      <c r="M414" s="22" t="str">
        <f>HYPERLINK("https://ceds.ed.gov/cedselementdetails.aspx?termid=22758")</f>
        <v>https://ceds.ed.gov/cedselementdetails.aspx?termid=22758</v>
      </c>
    </row>
    <row r="415" spans="1:13" x14ac:dyDescent="0.3">
      <c r="A415" s="22" t="s">
        <v>1778</v>
      </c>
      <c r="B415" s="22" t="s">
        <v>1779</v>
      </c>
      <c r="C415" s="23" t="s">
        <v>32</v>
      </c>
      <c r="D415" s="22" t="s">
        <v>1524</v>
      </c>
      <c r="E415" s="22"/>
      <c r="F415" s="22" t="s">
        <v>55</v>
      </c>
      <c r="G415" s="22"/>
      <c r="H415" s="22"/>
      <c r="I415" s="25" t="s">
        <v>1780</v>
      </c>
      <c r="J415" s="22"/>
      <c r="K415" s="22" t="s">
        <v>1781</v>
      </c>
      <c r="L415" s="22"/>
      <c r="M415" s="22" t="str">
        <f>HYPERLINK("https://ceds.ed.gov/cedselementdetails.aspx?termid=22840")</f>
        <v>https://ceds.ed.gov/cedselementdetails.aspx?termid=22840</v>
      </c>
    </row>
    <row r="416" spans="1:13" ht="244.8" x14ac:dyDescent="0.3">
      <c r="A416" s="22" t="s">
        <v>1782</v>
      </c>
      <c r="B416" s="22" t="s">
        <v>1783</v>
      </c>
      <c r="C416" s="26" t="s">
        <v>8694</v>
      </c>
      <c r="D416" s="22" t="s">
        <v>1584</v>
      </c>
      <c r="E416" s="22"/>
      <c r="F416" s="22"/>
      <c r="G416" s="22"/>
      <c r="H416" s="22"/>
      <c r="I416" s="25" t="s">
        <v>1784</v>
      </c>
      <c r="J416" s="22"/>
      <c r="K416" s="22" t="s">
        <v>1785</v>
      </c>
      <c r="L416" s="22"/>
      <c r="M416" s="22" t="str">
        <f>HYPERLINK("https://ceds.ed.gov/cedselementdetails.aspx?termid=22809")</f>
        <v>https://ceds.ed.gov/cedselementdetails.aspx?termid=22809</v>
      </c>
    </row>
    <row r="417" spans="1:13" ht="187.2" x14ac:dyDescent="0.3">
      <c r="A417" s="22" t="s">
        <v>1786</v>
      </c>
      <c r="B417" s="22" t="s">
        <v>1787</v>
      </c>
      <c r="C417" s="26" t="s">
        <v>8695</v>
      </c>
      <c r="D417" s="22" t="s">
        <v>1584</v>
      </c>
      <c r="E417" s="22"/>
      <c r="F417" s="22"/>
      <c r="G417" s="22"/>
      <c r="H417" s="22"/>
      <c r="I417" s="25" t="s">
        <v>1788</v>
      </c>
      <c r="J417" s="22"/>
      <c r="K417" s="22" t="s">
        <v>1789</v>
      </c>
      <c r="L417" s="22"/>
      <c r="M417" s="22" t="str">
        <f>HYPERLINK("https://ceds.ed.gov/cedselementdetails.aspx?termid=22810")</f>
        <v>https://ceds.ed.gov/cedselementdetails.aspx?termid=22810</v>
      </c>
    </row>
    <row r="418" spans="1:13" ht="100.8" x14ac:dyDescent="0.3">
      <c r="A418" s="22" t="s">
        <v>1790</v>
      </c>
      <c r="B418" s="22" t="s">
        <v>1791</v>
      </c>
      <c r="C418" s="26" t="s">
        <v>8696</v>
      </c>
      <c r="D418" s="22" t="s">
        <v>1589</v>
      </c>
      <c r="E418" s="22"/>
      <c r="F418" s="22"/>
      <c r="G418" s="22"/>
      <c r="H418" s="22"/>
      <c r="I418" s="25" t="s">
        <v>1792</v>
      </c>
      <c r="J418" s="22"/>
      <c r="K418" s="22" t="s">
        <v>1793</v>
      </c>
      <c r="L418" s="22"/>
      <c r="M418" s="22" t="str">
        <f>HYPERLINK("https://ceds.ed.gov/cedselementdetails.aspx?termid=22785")</f>
        <v>https://ceds.ed.gov/cedselementdetails.aspx?termid=22785</v>
      </c>
    </row>
    <row r="419" spans="1:13" x14ac:dyDescent="0.3">
      <c r="A419" s="22" t="s">
        <v>1794</v>
      </c>
      <c r="B419" s="22" t="s">
        <v>1795</v>
      </c>
      <c r="C419" s="23" t="s">
        <v>32</v>
      </c>
      <c r="D419" s="22" t="s">
        <v>1584</v>
      </c>
      <c r="E419" s="22"/>
      <c r="F419" s="22" t="s">
        <v>55</v>
      </c>
      <c r="G419" s="22"/>
      <c r="H419" s="22"/>
      <c r="I419" s="25" t="s">
        <v>1796</v>
      </c>
      <c r="J419" s="22"/>
      <c r="K419" s="22" t="s">
        <v>1797</v>
      </c>
      <c r="L419" s="22"/>
      <c r="M419" s="22" t="str">
        <f>HYPERLINK("https://ceds.ed.gov/cedselementdetails.aspx?termid=22831")</f>
        <v>https://ceds.ed.gov/cedselementdetails.aspx?termid=22831</v>
      </c>
    </row>
    <row r="420" spans="1:13" ht="216" x14ac:dyDescent="0.3">
      <c r="A420" s="22" t="s">
        <v>1798</v>
      </c>
      <c r="B420" s="22" t="s">
        <v>1799</v>
      </c>
      <c r="C420" s="23" t="s">
        <v>32</v>
      </c>
      <c r="D420" s="24" t="s">
        <v>8409</v>
      </c>
      <c r="E420" s="22" t="s">
        <v>172</v>
      </c>
      <c r="F420" s="22" t="s">
        <v>157</v>
      </c>
      <c r="G420" s="22" t="s">
        <v>7946</v>
      </c>
      <c r="H420" s="22"/>
      <c r="I420" s="25" t="s">
        <v>1800</v>
      </c>
      <c r="J420" s="22"/>
      <c r="K420" s="22" t="s">
        <v>1801</v>
      </c>
      <c r="L420" s="22"/>
      <c r="M420" s="22" t="str">
        <f>HYPERLINK("https://ceds.ed.gov/cedselementdetails.aspx?termid=21595")</f>
        <v>https://ceds.ed.gov/cedselementdetails.aspx?termid=21595</v>
      </c>
    </row>
    <row r="421" spans="1:13" ht="115.2" x14ac:dyDescent="0.3">
      <c r="A421" s="22" t="s">
        <v>1802</v>
      </c>
      <c r="B421" s="22" t="s">
        <v>1803</v>
      </c>
      <c r="C421" s="26" t="s">
        <v>8697</v>
      </c>
      <c r="D421" s="22" t="s">
        <v>1524</v>
      </c>
      <c r="E421" s="22"/>
      <c r="F421" s="22"/>
      <c r="G421" s="22"/>
      <c r="H421" s="22"/>
      <c r="I421" s="25" t="s">
        <v>1804</v>
      </c>
      <c r="J421" s="22"/>
      <c r="K421" s="22" t="s">
        <v>1805</v>
      </c>
      <c r="L421" s="22"/>
      <c r="M421" s="22" t="str">
        <f>HYPERLINK("https://ceds.ed.gov/cedselementdetails.aspx?termid=22841")</f>
        <v>https://ceds.ed.gov/cedselementdetails.aspx?termid=22841</v>
      </c>
    </row>
    <row r="422" spans="1:13" ht="244.8" x14ac:dyDescent="0.3">
      <c r="A422" s="22" t="s">
        <v>1806</v>
      </c>
      <c r="B422" s="22" t="s">
        <v>1807</v>
      </c>
      <c r="C422" s="26" t="s">
        <v>8698</v>
      </c>
      <c r="D422" s="22" t="s">
        <v>1584</v>
      </c>
      <c r="E422" s="22"/>
      <c r="F422" s="22"/>
      <c r="G422" s="22"/>
      <c r="H422" s="22"/>
      <c r="I422" s="25" t="s">
        <v>1808</v>
      </c>
      <c r="J422" s="22"/>
      <c r="K422" s="22" t="s">
        <v>1809</v>
      </c>
      <c r="L422" s="22"/>
      <c r="M422" s="22" t="str">
        <f>HYPERLINK("https://ceds.ed.gov/cedselementdetails.aspx?termid=22812")</f>
        <v>https://ceds.ed.gov/cedselementdetails.aspx?termid=22812</v>
      </c>
    </row>
    <row r="423" spans="1:13" x14ac:dyDescent="0.3">
      <c r="A423" s="22" t="s">
        <v>1810</v>
      </c>
      <c r="B423" s="22" t="s">
        <v>1811</v>
      </c>
      <c r="C423" s="23" t="s">
        <v>32</v>
      </c>
      <c r="D423" s="22" t="s">
        <v>1524</v>
      </c>
      <c r="E423" s="22"/>
      <c r="F423" s="22" t="s">
        <v>1518</v>
      </c>
      <c r="G423" s="22"/>
      <c r="H423" s="22"/>
      <c r="I423" s="25" t="s">
        <v>1812</v>
      </c>
      <c r="J423" s="22"/>
      <c r="K423" s="22" t="s">
        <v>1813</v>
      </c>
      <c r="L423" s="22"/>
      <c r="M423" s="22" t="str">
        <f>HYPERLINK("https://ceds.ed.gov/cedselementdetails.aspx?termid=22842")</f>
        <v>https://ceds.ed.gov/cedselementdetails.aspx?termid=22842</v>
      </c>
    </row>
    <row r="424" spans="1:13" ht="129.6" x14ac:dyDescent="0.3">
      <c r="A424" s="22" t="s">
        <v>1814</v>
      </c>
      <c r="B424" s="22" t="s">
        <v>1815</v>
      </c>
      <c r="C424" s="26" t="s">
        <v>8699</v>
      </c>
      <c r="D424" s="22" t="s">
        <v>1584</v>
      </c>
      <c r="E424" s="22"/>
      <c r="F424" s="22"/>
      <c r="G424" s="22"/>
      <c r="H424" s="22"/>
      <c r="I424" s="25" t="s">
        <v>1816</v>
      </c>
      <c r="J424" s="22"/>
      <c r="K424" s="22" t="s">
        <v>1817</v>
      </c>
      <c r="L424" s="22"/>
      <c r="M424" s="22" t="str">
        <f>HYPERLINK("https://ceds.ed.gov/cedselementdetails.aspx?termid=22813")</f>
        <v>https://ceds.ed.gov/cedselementdetails.aspx?termid=22813</v>
      </c>
    </row>
    <row r="425" spans="1:13" ht="158.4" x14ac:dyDescent="0.3">
      <c r="A425" s="22" t="s">
        <v>1818</v>
      </c>
      <c r="B425" s="22" t="s">
        <v>1819</v>
      </c>
      <c r="C425" s="26" t="s">
        <v>8700</v>
      </c>
      <c r="D425" s="22" t="s">
        <v>1584</v>
      </c>
      <c r="E425" s="22"/>
      <c r="F425" s="22"/>
      <c r="G425" s="22"/>
      <c r="H425" s="22"/>
      <c r="I425" s="25" t="s">
        <v>1820</v>
      </c>
      <c r="J425" s="22"/>
      <c r="K425" s="22" t="s">
        <v>1821</v>
      </c>
      <c r="L425" s="22"/>
      <c r="M425" s="22" t="str">
        <f>HYPERLINK("https://ceds.ed.gov/cedselementdetails.aspx?termid=22814")</f>
        <v>https://ceds.ed.gov/cedselementdetails.aspx?termid=22814</v>
      </c>
    </row>
    <row r="426" spans="1:13" ht="172.8" x14ac:dyDescent="0.3">
      <c r="A426" s="22" t="s">
        <v>1822</v>
      </c>
      <c r="B426" s="22" t="s">
        <v>1823</v>
      </c>
      <c r="C426" s="26" t="s">
        <v>8701</v>
      </c>
      <c r="D426" s="22" t="s">
        <v>1589</v>
      </c>
      <c r="E426" s="22"/>
      <c r="F426" s="22"/>
      <c r="G426" s="22"/>
      <c r="H426" s="22"/>
      <c r="I426" s="25" t="s">
        <v>1824</v>
      </c>
      <c r="J426" s="22"/>
      <c r="K426" s="22" t="s">
        <v>1825</v>
      </c>
      <c r="L426" s="22"/>
      <c r="M426" s="22" t="str">
        <f>HYPERLINK("https://ceds.ed.gov/cedselementdetails.aspx?termid=22792")</f>
        <v>https://ceds.ed.gov/cedselementdetails.aspx?termid=22792</v>
      </c>
    </row>
    <row r="427" spans="1:13" ht="100.8" x14ac:dyDescent="0.3">
      <c r="A427" s="22" t="s">
        <v>1826</v>
      </c>
      <c r="B427" s="22" t="s">
        <v>1827</v>
      </c>
      <c r="C427" s="26" t="s">
        <v>8702</v>
      </c>
      <c r="D427" s="22" t="s">
        <v>1589</v>
      </c>
      <c r="E427" s="22"/>
      <c r="F427" s="22"/>
      <c r="G427" s="22"/>
      <c r="H427" s="22"/>
      <c r="I427" s="25" t="s">
        <v>1828</v>
      </c>
      <c r="J427" s="22"/>
      <c r="K427" s="22" t="s">
        <v>1829</v>
      </c>
      <c r="L427" s="22"/>
      <c r="M427" s="22" t="str">
        <f>HYPERLINK("https://ceds.ed.gov/cedselementdetails.aspx?termid=22788")</f>
        <v>https://ceds.ed.gov/cedselementdetails.aspx?termid=22788</v>
      </c>
    </row>
    <row r="428" spans="1:13" ht="43.2" x14ac:dyDescent="0.3">
      <c r="A428" s="22" t="s">
        <v>1830</v>
      </c>
      <c r="B428" s="22" t="s">
        <v>1831</v>
      </c>
      <c r="C428" s="26" t="s">
        <v>22</v>
      </c>
      <c r="D428" s="22" t="s">
        <v>1524</v>
      </c>
      <c r="E428" s="22"/>
      <c r="F428" s="22"/>
      <c r="G428" s="22"/>
      <c r="H428" s="22"/>
      <c r="I428" s="25" t="s">
        <v>1832</v>
      </c>
      <c r="J428" s="22"/>
      <c r="K428" s="22" t="s">
        <v>1833</v>
      </c>
      <c r="L428" s="22"/>
      <c r="M428" s="22" t="str">
        <f>HYPERLINK("https://ceds.ed.gov/cedselementdetails.aspx?termid=22844")</f>
        <v>https://ceds.ed.gov/cedselementdetails.aspx?termid=22844</v>
      </c>
    </row>
    <row r="429" spans="1:13" ht="331.2" x14ac:dyDescent="0.3">
      <c r="A429" s="22" t="s">
        <v>1834</v>
      </c>
      <c r="B429" s="22" t="s">
        <v>1835</v>
      </c>
      <c r="C429" s="26" t="s">
        <v>8703</v>
      </c>
      <c r="D429" s="22" t="s">
        <v>1524</v>
      </c>
      <c r="E429" s="22"/>
      <c r="F429" s="22"/>
      <c r="G429" s="22"/>
      <c r="H429" s="22"/>
      <c r="I429" s="25" t="s">
        <v>1836</v>
      </c>
      <c r="J429" s="22"/>
      <c r="K429" s="22" t="s">
        <v>1837</v>
      </c>
      <c r="L429" s="22"/>
      <c r="M429" s="22" t="str">
        <f>HYPERLINK("https://ceds.ed.gov/cedselementdetails.aspx?termid=22173")</f>
        <v>https://ceds.ed.gov/cedselementdetails.aspx?termid=22173</v>
      </c>
    </row>
    <row r="430" spans="1:13" ht="72" x14ac:dyDescent="0.3">
      <c r="A430" s="22" t="s">
        <v>1838</v>
      </c>
      <c r="B430" s="22" t="s">
        <v>1839</v>
      </c>
      <c r="C430" s="26" t="s">
        <v>8704</v>
      </c>
      <c r="D430" s="22" t="s">
        <v>1589</v>
      </c>
      <c r="E430" s="22"/>
      <c r="F430" s="22"/>
      <c r="G430" s="22"/>
      <c r="H430" s="22"/>
      <c r="I430" s="25" t="s">
        <v>1840</v>
      </c>
      <c r="J430" s="22"/>
      <c r="K430" s="22" t="s">
        <v>1841</v>
      </c>
      <c r="L430" s="22"/>
      <c r="M430" s="22" t="str">
        <f>HYPERLINK("https://ceds.ed.gov/cedselementdetails.aspx?termid=22793")</f>
        <v>https://ceds.ed.gov/cedselementdetails.aspx?termid=22793</v>
      </c>
    </row>
    <row r="431" spans="1:13" x14ac:dyDescent="0.3">
      <c r="A431" s="22" t="s">
        <v>1842</v>
      </c>
      <c r="B431" s="22" t="s">
        <v>1843</v>
      </c>
      <c r="C431" s="23" t="s">
        <v>32</v>
      </c>
      <c r="D431" s="22" t="s">
        <v>1575</v>
      </c>
      <c r="E431" s="22"/>
      <c r="F431" s="22" t="s">
        <v>1844</v>
      </c>
      <c r="G431" s="22"/>
      <c r="H431" s="22"/>
      <c r="I431" s="25" t="s">
        <v>1845</v>
      </c>
      <c r="J431" s="22"/>
      <c r="K431" s="22" t="s">
        <v>1846</v>
      </c>
      <c r="L431" s="22"/>
      <c r="M431" s="22" t="str">
        <f>HYPERLINK("https://ceds.ed.gov/cedselementdetails.aspx?termid=22769")</f>
        <v>https://ceds.ed.gov/cedselementdetails.aspx?termid=22769</v>
      </c>
    </row>
    <row r="432" spans="1:13" x14ac:dyDescent="0.3">
      <c r="A432" s="22" t="s">
        <v>1847</v>
      </c>
      <c r="B432" s="22" t="s">
        <v>1848</v>
      </c>
      <c r="C432" s="23" t="s">
        <v>32</v>
      </c>
      <c r="D432" s="22" t="s">
        <v>1575</v>
      </c>
      <c r="E432" s="22"/>
      <c r="F432" s="22" t="s">
        <v>1844</v>
      </c>
      <c r="G432" s="22"/>
      <c r="H432" s="22"/>
      <c r="I432" s="25" t="s">
        <v>1849</v>
      </c>
      <c r="J432" s="22"/>
      <c r="K432" s="22" t="s">
        <v>1850</v>
      </c>
      <c r="L432" s="22"/>
      <c r="M432" s="22" t="str">
        <f>HYPERLINK("https://ceds.ed.gov/cedselementdetails.aspx?termid=22770")</f>
        <v>https://ceds.ed.gov/cedselementdetails.aspx?termid=22770</v>
      </c>
    </row>
    <row r="433" spans="1:13" x14ac:dyDescent="0.3">
      <c r="A433" s="22" t="s">
        <v>1851</v>
      </c>
      <c r="B433" s="22" t="s">
        <v>1852</v>
      </c>
      <c r="C433" s="23" t="s">
        <v>32</v>
      </c>
      <c r="D433" s="22" t="s">
        <v>347</v>
      </c>
      <c r="E433" s="22"/>
      <c r="F433" s="22" t="s">
        <v>85</v>
      </c>
      <c r="G433" s="22"/>
      <c r="H433" s="22"/>
      <c r="I433" s="25" t="s">
        <v>1853</v>
      </c>
      <c r="J433" s="22"/>
      <c r="K433" s="22" t="s">
        <v>1854</v>
      </c>
      <c r="L433" s="22"/>
      <c r="M433" s="22" t="str">
        <f>HYPERLINK("https://ceds.ed.gov/cedselementdetails.aspx?termid=21485")</f>
        <v>https://ceds.ed.gov/cedselementdetails.aspx?termid=21485</v>
      </c>
    </row>
    <row r="434" spans="1:13" x14ac:dyDescent="0.3">
      <c r="A434" s="22" t="s">
        <v>1855</v>
      </c>
      <c r="B434" s="22" t="s">
        <v>1856</v>
      </c>
      <c r="C434" s="23" t="s">
        <v>32</v>
      </c>
      <c r="D434" s="22" t="s">
        <v>347</v>
      </c>
      <c r="E434" s="22"/>
      <c r="F434" s="22" t="s">
        <v>157</v>
      </c>
      <c r="G434" s="22"/>
      <c r="H434" s="22"/>
      <c r="I434" s="25" t="s">
        <v>1857</v>
      </c>
      <c r="J434" s="22"/>
      <c r="K434" s="22" t="s">
        <v>1858</v>
      </c>
      <c r="L434" s="22"/>
      <c r="M434" s="22" t="str">
        <f>HYPERLINK("https://ceds.ed.gov/cedselementdetails.aspx?termid=21486")</f>
        <v>https://ceds.ed.gov/cedselementdetails.aspx?termid=21486</v>
      </c>
    </row>
    <row r="435" spans="1:13" x14ac:dyDescent="0.3">
      <c r="A435" s="22" t="s">
        <v>1859</v>
      </c>
      <c r="B435" s="22" t="s">
        <v>1860</v>
      </c>
      <c r="C435" s="23" t="s">
        <v>32</v>
      </c>
      <c r="D435" s="22" t="s">
        <v>1861</v>
      </c>
      <c r="E435" s="22"/>
      <c r="F435" s="22" t="s">
        <v>118</v>
      </c>
      <c r="G435" s="22"/>
      <c r="H435" s="22"/>
      <c r="I435" s="25" t="s">
        <v>1862</v>
      </c>
      <c r="J435" s="22"/>
      <c r="K435" s="22" t="s">
        <v>1863</v>
      </c>
      <c r="L435" s="22"/>
      <c r="M435" s="22" t="str">
        <f>HYPERLINK("https://ceds.ed.gov/cedselementdetails.aspx?termid=22241")</f>
        <v>https://ceds.ed.gov/cedselementdetails.aspx?termid=22241</v>
      </c>
    </row>
    <row r="436" spans="1:13" x14ac:dyDescent="0.3">
      <c r="A436" s="22" t="s">
        <v>1864</v>
      </c>
      <c r="B436" s="22" t="s">
        <v>1865</v>
      </c>
      <c r="C436" s="23" t="s">
        <v>32</v>
      </c>
      <c r="D436" s="22" t="s">
        <v>1861</v>
      </c>
      <c r="E436" s="22"/>
      <c r="F436" s="22" t="s">
        <v>85</v>
      </c>
      <c r="G436" s="22"/>
      <c r="H436" s="22"/>
      <c r="I436" s="25" t="s">
        <v>1866</v>
      </c>
      <c r="J436" s="22"/>
      <c r="K436" s="22" t="s">
        <v>1867</v>
      </c>
      <c r="L436" s="22"/>
      <c r="M436" s="22" t="str">
        <f>HYPERLINK("https://ceds.ed.gov/cedselementdetails.aspx?termid=22242")</f>
        <v>https://ceds.ed.gov/cedselementdetails.aspx?termid=22242</v>
      </c>
    </row>
    <row r="437" spans="1:13" ht="129.6" x14ac:dyDescent="0.3">
      <c r="A437" s="22" t="s">
        <v>1868</v>
      </c>
      <c r="B437" s="22" t="s">
        <v>1869</v>
      </c>
      <c r="C437" s="26" t="s">
        <v>8705</v>
      </c>
      <c r="D437" s="22" t="s">
        <v>1861</v>
      </c>
      <c r="E437" s="22"/>
      <c r="F437" s="22"/>
      <c r="G437" s="22"/>
      <c r="H437" s="22"/>
      <c r="I437" s="25" t="s">
        <v>1870</v>
      </c>
      <c r="J437" s="22"/>
      <c r="K437" s="22" t="s">
        <v>1871</v>
      </c>
      <c r="L437" s="22"/>
      <c r="M437" s="22" t="str">
        <f>HYPERLINK("https://ceds.ed.gov/cedselementdetails.aspx?termid=21596")</f>
        <v>https://ceds.ed.gov/cedselementdetails.aspx?termid=21596</v>
      </c>
    </row>
    <row r="438" spans="1:13" ht="86.4" x14ac:dyDescent="0.3">
      <c r="A438" s="22" t="s">
        <v>7446</v>
      </c>
      <c r="B438" s="22" t="s">
        <v>1881</v>
      </c>
      <c r="C438" s="26" t="s">
        <v>8706</v>
      </c>
      <c r="D438" s="22" t="s">
        <v>1575</v>
      </c>
      <c r="E438" s="22"/>
      <c r="F438" s="22"/>
      <c r="G438" s="22"/>
      <c r="H438" s="22"/>
      <c r="I438" s="25" t="s">
        <v>1882</v>
      </c>
      <c r="J438" s="22"/>
      <c r="K438" s="22" t="s">
        <v>1883</v>
      </c>
      <c r="L438" s="22"/>
      <c r="M438" s="22" t="str">
        <f>HYPERLINK("https://ceds.ed.gov/cedselementdetails.aspx?termid=22878")</f>
        <v>https://ceds.ed.gov/cedselementdetails.aspx?termid=22878</v>
      </c>
    </row>
    <row r="439" spans="1:13" ht="100.8" x14ac:dyDescent="0.3">
      <c r="A439" s="22" t="s">
        <v>1872</v>
      </c>
      <c r="B439" s="22" t="s">
        <v>1873</v>
      </c>
      <c r="C439" s="26" t="s">
        <v>8707</v>
      </c>
      <c r="D439" s="22" t="s">
        <v>1874</v>
      </c>
      <c r="E439" s="22"/>
      <c r="F439" s="22"/>
      <c r="G439" s="22"/>
      <c r="H439" s="22"/>
      <c r="I439" s="25" t="s">
        <v>1875</v>
      </c>
      <c r="J439" s="22"/>
      <c r="K439" s="22" t="s">
        <v>1876</v>
      </c>
      <c r="L439" s="22" t="s">
        <v>242</v>
      </c>
      <c r="M439" s="22" t="str">
        <f>HYPERLINK("https://ceds.ed.gov/cedselementdetails.aspx?termid=21035")</f>
        <v>https://ceds.ed.gov/cedselementdetails.aspx?termid=21035</v>
      </c>
    </row>
    <row r="440" spans="1:13" ht="86.4" x14ac:dyDescent="0.3">
      <c r="A440" s="22" t="s">
        <v>1877</v>
      </c>
      <c r="B440" s="22" t="s">
        <v>1878</v>
      </c>
      <c r="C440" s="26" t="s">
        <v>8708</v>
      </c>
      <c r="D440" s="22" t="s">
        <v>1575</v>
      </c>
      <c r="E440" s="22"/>
      <c r="F440" s="22"/>
      <c r="G440" s="22"/>
      <c r="H440" s="22"/>
      <c r="I440" s="25" t="s">
        <v>1879</v>
      </c>
      <c r="J440" s="22"/>
      <c r="K440" s="22" t="s">
        <v>1880</v>
      </c>
      <c r="L440" s="22"/>
      <c r="M440" s="22" t="str">
        <f>HYPERLINK("https://ceds.ed.gov/cedselementdetails.aspx?termid=22759")</f>
        <v>https://ceds.ed.gov/cedselementdetails.aspx?termid=22759</v>
      </c>
    </row>
    <row r="441" spans="1:13" x14ac:dyDescent="0.3">
      <c r="A441" s="22" t="s">
        <v>1884</v>
      </c>
      <c r="B441" s="22" t="s">
        <v>1885</v>
      </c>
      <c r="C441" s="23" t="s">
        <v>32</v>
      </c>
      <c r="D441" s="22" t="s">
        <v>8033</v>
      </c>
      <c r="E441" s="22"/>
      <c r="F441" s="22" t="s">
        <v>118</v>
      </c>
      <c r="G441" s="22"/>
      <c r="H441" s="22"/>
      <c r="I441" s="25" t="s">
        <v>1886</v>
      </c>
      <c r="J441" s="22" t="s">
        <v>1887</v>
      </c>
      <c r="K441" s="22" t="s">
        <v>1888</v>
      </c>
      <c r="L441" s="22" t="s">
        <v>207</v>
      </c>
      <c r="M441" s="22" t="str">
        <f>HYPERLINK("https://ceds.ed.gov/cedselementdetails.aspx?termid=22065")</f>
        <v>https://ceds.ed.gov/cedselementdetails.aspx?termid=22065</v>
      </c>
    </row>
    <row r="442" spans="1:13" ht="72" x14ac:dyDescent="0.3">
      <c r="A442" s="22" t="s">
        <v>1889</v>
      </c>
      <c r="B442" s="22" t="s">
        <v>1890</v>
      </c>
      <c r="C442" s="26" t="s">
        <v>22</v>
      </c>
      <c r="D442" s="24" t="s">
        <v>1891</v>
      </c>
      <c r="E442" s="22"/>
      <c r="F442" s="22"/>
      <c r="G442" s="22"/>
      <c r="H442" s="22"/>
      <c r="I442" s="25" t="s">
        <v>1892</v>
      </c>
      <c r="J442" s="22" t="s">
        <v>1893</v>
      </c>
      <c r="K442" s="22" t="s">
        <v>1894</v>
      </c>
      <c r="L442" s="24" t="s">
        <v>64</v>
      </c>
      <c r="M442" s="22" t="str">
        <f>HYPERLINK("https://ceds.ed.gov/cedselementdetails.aspx?termid=21036")</f>
        <v>https://ceds.ed.gov/cedselementdetails.aspx?termid=21036</v>
      </c>
    </row>
    <row r="443" spans="1:13" ht="86.4" x14ac:dyDescent="0.3">
      <c r="A443" s="22" t="s">
        <v>1895</v>
      </c>
      <c r="B443" s="22" t="s">
        <v>1896</v>
      </c>
      <c r="C443" s="26" t="s">
        <v>22</v>
      </c>
      <c r="D443" s="24" t="s">
        <v>1897</v>
      </c>
      <c r="E443" s="22"/>
      <c r="F443" s="22"/>
      <c r="G443" s="22"/>
      <c r="H443" s="22"/>
      <c r="I443" s="25" t="s">
        <v>1898</v>
      </c>
      <c r="J443" s="22" t="s">
        <v>1899</v>
      </c>
      <c r="K443" s="22" t="s">
        <v>1900</v>
      </c>
      <c r="L443" s="24" t="s">
        <v>1901</v>
      </c>
      <c r="M443" s="22" t="str">
        <f>HYPERLINK("https://ceds.ed.gov/cedselementdetails.aspx?termid=21037")</f>
        <v>https://ceds.ed.gov/cedselementdetails.aspx?termid=21037</v>
      </c>
    </row>
    <row r="444" spans="1:13" ht="72" x14ac:dyDescent="0.3">
      <c r="A444" s="22" t="s">
        <v>1902</v>
      </c>
      <c r="B444" s="22" t="s">
        <v>1903</v>
      </c>
      <c r="C444" s="26" t="s">
        <v>8709</v>
      </c>
      <c r="D444" s="22" t="s">
        <v>1904</v>
      </c>
      <c r="E444" s="22"/>
      <c r="F444" s="22"/>
      <c r="G444" s="22"/>
      <c r="H444" s="22"/>
      <c r="I444" s="25" t="s">
        <v>1905</v>
      </c>
      <c r="J444" s="22" t="s">
        <v>1906</v>
      </c>
      <c r="K444" s="22" t="s">
        <v>1907</v>
      </c>
      <c r="L444" s="22" t="s">
        <v>226</v>
      </c>
      <c r="M444" s="22" t="str">
        <f>HYPERLINK("https://ceds.ed.gov/cedselementdetails.aspx?termid=21075")</f>
        <v>https://ceds.ed.gov/cedselementdetails.aspx?termid=21075</v>
      </c>
    </row>
    <row r="445" spans="1:13" ht="72" x14ac:dyDescent="0.3">
      <c r="A445" s="22" t="s">
        <v>1908</v>
      </c>
      <c r="B445" s="22" t="s">
        <v>1909</v>
      </c>
      <c r="C445" s="26" t="s">
        <v>22</v>
      </c>
      <c r="D445" s="24" t="s">
        <v>1910</v>
      </c>
      <c r="E445" s="22"/>
      <c r="F445" s="22"/>
      <c r="G445" s="22"/>
      <c r="H445" s="22"/>
      <c r="I445" s="25" t="s">
        <v>1911</v>
      </c>
      <c r="J445" s="22" t="s">
        <v>1912</v>
      </c>
      <c r="K445" s="22" t="s">
        <v>1913</v>
      </c>
      <c r="L445" s="22"/>
      <c r="M445" s="22" t="str">
        <f>HYPERLINK("https://ceds.ed.gov/cedselementdetails.aspx?termid=22284")</f>
        <v>https://ceds.ed.gov/cedselementdetails.aspx?termid=22284</v>
      </c>
    </row>
    <row r="446" spans="1:13" ht="43.2" x14ac:dyDescent="0.3">
      <c r="A446" s="22" t="s">
        <v>1914</v>
      </c>
      <c r="B446" s="22" t="s">
        <v>1915</v>
      </c>
      <c r="C446" s="26" t="s">
        <v>22</v>
      </c>
      <c r="D446" s="24" t="s">
        <v>1916</v>
      </c>
      <c r="E446" s="22"/>
      <c r="F446" s="22"/>
      <c r="G446" s="22"/>
      <c r="H446" s="22"/>
      <c r="I446" s="25" t="s">
        <v>1917</v>
      </c>
      <c r="J446" s="22" t="s">
        <v>1918</v>
      </c>
      <c r="K446" s="22" t="s">
        <v>1919</v>
      </c>
      <c r="L446" s="22" t="s">
        <v>226</v>
      </c>
      <c r="M446" s="22" t="str">
        <f>HYPERLINK("https://ceds.ed.gov/cedselementdetails.aspx?termid=21586")</f>
        <v>https://ceds.ed.gov/cedselementdetails.aspx?termid=21586</v>
      </c>
    </row>
    <row r="447" spans="1:13" ht="43.2" x14ac:dyDescent="0.3">
      <c r="A447" s="22" t="s">
        <v>1920</v>
      </c>
      <c r="B447" s="22" t="s">
        <v>1921</v>
      </c>
      <c r="C447" s="26" t="s">
        <v>22</v>
      </c>
      <c r="D447" s="24" t="s">
        <v>1897</v>
      </c>
      <c r="E447" s="22"/>
      <c r="F447" s="22"/>
      <c r="G447" s="22"/>
      <c r="H447" s="22"/>
      <c r="I447" s="25" t="s">
        <v>1922</v>
      </c>
      <c r="J447" s="22" t="s">
        <v>1923</v>
      </c>
      <c r="K447" s="22" t="s">
        <v>1924</v>
      </c>
      <c r="L447" s="22" t="s">
        <v>226</v>
      </c>
      <c r="M447" s="22" t="str">
        <f>HYPERLINK("https://ceds.ed.gov/cedselementdetails.aspx?termid=21585")</f>
        <v>https://ceds.ed.gov/cedselementdetails.aspx?termid=21585</v>
      </c>
    </row>
    <row r="448" spans="1:13" ht="316.8" x14ac:dyDescent="0.3">
      <c r="A448" s="22" t="s">
        <v>1925</v>
      </c>
      <c r="B448" s="22" t="s">
        <v>1926</v>
      </c>
      <c r="C448" s="26" t="s">
        <v>8710</v>
      </c>
      <c r="D448" s="24" t="s">
        <v>8711</v>
      </c>
      <c r="E448" s="22"/>
      <c r="F448" s="22"/>
      <c r="G448" s="22"/>
      <c r="H448" s="22" t="s">
        <v>8034</v>
      </c>
      <c r="I448" s="25" t="s">
        <v>1927</v>
      </c>
      <c r="J448" s="22"/>
      <c r="K448" s="22" t="s">
        <v>1928</v>
      </c>
      <c r="L448" s="22"/>
      <c r="M448" s="22" t="str">
        <f>HYPERLINK("https://ceds.ed.gov/cedselementdetails.aspx?termid=22254")</f>
        <v>https://ceds.ed.gov/cedselementdetails.aspx?termid=22254</v>
      </c>
    </row>
    <row r="449" spans="1:13" ht="187.2" x14ac:dyDescent="0.3">
      <c r="A449" s="22" t="s">
        <v>1929</v>
      </c>
      <c r="B449" s="22" t="s">
        <v>1930</v>
      </c>
      <c r="C449" s="23" t="s">
        <v>32</v>
      </c>
      <c r="D449" s="24" t="s">
        <v>8712</v>
      </c>
      <c r="E449" s="22"/>
      <c r="F449" s="22" t="s">
        <v>118</v>
      </c>
      <c r="G449" s="22"/>
      <c r="H449" s="22"/>
      <c r="I449" s="25" t="s">
        <v>1931</v>
      </c>
      <c r="J449" s="22"/>
      <c r="K449" s="22" t="s">
        <v>1932</v>
      </c>
      <c r="L449" s="22"/>
      <c r="M449" s="22" t="str">
        <f>HYPERLINK("https://ceds.ed.gov/cedselementdetails.aspx?termid=22255")</f>
        <v>https://ceds.ed.gov/cedselementdetails.aspx?termid=22255</v>
      </c>
    </row>
    <row r="450" spans="1:13" ht="187.2" x14ac:dyDescent="0.3">
      <c r="A450" s="22" t="s">
        <v>1933</v>
      </c>
      <c r="B450" s="22" t="s">
        <v>1934</v>
      </c>
      <c r="C450" s="26" t="s">
        <v>8713</v>
      </c>
      <c r="D450" s="24" t="s">
        <v>8712</v>
      </c>
      <c r="E450" s="22"/>
      <c r="F450" s="22"/>
      <c r="G450" s="22"/>
      <c r="H450" s="22"/>
      <c r="I450" s="25" t="s">
        <v>1935</v>
      </c>
      <c r="J450" s="22"/>
      <c r="K450" s="22" t="s">
        <v>1936</v>
      </c>
      <c r="L450" s="22"/>
      <c r="M450" s="22" t="str">
        <f>HYPERLINK("https://ceds.ed.gov/cedselementdetails.aspx?termid=22256")</f>
        <v>https://ceds.ed.gov/cedselementdetails.aspx?termid=22256</v>
      </c>
    </row>
    <row r="451" spans="1:13" ht="100.8" x14ac:dyDescent="0.3">
      <c r="A451" s="22" t="s">
        <v>1937</v>
      </c>
      <c r="B451" s="22" t="s">
        <v>1938</v>
      </c>
      <c r="C451" s="23" t="s">
        <v>32</v>
      </c>
      <c r="D451" s="24" t="s">
        <v>1939</v>
      </c>
      <c r="E451" s="22"/>
      <c r="F451" s="22" t="s">
        <v>118</v>
      </c>
      <c r="G451" s="22"/>
      <c r="H451" s="22" t="s">
        <v>143</v>
      </c>
      <c r="I451" s="25" t="s">
        <v>1940</v>
      </c>
      <c r="J451" s="22"/>
      <c r="K451" s="22" t="s">
        <v>1941</v>
      </c>
      <c r="L451" s="22"/>
      <c r="M451" s="22" t="str">
        <f>HYPERLINK("https://ceds.ed.gov/cedselementdetails.aspx?termid=22562")</f>
        <v>https://ceds.ed.gov/cedselementdetails.aspx?termid=22562</v>
      </c>
    </row>
    <row r="452" spans="1:13" ht="100.8" x14ac:dyDescent="0.3">
      <c r="A452" s="22" t="s">
        <v>1942</v>
      </c>
      <c r="B452" s="22" t="s">
        <v>1943</v>
      </c>
      <c r="C452" s="26" t="s">
        <v>22</v>
      </c>
      <c r="D452" s="24" t="s">
        <v>1939</v>
      </c>
      <c r="E452" s="22"/>
      <c r="F452" s="22"/>
      <c r="G452" s="22"/>
      <c r="H452" s="22"/>
      <c r="I452" s="25" t="s">
        <v>1944</v>
      </c>
      <c r="J452" s="22"/>
      <c r="K452" s="22" t="s">
        <v>1945</v>
      </c>
      <c r="L452" s="22"/>
      <c r="M452" s="22" t="str">
        <f>HYPERLINK("https://ceds.ed.gov/cedselementdetails.aspx?termid=22257")</f>
        <v>https://ceds.ed.gov/cedselementdetails.aspx?termid=22257</v>
      </c>
    </row>
    <row r="453" spans="1:13" ht="100.8" x14ac:dyDescent="0.3">
      <c r="A453" s="22" t="s">
        <v>1946</v>
      </c>
      <c r="B453" s="22" t="s">
        <v>1947</v>
      </c>
      <c r="C453" s="23" t="s">
        <v>32</v>
      </c>
      <c r="D453" s="24" t="s">
        <v>1939</v>
      </c>
      <c r="E453" s="22"/>
      <c r="F453" s="22" t="s">
        <v>118</v>
      </c>
      <c r="G453" s="22"/>
      <c r="H453" s="22"/>
      <c r="I453" s="25" t="s">
        <v>1948</v>
      </c>
      <c r="J453" s="22"/>
      <c r="K453" s="22" t="s">
        <v>1949</v>
      </c>
      <c r="L453" s="22"/>
      <c r="M453" s="22" t="str">
        <f>HYPERLINK("https://ceds.ed.gov/cedselementdetails.aspx?termid=22563")</f>
        <v>https://ceds.ed.gov/cedselementdetails.aspx?termid=22563</v>
      </c>
    </row>
    <row r="454" spans="1:13" ht="72" x14ac:dyDescent="0.3">
      <c r="A454" s="22" t="s">
        <v>1950</v>
      </c>
      <c r="B454" s="22" t="s">
        <v>1951</v>
      </c>
      <c r="C454" s="26" t="s">
        <v>8714</v>
      </c>
      <c r="D454" s="24" t="s">
        <v>8715</v>
      </c>
      <c r="E454" s="22"/>
      <c r="F454" s="22"/>
      <c r="G454" s="22"/>
      <c r="H454" s="22"/>
      <c r="I454" s="25" t="s">
        <v>1952</v>
      </c>
      <c r="J454" s="22" t="s">
        <v>1953</v>
      </c>
      <c r="K454" s="22" t="s">
        <v>1954</v>
      </c>
      <c r="L454" s="22" t="s">
        <v>226</v>
      </c>
      <c r="M454" s="22" t="str">
        <f>HYPERLINK("https://ceds.ed.gov/cedselementdetails.aspx?termid=21581")</f>
        <v>https://ceds.ed.gov/cedselementdetails.aspx?termid=21581</v>
      </c>
    </row>
    <row r="455" spans="1:13" ht="72" x14ac:dyDescent="0.3">
      <c r="A455" s="22" t="s">
        <v>1955</v>
      </c>
      <c r="B455" s="22" t="s">
        <v>8035</v>
      </c>
      <c r="C455" s="26" t="s">
        <v>22</v>
      </c>
      <c r="D455" s="24" t="s">
        <v>1956</v>
      </c>
      <c r="E455" s="22"/>
      <c r="F455" s="22"/>
      <c r="G455" s="22"/>
      <c r="H455" s="22"/>
      <c r="I455" s="25" t="s">
        <v>1957</v>
      </c>
      <c r="J455" s="22" t="s">
        <v>1958</v>
      </c>
      <c r="K455" s="22" t="s">
        <v>1959</v>
      </c>
      <c r="L455" s="22" t="s">
        <v>226</v>
      </c>
      <c r="M455" s="22" t="str">
        <f>HYPERLINK("https://ceds.ed.gov/cedselementdetails.aspx?termid=21084")</f>
        <v>https://ceds.ed.gov/cedselementdetails.aspx?termid=21084</v>
      </c>
    </row>
    <row r="456" spans="1:13" ht="409.6" x14ac:dyDescent="0.3">
      <c r="A456" s="22" t="s">
        <v>1960</v>
      </c>
      <c r="B456" s="22" t="s">
        <v>1961</v>
      </c>
      <c r="C456" s="26" t="s">
        <v>8716</v>
      </c>
      <c r="D456" s="22" t="s">
        <v>1962</v>
      </c>
      <c r="E456" s="22"/>
      <c r="F456" s="22"/>
      <c r="G456" s="22"/>
      <c r="H456" s="22"/>
      <c r="I456" s="25" t="s">
        <v>1963</v>
      </c>
      <c r="J456" s="22"/>
      <c r="K456" s="22" t="s">
        <v>1964</v>
      </c>
      <c r="L456" s="24" t="s">
        <v>1965</v>
      </c>
      <c r="M456" s="22" t="str">
        <f>HYPERLINK("https://ceds.ed.gov/cedselementdetails.aspx?termid=21038")</f>
        <v>https://ceds.ed.gov/cedselementdetails.aspx?termid=21038</v>
      </c>
    </row>
    <row r="457" spans="1:13" x14ac:dyDescent="0.3">
      <c r="A457" s="22" t="s">
        <v>1966</v>
      </c>
      <c r="B457" s="22" t="s">
        <v>1967</v>
      </c>
      <c r="C457" s="23" t="s">
        <v>32</v>
      </c>
      <c r="D457" s="22" t="s">
        <v>229</v>
      </c>
      <c r="E457" s="22"/>
      <c r="F457" s="22" t="s">
        <v>79</v>
      </c>
      <c r="G457" s="22"/>
      <c r="H457" s="22"/>
      <c r="I457" s="25" t="s">
        <v>1968</v>
      </c>
      <c r="J457" s="22"/>
      <c r="K457" s="22" t="s">
        <v>1969</v>
      </c>
      <c r="L457" s="22"/>
      <c r="M457" s="22" t="str">
        <f>HYPERLINK("https://ceds.ed.gov/cedselementdetails.aspx?termid=22259")</f>
        <v>https://ceds.ed.gov/cedselementdetails.aspx?termid=22259</v>
      </c>
    </row>
    <row r="458" spans="1:13" ht="158.4" x14ac:dyDescent="0.3">
      <c r="A458" s="22" t="s">
        <v>1970</v>
      </c>
      <c r="B458" s="22" t="s">
        <v>1971</v>
      </c>
      <c r="C458" s="26" t="s">
        <v>8717</v>
      </c>
      <c r="D458" s="22" t="s">
        <v>1972</v>
      </c>
      <c r="E458" s="22"/>
      <c r="F458" s="22"/>
      <c r="G458" s="22"/>
      <c r="H458" s="22"/>
      <c r="I458" s="25" t="s">
        <v>1973</v>
      </c>
      <c r="J458" s="22"/>
      <c r="K458" s="22" t="s">
        <v>1974</v>
      </c>
      <c r="L458" s="22"/>
      <c r="M458" s="22" t="str">
        <f>HYPERLINK("https://ceds.ed.gov/cedselementdetails.aspx?termid=22258")</f>
        <v>https://ceds.ed.gov/cedselementdetails.aspx?termid=22258</v>
      </c>
    </row>
    <row r="459" spans="1:13" x14ac:dyDescent="0.3">
      <c r="A459" s="22" t="s">
        <v>1975</v>
      </c>
      <c r="B459" s="22" t="s">
        <v>1976</v>
      </c>
      <c r="C459" s="23" t="s">
        <v>32</v>
      </c>
      <c r="D459" s="22" t="s">
        <v>229</v>
      </c>
      <c r="E459" s="22"/>
      <c r="F459" s="22" t="s">
        <v>118</v>
      </c>
      <c r="G459" s="22"/>
      <c r="H459" s="22"/>
      <c r="I459" s="25" t="s">
        <v>1977</v>
      </c>
      <c r="J459" s="22"/>
      <c r="K459" s="22" t="s">
        <v>1978</v>
      </c>
      <c r="L459" s="22" t="s">
        <v>226</v>
      </c>
      <c r="M459" s="22" t="str">
        <f>HYPERLINK("https://ceds.ed.gov/cedselementdetails.aspx?termid=22633")</f>
        <v>https://ceds.ed.gov/cedselementdetails.aspx?termid=22633</v>
      </c>
    </row>
    <row r="460" spans="1:13" x14ac:dyDescent="0.3">
      <c r="A460" s="22" t="s">
        <v>1979</v>
      </c>
      <c r="B460" s="22" t="s">
        <v>1980</v>
      </c>
      <c r="C460" s="23" t="s">
        <v>32</v>
      </c>
      <c r="D460" s="22" t="s">
        <v>229</v>
      </c>
      <c r="E460" s="22"/>
      <c r="F460" s="22" t="s">
        <v>85</v>
      </c>
      <c r="G460" s="22"/>
      <c r="H460" s="22"/>
      <c r="I460" s="25" t="s">
        <v>1981</v>
      </c>
      <c r="J460" s="22"/>
      <c r="K460" s="22" t="s">
        <v>1982</v>
      </c>
      <c r="L460" s="22" t="s">
        <v>226</v>
      </c>
      <c r="M460" s="22" t="str">
        <f>HYPERLINK("https://ceds.ed.gov/cedselementdetails.aspx?termid=22632")</f>
        <v>https://ceds.ed.gov/cedselementdetails.aspx?termid=22632</v>
      </c>
    </row>
    <row r="461" spans="1:13" x14ac:dyDescent="0.3">
      <c r="A461" s="22" t="s">
        <v>1983</v>
      </c>
      <c r="B461" s="22" t="s">
        <v>1984</v>
      </c>
      <c r="C461" s="23" t="s">
        <v>32</v>
      </c>
      <c r="D461" s="22" t="s">
        <v>229</v>
      </c>
      <c r="E461" s="22"/>
      <c r="F461" s="22" t="s">
        <v>118</v>
      </c>
      <c r="G461" s="22"/>
      <c r="H461" s="22"/>
      <c r="I461" s="25" t="s">
        <v>1985</v>
      </c>
      <c r="J461" s="22"/>
      <c r="K461" s="22" t="s">
        <v>1986</v>
      </c>
      <c r="L461" s="22" t="s">
        <v>226</v>
      </c>
      <c r="M461" s="22" t="str">
        <f>HYPERLINK("https://ceds.ed.gov/cedselementdetails.aspx?termid=22634")</f>
        <v>https://ceds.ed.gov/cedselementdetails.aspx?termid=22634</v>
      </c>
    </row>
    <row r="462" spans="1:13" ht="72" x14ac:dyDescent="0.3">
      <c r="A462" s="22" t="s">
        <v>1987</v>
      </c>
      <c r="B462" s="22" t="s">
        <v>1988</v>
      </c>
      <c r="C462" s="26" t="s">
        <v>22</v>
      </c>
      <c r="D462" s="24" t="s">
        <v>1989</v>
      </c>
      <c r="E462" s="22"/>
      <c r="F462" s="22"/>
      <c r="G462" s="22"/>
      <c r="H462" s="22" t="s">
        <v>1990</v>
      </c>
      <c r="I462" s="25" t="s">
        <v>1991</v>
      </c>
      <c r="J462" s="22"/>
      <c r="K462" s="22" t="s">
        <v>1992</v>
      </c>
      <c r="L462" s="24" t="s">
        <v>64</v>
      </c>
      <c r="M462" s="22" t="str">
        <f>HYPERLINK("https://ceds.ed.gov/cedselementdetails.aspx?termid=21039")</f>
        <v>https://ceds.ed.gov/cedselementdetails.aspx?termid=21039</v>
      </c>
    </row>
    <row r="463" spans="1:13" ht="86.4" x14ac:dyDescent="0.3">
      <c r="A463" s="22" t="s">
        <v>1993</v>
      </c>
      <c r="B463" s="22" t="s">
        <v>1994</v>
      </c>
      <c r="C463" s="26" t="s">
        <v>8718</v>
      </c>
      <c r="D463" s="24" t="s">
        <v>1995</v>
      </c>
      <c r="E463" s="22"/>
      <c r="F463" s="22"/>
      <c r="G463" s="22"/>
      <c r="H463" s="22"/>
      <c r="I463" s="25" t="s">
        <v>1996</v>
      </c>
      <c r="J463" s="22"/>
      <c r="K463" s="22" t="s">
        <v>1997</v>
      </c>
      <c r="L463" s="22" t="s">
        <v>226</v>
      </c>
      <c r="M463" s="22" t="str">
        <f>HYPERLINK("https://ceds.ed.gov/cedselementdetails.aspx?termid=22631")</f>
        <v>https://ceds.ed.gov/cedselementdetails.aspx?termid=22631</v>
      </c>
    </row>
    <row r="464" spans="1:13" ht="43.2" x14ac:dyDescent="0.3">
      <c r="A464" s="22" t="s">
        <v>1998</v>
      </c>
      <c r="B464" s="22" t="s">
        <v>1999</v>
      </c>
      <c r="C464" s="26" t="s">
        <v>22</v>
      </c>
      <c r="D464" s="22" t="s">
        <v>229</v>
      </c>
      <c r="E464" s="22"/>
      <c r="F464" s="22"/>
      <c r="G464" s="22"/>
      <c r="H464" s="22"/>
      <c r="I464" s="25" t="s">
        <v>2000</v>
      </c>
      <c r="J464" s="22"/>
      <c r="K464" s="22" t="s">
        <v>2001</v>
      </c>
      <c r="L464" s="22"/>
      <c r="M464" s="22" t="str">
        <f>HYPERLINK("https://ceds.ed.gov/cedselementdetails.aspx?termid=22524")</f>
        <v>https://ceds.ed.gov/cedselementdetails.aspx?termid=22524</v>
      </c>
    </row>
    <row r="465" spans="1:13" ht="72" x14ac:dyDescent="0.3">
      <c r="A465" s="22" t="s">
        <v>2002</v>
      </c>
      <c r="B465" s="22" t="s">
        <v>2003</v>
      </c>
      <c r="C465" s="26" t="s">
        <v>8719</v>
      </c>
      <c r="D465" s="22" t="s">
        <v>229</v>
      </c>
      <c r="E465" s="22"/>
      <c r="F465" s="22"/>
      <c r="G465" s="22"/>
      <c r="H465" s="22"/>
      <c r="I465" s="25" t="s">
        <v>2004</v>
      </c>
      <c r="J465" s="22"/>
      <c r="K465" s="22" t="s">
        <v>2005</v>
      </c>
      <c r="L465" s="22"/>
      <c r="M465" s="22" t="str">
        <f>HYPERLINK("https://ceds.ed.gov/cedselementdetails.aspx?termid=21686")</f>
        <v>https://ceds.ed.gov/cedselementdetails.aspx?termid=21686</v>
      </c>
    </row>
    <row r="466" spans="1:13" ht="115.2" x14ac:dyDescent="0.3">
      <c r="A466" s="22" t="s">
        <v>2006</v>
      </c>
      <c r="B466" s="22" t="s">
        <v>2007</v>
      </c>
      <c r="C466" s="26" t="s">
        <v>8720</v>
      </c>
      <c r="D466" s="22" t="s">
        <v>8036</v>
      </c>
      <c r="E466" s="22"/>
      <c r="F466" s="22"/>
      <c r="G466" s="22"/>
      <c r="H466" s="22"/>
      <c r="I466" s="25" t="s">
        <v>2008</v>
      </c>
      <c r="J466" s="22" t="s">
        <v>2009</v>
      </c>
      <c r="K466" s="22" t="s">
        <v>2010</v>
      </c>
      <c r="L466" s="22" t="s">
        <v>207</v>
      </c>
      <c r="M466" s="22" t="str">
        <f>HYPERLINK("https://ceds.ed.gov/cedselementdetails.aspx?termid=21805")</f>
        <v>https://ceds.ed.gov/cedselementdetails.aspx?termid=21805</v>
      </c>
    </row>
    <row r="467" spans="1:13" ht="158.4" x14ac:dyDescent="0.3">
      <c r="A467" s="22" t="s">
        <v>2011</v>
      </c>
      <c r="B467" s="22" t="s">
        <v>2012</v>
      </c>
      <c r="C467" s="26" t="s">
        <v>8721</v>
      </c>
      <c r="D467" s="22" t="s">
        <v>8037</v>
      </c>
      <c r="E467" s="22"/>
      <c r="F467" s="22"/>
      <c r="G467" s="22"/>
      <c r="H467" s="22"/>
      <c r="I467" s="25" t="s">
        <v>2013</v>
      </c>
      <c r="J467" s="22"/>
      <c r="K467" s="22" t="s">
        <v>2014</v>
      </c>
      <c r="L467" s="22" t="s">
        <v>2015</v>
      </c>
      <c r="M467" s="22" t="str">
        <f>HYPERLINK("https://ceds.ed.gov/cedselementdetails.aspx?termid=21314")</f>
        <v>https://ceds.ed.gov/cedselementdetails.aspx?termid=21314</v>
      </c>
    </row>
    <row r="468" spans="1:13" ht="201.6" x14ac:dyDescent="0.3">
      <c r="A468" s="22" t="s">
        <v>2016</v>
      </c>
      <c r="B468" s="22" t="s">
        <v>2017</v>
      </c>
      <c r="C468" s="26" t="s">
        <v>8722</v>
      </c>
      <c r="D468" s="24" t="s">
        <v>8723</v>
      </c>
      <c r="E468" s="22"/>
      <c r="F468" s="22"/>
      <c r="G468" s="22"/>
      <c r="H468" s="22"/>
      <c r="I468" s="25" t="s">
        <v>2018</v>
      </c>
      <c r="J468" s="22"/>
      <c r="K468" s="22" t="s">
        <v>2019</v>
      </c>
      <c r="L468" s="24" t="s">
        <v>2020</v>
      </c>
      <c r="M468" s="22" t="str">
        <f>HYPERLINK("https://ceds.ed.gov/cedselementdetails.aspx?termid=21782")</f>
        <v>https://ceds.ed.gov/cedselementdetails.aspx?termid=21782</v>
      </c>
    </row>
    <row r="469" spans="1:13" ht="72" x14ac:dyDescent="0.3">
      <c r="A469" s="22" t="s">
        <v>2021</v>
      </c>
      <c r="B469" s="22" t="s">
        <v>2022</v>
      </c>
      <c r="C469" s="23" t="s">
        <v>32</v>
      </c>
      <c r="D469" s="24" t="s">
        <v>8410</v>
      </c>
      <c r="E469" s="22" t="s">
        <v>172</v>
      </c>
      <c r="F469" s="22" t="s">
        <v>132</v>
      </c>
      <c r="G469" s="22" t="s">
        <v>7946</v>
      </c>
      <c r="H469" s="22" t="s">
        <v>7945</v>
      </c>
      <c r="I469" s="25" t="s">
        <v>2023</v>
      </c>
      <c r="J469" s="22"/>
      <c r="K469" s="22" t="s">
        <v>2024</v>
      </c>
      <c r="L469" s="24" t="s">
        <v>2020</v>
      </c>
      <c r="M469" s="22" t="str">
        <f>HYPERLINK("https://ceds.ed.gov/cedselementdetails.aspx?termid=21781")</f>
        <v>https://ceds.ed.gov/cedselementdetails.aspx?termid=21781</v>
      </c>
    </row>
    <row r="470" spans="1:13" ht="43.2" x14ac:dyDescent="0.3">
      <c r="A470" s="22" t="s">
        <v>2025</v>
      </c>
      <c r="B470" s="22" t="s">
        <v>2026</v>
      </c>
      <c r="C470" s="26" t="s">
        <v>22</v>
      </c>
      <c r="D470" s="22" t="s">
        <v>8038</v>
      </c>
      <c r="E470" s="22"/>
      <c r="F470" s="22"/>
      <c r="G470" s="22"/>
      <c r="H470" s="22"/>
      <c r="I470" s="25" t="s">
        <v>2027</v>
      </c>
      <c r="J470" s="22" t="s">
        <v>2028</v>
      </c>
      <c r="K470" s="22" t="s">
        <v>2029</v>
      </c>
      <c r="L470" s="22"/>
      <c r="M470" s="22" t="str">
        <f>HYPERLINK("https://ceds.ed.gov/cedselementdetails.aspx?termid=22476")</f>
        <v>https://ceds.ed.gov/cedselementdetails.aspx?termid=22476</v>
      </c>
    </row>
    <row r="471" spans="1:13" ht="43.2" x14ac:dyDescent="0.3">
      <c r="A471" s="22" t="s">
        <v>2030</v>
      </c>
      <c r="B471" s="22" t="s">
        <v>2031</v>
      </c>
      <c r="C471" s="26" t="s">
        <v>22</v>
      </c>
      <c r="D471" s="22" t="s">
        <v>8038</v>
      </c>
      <c r="E471" s="22"/>
      <c r="F471" s="22"/>
      <c r="G471" s="22"/>
      <c r="H471" s="22"/>
      <c r="I471" s="25" t="s">
        <v>2032</v>
      </c>
      <c r="J471" s="22" t="s">
        <v>2033</v>
      </c>
      <c r="K471" s="22" t="s">
        <v>2034</v>
      </c>
      <c r="L471" s="22"/>
      <c r="M471" s="22" t="str">
        <f>HYPERLINK("https://ceds.ed.gov/cedselementdetails.aspx?termid=22477")</f>
        <v>https://ceds.ed.gov/cedselementdetails.aspx?termid=22477</v>
      </c>
    </row>
    <row r="472" spans="1:13" ht="43.2" x14ac:dyDescent="0.3">
      <c r="A472" s="22" t="s">
        <v>2035</v>
      </c>
      <c r="B472" s="22" t="s">
        <v>2036</v>
      </c>
      <c r="C472" s="26" t="s">
        <v>22</v>
      </c>
      <c r="D472" s="22" t="s">
        <v>8038</v>
      </c>
      <c r="E472" s="22"/>
      <c r="F472" s="22"/>
      <c r="G472" s="22"/>
      <c r="H472" s="22"/>
      <c r="I472" s="25" t="s">
        <v>2037</v>
      </c>
      <c r="J472" s="22" t="s">
        <v>2038</v>
      </c>
      <c r="K472" s="22" t="s">
        <v>2039</v>
      </c>
      <c r="L472" s="22"/>
      <c r="M472" s="22" t="str">
        <f>HYPERLINK("https://ceds.ed.gov/cedselementdetails.aspx?termid=22478")</f>
        <v>https://ceds.ed.gov/cedselementdetails.aspx?termid=22478</v>
      </c>
    </row>
    <row r="473" spans="1:13" ht="273.60000000000002" x14ac:dyDescent="0.3">
      <c r="A473" s="22" t="s">
        <v>2040</v>
      </c>
      <c r="B473" s="22" t="s">
        <v>2041</v>
      </c>
      <c r="C473" s="26" t="s">
        <v>8724</v>
      </c>
      <c r="D473" s="22" t="s">
        <v>8038</v>
      </c>
      <c r="E473" s="22"/>
      <c r="F473" s="22"/>
      <c r="G473" s="22"/>
      <c r="H473" s="22"/>
      <c r="I473" s="25" t="s">
        <v>2042</v>
      </c>
      <c r="J473" s="22" t="s">
        <v>2043</v>
      </c>
      <c r="K473" s="22" t="s">
        <v>2044</v>
      </c>
      <c r="L473" s="22"/>
      <c r="M473" s="22" t="str">
        <f>HYPERLINK("https://ceds.ed.gov/cedselementdetails.aspx?termid=22479")</f>
        <v>https://ceds.ed.gov/cedselementdetails.aspx?termid=22479</v>
      </c>
    </row>
    <row r="474" spans="1:13" ht="273.60000000000002" x14ac:dyDescent="0.3">
      <c r="A474" s="22" t="s">
        <v>2045</v>
      </c>
      <c r="B474" s="22" t="s">
        <v>2046</v>
      </c>
      <c r="C474" s="26" t="s">
        <v>8724</v>
      </c>
      <c r="D474" s="22" t="s">
        <v>8038</v>
      </c>
      <c r="E474" s="22"/>
      <c r="F474" s="22"/>
      <c r="G474" s="22"/>
      <c r="H474" s="22"/>
      <c r="I474" s="25" t="s">
        <v>2047</v>
      </c>
      <c r="J474" s="22" t="s">
        <v>2048</v>
      </c>
      <c r="K474" s="22" t="s">
        <v>2049</v>
      </c>
      <c r="L474" s="22"/>
      <c r="M474" s="22" t="str">
        <f>HYPERLINK("https://ceds.ed.gov/cedselementdetails.aspx?termid=22480")</f>
        <v>https://ceds.ed.gov/cedselementdetails.aspx?termid=22480</v>
      </c>
    </row>
    <row r="475" spans="1:13" ht="273.60000000000002" x14ac:dyDescent="0.3">
      <c r="A475" s="22" t="s">
        <v>2050</v>
      </c>
      <c r="B475" s="22" t="s">
        <v>2051</v>
      </c>
      <c r="C475" s="26" t="s">
        <v>8724</v>
      </c>
      <c r="D475" s="22" t="s">
        <v>8038</v>
      </c>
      <c r="E475" s="22"/>
      <c r="F475" s="22"/>
      <c r="G475" s="22"/>
      <c r="H475" s="22"/>
      <c r="I475" s="25" t="s">
        <v>2052</v>
      </c>
      <c r="J475" s="22" t="s">
        <v>2053</v>
      </c>
      <c r="K475" s="22" t="s">
        <v>2054</v>
      </c>
      <c r="L475" s="22"/>
      <c r="M475" s="22" t="str">
        <f>HYPERLINK("https://ceds.ed.gov/cedselementdetails.aspx?termid=22481")</f>
        <v>https://ceds.ed.gov/cedselementdetails.aspx?termid=22481</v>
      </c>
    </row>
    <row r="476" spans="1:13" ht="57.6" x14ac:dyDescent="0.3">
      <c r="A476" s="22" t="s">
        <v>7447</v>
      </c>
      <c r="B476" s="22" t="s">
        <v>7448</v>
      </c>
      <c r="C476" s="26" t="s">
        <v>8725</v>
      </c>
      <c r="D476" s="22" t="s">
        <v>1874</v>
      </c>
      <c r="E476" s="22"/>
      <c r="F476" s="22"/>
      <c r="G476" s="22"/>
      <c r="H476" s="22" t="s">
        <v>7449</v>
      </c>
      <c r="I476" s="25" t="s">
        <v>7450</v>
      </c>
      <c r="J476" s="22"/>
      <c r="K476" s="22" t="s">
        <v>7451</v>
      </c>
      <c r="L476" s="22"/>
      <c r="M476" s="22" t="str">
        <f>HYPERLINK("https://ceds.ed.gov/cedselementdetails.aspx?termid=22917")</f>
        <v>https://ceds.ed.gov/cedselementdetails.aspx?termid=22917</v>
      </c>
    </row>
    <row r="477" spans="1:13" x14ac:dyDescent="0.3">
      <c r="A477" s="22" t="s">
        <v>2055</v>
      </c>
      <c r="B477" s="22" t="s">
        <v>8039</v>
      </c>
      <c r="C477" s="23" t="s">
        <v>32</v>
      </c>
      <c r="D477" s="22" t="s">
        <v>2056</v>
      </c>
      <c r="E477" s="22"/>
      <c r="F477" s="22" t="s">
        <v>85</v>
      </c>
      <c r="G477" s="22"/>
      <c r="H477" s="22"/>
      <c r="I477" s="25" t="s">
        <v>2057</v>
      </c>
      <c r="J477" s="22"/>
      <c r="K477" s="22" t="s">
        <v>2058</v>
      </c>
      <c r="L477" s="22" t="s">
        <v>1553</v>
      </c>
      <c r="M477" s="22" t="str">
        <f>HYPERLINK("https://ceds.ed.gov/cedselementdetails.aspx?termid=21416")</f>
        <v>https://ceds.ed.gov/cedselementdetails.aspx?termid=21416</v>
      </c>
    </row>
    <row r="478" spans="1:13" ht="100.8" x14ac:dyDescent="0.3">
      <c r="A478" s="22" t="s">
        <v>2059</v>
      </c>
      <c r="B478" s="22" t="s">
        <v>2060</v>
      </c>
      <c r="C478" s="23" t="s">
        <v>32</v>
      </c>
      <c r="D478" s="24" t="s">
        <v>8726</v>
      </c>
      <c r="E478" s="22"/>
      <c r="F478" s="22" t="s">
        <v>430</v>
      </c>
      <c r="G478" s="22"/>
      <c r="H478" s="22"/>
      <c r="I478" s="25" t="s">
        <v>2061</v>
      </c>
      <c r="J478" s="22"/>
      <c r="K478" s="22" t="s">
        <v>2062</v>
      </c>
      <c r="L478" s="24" t="s">
        <v>2063</v>
      </c>
      <c r="M478" s="22" t="str">
        <f>HYPERLINK("https://ceds.ed.gov/cedselementdetails.aspx?termid=21510")</f>
        <v>https://ceds.ed.gov/cedselementdetails.aspx?termid=21510</v>
      </c>
    </row>
    <row r="479" spans="1:13" ht="100.8" x14ac:dyDescent="0.3">
      <c r="A479" s="22" t="s">
        <v>2064</v>
      </c>
      <c r="B479" s="22" t="s">
        <v>2065</v>
      </c>
      <c r="C479" s="23" t="s">
        <v>32</v>
      </c>
      <c r="D479" s="24" t="s">
        <v>8726</v>
      </c>
      <c r="E479" s="22"/>
      <c r="F479" s="22" t="s">
        <v>430</v>
      </c>
      <c r="G479" s="22"/>
      <c r="H479" s="22"/>
      <c r="I479" s="25" t="s">
        <v>2066</v>
      </c>
      <c r="J479" s="22"/>
      <c r="K479" s="22" t="s">
        <v>2067</v>
      </c>
      <c r="L479" s="24" t="s">
        <v>2063</v>
      </c>
      <c r="M479" s="22" t="str">
        <f>HYPERLINK("https://ceds.ed.gov/cedselementdetails.aspx?termid=21511")</f>
        <v>https://ceds.ed.gov/cedselementdetails.aspx?termid=21511</v>
      </c>
    </row>
    <row r="480" spans="1:13" ht="72" x14ac:dyDescent="0.3">
      <c r="A480" s="22" t="s">
        <v>2068</v>
      </c>
      <c r="B480" s="22" t="s">
        <v>2069</v>
      </c>
      <c r="C480" s="23" t="s">
        <v>32</v>
      </c>
      <c r="D480" s="24" t="s">
        <v>2070</v>
      </c>
      <c r="E480" s="22"/>
      <c r="F480" s="22" t="s">
        <v>157</v>
      </c>
      <c r="G480" s="22"/>
      <c r="H480" s="22"/>
      <c r="I480" s="25" t="s">
        <v>2071</v>
      </c>
      <c r="J480" s="22"/>
      <c r="K480" s="22" t="s">
        <v>2072</v>
      </c>
      <c r="L480" s="22"/>
      <c r="M480" s="22" t="str">
        <f>HYPERLINK("https://ceds.ed.gov/cedselementdetails.aspx?termid=21512")</f>
        <v>https://ceds.ed.gov/cedselementdetails.aspx?termid=21512</v>
      </c>
    </row>
    <row r="481" spans="1:13" ht="72" x14ac:dyDescent="0.3">
      <c r="A481" s="22" t="s">
        <v>2073</v>
      </c>
      <c r="B481" s="22" t="s">
        <v>2074</v>
      </c>
      <c r="C481" s="23" t="s">
        <v>32</v>
      </c>
      <c r="D481" s="24" t="s">
        <v>2070</v>
      </c>
      <c r="E481" s="22"/>
      <c r="F481" s="22" t="s">
        <v>85</v>
      </c>
      <c r="G481" s="22"/>
      <c r="H481" s="22"/>
      <c r="I481" s="25" t="s">
        <v>2075</v>
      </c>
      <c r="J481" s="22"/>
      <c r="K481" s="22" t="s">
        <v>2076</v>
      </c>
      <c r="L481" s="22"/>
      <c r="M481" s="22" t="str">
        <f>HYPERLINK("https://ceds.ed.gov/cedselementdetails.aspx?termid=21513")</f>
        <v>https://ceds.ed.gov/cedselementdetails.aspx?termid=21513</v>
      </c>
    </row>
    <row r="482" spans="1:13" ht="72" x14ac:dyDescent="0.3">
      <c r="A482" s="22" t="s">
        <v>2077</v>
      </c>
      <c r="B482" s="22" t="s">
        <v>2078</v>
      </c>
      <c r="C482" s="23" t="s">
        <v>32</v>
      </c>
      <c r="D482" s="22" t="s">
        <v>61</v>
      </c>
      <c r="E482" s="22"/>
      <c r="F482" s="22" t="s">
        <v>2079</v>
      </c>
      <c r="G482" s="22"/>
      <c r="H482" s="22"/>
      <c r="I482" s="25" t="s">
        <v>2080</v>
      </c>
      <c r="J482" s="22"/>
      <c r="K482" s="22" t="s">
        <v>2081</v>
      </c>
      <c r="L482" s="24" t="s">
        <v>64</v>
      </c>
      <c r="M482" s="22" t="str">
        <f>HYPERLINK("https://ceds.ed.gov/cedselementdetails.aspx?termid=21042")</f>
        <v>https://ceds.ed.gov/cedselementdetails.aspx?termid=21042</v>
      </c>
    </row>
    <row r="483" spans="1:13" ht="331.2" x14ac:dyDescent="0.3">
      <c r="A483" s="22" t="s">
        <v>2082</v>
      </c>
      <c r="B483" s="22" t="s">
        <v>2083</v>
      </c>
      <c r="C483" s="23" t="s">
        <v>7422</v>
      </c>
      <c r="D483" s="24" t="s">
        <v>2084</v>
      </c>
      <c r="E483" s="22"/>
      <c r="F483" s="22"/>
      <c r="G483" s="22"/>
      <c r="H483" s="22"/>
      <c r="I483" s="25" t="s">
        <v>2085</v>
      </c>
      <c r="J483" s="22" t="s">
        <v>2086</v>
      </c>
      <c r="K483" s="22" t="s">
        <v>2087</v>
      </c>
      <c r="L483" s="24" t="s">
        <v>42</v>
      </c>
      <c r="M483" s="22" t="str">
        <f>HYPERLINK("https://ceds.ed.gov/cedselementdetails.aspx?termid=21043")</f>
        <v>https://ceds.ed.gov/cedselementdetails.aspx?termid=21043</v>
      </c>
    </row>
    <row r="484" spans="1:13" ht="187.2" x14ac:dyDescent="0.3">
      <c r="A484" s="22" t="s">
        <v>2088</v>
      </c>
      <c r="B484" s="22" t="s">
        <v>2089</v>
      </c>
      <c r="C484" s="26" t="s">
        <v>8727</v>
      </c>
      <c r="D484" s="24" t="s">
        <v>2090</v>
      </c>
      <c r="E484" s="22"/>
      <c r="F484" s="22"/>
      <c r="G484" s="22"/>
      <c r="H484" s="22"/>
      <c r="I484" s="25" t="s">
        <v>2091</v>
      </c>
      <c r="J484" s="22" t="s">
        <v>2092</v>
      </c>
      <c r="K484" s="22" t="s">
        <v>2093</v>
      </c>
      <c r="L484" s="24" t="s">
        <v>198</v>
      </c>
      <c r="M484" s="22" t="str">
        <f>HYPERLINK("https://ceds.ed.gov/cedselementdetails.aspx?termid=21044")</f>
        <v>https://ceds.ed.gov/cedselementdetails.aspx?termid=21044</v>
      </c>
    </row>
    <row r="485" spans="1:13" ht="273.60000000000002" x14ac:dyDescent="0.3">
      <c r="A485" s="22" t="s">
        <v>2094</v>
      </c>
      <c r="B485" s="22" t="s">
        <v>2095</v>
      </c>
      <c r="C485" s="26" t="s">
        <v>8728</v>
      </c>
      <c r="D485" s="24" t="s">
        <v>2096</v>
      </c>
      <c r="E485" s="22"/>
      <c r="F485" s="22"/>
      <c r="G485" s="22"/>
      <c r="H485" s="22"/>
      <c r="I485" s="25" t="s">
        <v>2097</v>
      </c>
      <c r="J485" s="22" t="s">
        <v>2098</v>
      </c>
      <c r="K485" s="22" t="s">
        <v>2099</v>
      </c>
      <c r="L485" s="24" t="s">
        <v>198</v>
      </c>
      <c r="M485" s="22" t="str">
        <f>HYPERLINK("https://ceds.ed.gov/cedselementdetails.aspx?termid=21045")</f>
        <v>https://ceds.ed.gov/cedselementdetails.aspx?termid=21045</v>
      </c>
    </row>
    <row r="486" spans="1:13" ht="72" x14ac:dyDescent="0.3">
      <c r="A486" s="22" t="s">
        <v>2100</v>
      </c>
      <c r="B486" s="22" t="s">
        <v>2101</v>
      </c>
      <c r="C486" s="23" t="s">
        <v>32</v>
      </c>
      <c r="D486" s="24" t="s">
        <v>2070</v>
      </c>
      <c r="E486" s="22"/>
      <c r="F486" s="22" t="s">
        <v>132</v>
      </c>
      <c r="G486" s="22"/>
      <c r="H486" s="22" t="s">
        <v>7945</v>
      </c>
      <c r="I486" s="25" t="s">
        <v>2102</v>
      </c>
      <c r="J486" s="22"/>
      <c r="K486" s="22" t="s">
        <v>2103</v>
      </c>
      <c r="L486" s="22"/>
      <c r="M486" s="22" t="str">
        <f>HYPERLINK("https://ceds.ed.gov/cedselementdetails.aspx?termid=21507")</f>
        <v>https://ceds.ed.gov/cedselementdetails.aspx?termid=21507</v>
      </c>
    </row>
    <row r="487" spans="1:13" ht="244.8" x14ac:dyDescent="0.3">
      <c r="A487" s="22" t="s">
        <v>2104</v>
      </c>
      <c r="B487" s="22" t="s">
        <v>2105</v>
      </c>
      <c r="C487" s="26" t="s">
        <v>8411</v>
      </c>
      <c r="D487" s="24" t="s">
        <v>8412</v>
      </c>
      <c r="E487" s="22" t="s">
        <v>172</v>
      </c>
      <c r="F487" s="22"/>
      <c r="G487" s="22" t="s">
        <v>7946</v>
      </c>
      <c r="H487" s="22"/>
      <c r="I487" s="25" t="s">
        <v>2106</v>
      </c>
      <c r="J487" s="22"/>
      <c r="K487" s="22" t="s">
        <v>2107</v>
      </c>
      <c r="L487" s="22"/>
      <c r="M487" s="22" t="str">
        <f>HYPERLINK("https://ceds.ed.gov/cedselementdetails.aspx?termid=21615")</f>
        <v>https://ceds.ed.gov/cedselementdetails.aspx?termid=21615</v>
      </c>
    </row>
    <row r="488" spans="1:13" x14ac:dyDescent="0.3">
      <c r="A488" s="22" t="s">
        <v>2108</v>
      </c>
      <c r="B488" s="22" t="s">
        <v>2109</v>
      </c>
      <c r="C488" s="23" t="s">
        <v>32</v>
      </c>
      <c r="D488" s="22" t="s">
        <v>61</v>
      </c>
      <c r="E488" s="22"/>
      <c r="F488" s="22" t="s">
        <v>85</v>
      </c>
      <c r="G488" s="22"/>
      <c r="H488" s="22"/>
      <c r="I488" s="25" t="s">
        <v>2110</v>
      </c>
      <c r="J488" s="22"/>
      <c r="K488" s="22" t="s">
        <v>2111</v>
      </c>
      <c r="L488" s="22"/>
      <c r="M488" s="22" t="str">
        <f>HYPERLINK("https://ceds.ed.gov/cedselementdetails.aspx?termid=21687")</f>
        <v>https://ceds.ed.gov/cedselementdetails.aspx?termid=21687</v>
      </c>
    </row>
    <row r="489" spans="1:13" ht="100.8" x14ac:dyDescent="0.3">
      <c r="A489" s="22" t="s">
        <v>2112</v>
      </c>
      <c r="B489" s="22" t="s">
        <v>2113</v>
      </c>
      <c r="C489" s="26" t="s">
        <v>8729</v>
      </c>
      <c r="D489" s="22" t="s">
        <v>2114</v>
      </c>
      <c r="E489" s="22"/>
      <c r="F489" s="22"/>
      <c r="G489" s="22"/>
      <c r="H489" s="22"/>
      <c r="I489" s="25" t="s">
        <v>2115</v>
      </c>
      <c r="J489" s="22"/>
      <c r="K489" s="22" t="s">
        <v>2116</v>
      </c>
      <c r="L489" s="22" t="s">
        <v>242</v>
      </c>
      <c r="M489" s="22" t="str">
        <f>HYPERLINK("https://ceds.ed.gov/cedselementdetails.aspx?termid=21106")</f>
        <v>https://ceds.ed.gov/cedselementdetails.aspx?termid=21106</v>
      </c>
    </row>
    <row r="490" spans="1:13" ht="43.2" x14ac:dyDescent="0.3">
      <c r="A490" s="22" t="s">
        <v>2117</v>
      </c>
      <c r="B490" s="22" t="s">
        <v>7452</v>
      </c>
      <c r="C490" s="23" t="s">
        <v>32</v>
      </c>
      <c r="D490" s="24" t="s">
        <v>2118</v>
      </c>
      <c r="E490" s="22"/>
      <c r="F490" s="22" t="s">
        <v>1844</v>
      </c>
      <c r="G490" s="22"/>
      <c r="H490" s="22"/>
      <c r="I490" s="25" t="s">
        <v>2119</v>
      </c>
      <c r="J490" s="22"/>
      <c r="K490" s="22" t="s">
        <v>2120</v>
      </c>
      <c r="L490" s="24" t="s">
        <v>2121</v>
      </c>
      <c r="M490" s="22" t="str">
        <f>HYPERLINK("https://ceds.ed.gov/cedselementdetails.aspx?termid=21577")</f>
        <v>https://ceds.ed.gov/cedselementdetails.aspx?termid=21577</v>
      </c>
    </row>
    <row r="491" spans="1:13" x14ac:dyDescent="0.3">
      <c r="A491" s="22" t="s">
        <v>7453</v>
      </c>
      <c r="B491" s="22" t="s">
        <v>7454</v>
      </c>
      <c r="C491" s="23" t="s">
        <v>32</v>
      </c>
      <c r="D491" s="22" t="s">
        <v>8040</v>
      </c>
      <c r="E491" s="22"/>
      <c r="F491" s="22" t="s">
        <v>1518</v>
      </c>
      <c r="G491" s="22"/>
      <c r="H491" s="22"/>
      <c r="I491" s="25" t="s">
        <v>7455</v>
      </c>
      <c r="J491" s="22"/>
      <c r="K491" s="22" t="s">
        <v>7456</v>
      </c>
      <c r="L491" s="22"/>
      <c r="M491" s="22" t="str">
        <f>HYPERLINK("https://ceds.ed.gov/cedselementdetails.aspx?termid=22918")</f>
        <v>https://ceds.ed.gov/cedselementdetails.aspx?termid=22918</v>
      </c>
    </row>
    <row r="492" spans="1:13" ht="43.2" x14ac:dyDescent="0.3">
      <c r="A492" s="22" t="s">
        <v>2122</v>
      </c>
      <c r="B492" s="22" t="s">
        <v>2123</v>
      </c>
      <c r="C492" s="23" t="s">
        <v>32</v>
      </c>
      <c r="D492" s="24" t="s">
        <v>2124</v>
      </c>
      <c r="E492" s="22"/>
      <c r="F492" s="22" t="s">
        <v>1844</v>
      </c>
      <c r="G492" s="22"/>
      <c r="H492" s="22"/>
      <c r="I492" s="25" t="s">
        <v>2125</v>
      </c>
      <c r="J492" s="22"/>
      <c r="K492" s="22" t="s">
        <v>2126</v>
      </c>
      <c r="L492" s="24" t="s">
        <v>1965</v>
      </c>
      <c r="M492" s="22" t="str">
        <f>HYPERLINK("https://ceds.ed.gov/cedselementdetails.aspx?termid=21046")</f>
        <v>https://ceds.ed.gov/cedselementdetails.aspx?termid=21046</v>
      </c>
    </row>
    <row r="493" spans="1:13" ht="129.6" x14ac:dyDescent="0.3">
      <c r="A493" s="22" t="s">
        <v>2127</v>
      </c>
      <c r="B493" s="22" t="s">
        <v>2128</v>
      </c>
      <c r="C493" s="26" t="s">
        <v>8730</v>
      </c>
      <c r="D493" s="24" t="s">
        <v>8731</v>
      </c>
      <c r="E493" s="22"/>
      <c r="F493" s="22"/>
      <c r="G493" s="22"/>
      <c r="H493" s="22"/>
      <c r="I493" s="25" t="s">
        <v>2129</v>
      </c>
      <c r="J493" s="22"/>
      <c r="K493" s="22" t="s">
        <v>2130</v>
      </c>
      <c r="L493" s="22"/>
      <c r="M493" s="22" t="str">
        <f>HYPERLINK("https://ceds.ed.gov/cedselementdetails.aspx?termid=22614")</f>
        <v>https://ceds.ed.gov/cedselementdetails.aspx?termid=22614</v>
      </c>
    </row>
    <row r="494" spans="1:13" x14ac:dyDescent="0.3">
      <c r="A494" s="22" t="s">
        <v>2131</v>
      </c>
      <c r="B494" s="22" t="s">
        <v>2132</v>
      </c>
      <c r="C494" s="23" t="s">
        <v>32</v>
      </c>
      <c r="D494" s="22" t="s">
        <v>2133</v>
      </c>
      <c r="E494" s="22"/>
      <c r="F494" s="22" t="s">
        <v>113</v>
      </c>
      <c r="G494" s="22"/>
      <c r="H494" s="22"/>
      <c r="I494" s="25" t="s">
        <v>2134</v>
      </c>
      <c r="J494" s="22" t="s">
        <v>2135</v>
      </c>
      <c r="K494" s="22" t="s">
        <v>2136</v>
      </c>
      <c r="L494" s="22"/>
      <c r="M494" s="22" t="str">
        <f>HYPERLINK("https://ceds.ed.gov/cedselementdetails.aspx?termid=22371")</f>
        <v>https://ceds.ed.gov/cedselementdetails.aspx?termid=22371</v>
      </c>
    </row>
    <row r="495" spans="1:13" x14ac:dyDescent="0.3">
      <c r="A495" s="22" t="s">
        <v>2137</v>
      </c>
      <c r="B495" s="22" t="s">
        <v>2138</v>
      </c>
      <c r="C495" s="23" t="s">
        <v>32</v>
      </c>
      <c r="D495" s="22" t="s">
        <v>2133</v>
      </c>
      <c r="E495" s="22"/>
      <c r="F495" s="22" t="s">
        <v>85</v>
      </c>
      <c r="G495" s="22"/>
      <c r="H495" s="22"/>
      <c r="I495" s="25" t="s">
        <v>2139</v>
      </c>
      <c r="J495" s="22" t="s">
        <v>2140</v>
      </c>
      <c r="K495" s="22" t="s">
        <v>2141</v>
      </c>
      <c r="L495" s="22"/>
      <c r="M495" s="22" t="str">
        <f>HYPERLINK("https://ceds.ed.gov/cedselementdetails.aspx?termid=22372")</f>
        <v>https://ceds.ed.gov/cedselementdetails.aspx?termid=22372</v>
      </c>
    </row>
    <row r="496" spans="1:13" x14ac:dyDescent="0.3">
      <c r="A496" s="22" t="s">
        <v>2142</v>
      </c>
      <c r="B496" s="22" t="s">
        <v>2143</v>
      </c>
      <c r="C496" s="23" t="s">
        <v>32</v>
      </c>
      <c r="D496" s="22" t="s">
        <v>2133</v>
      </c>
      <c r="E496" s="22"/>
      <c r="F496" s="22" t="s">
        <v>50</v>
      </c>
      <c r="G496" s="22"/>
      <c r="H496" s="22"/>
      <c r="I496" s="25" t="s">
        <v>2144</v>
      </c>
      <c r="J496" s="22" t="s">
        <v>2145</v>
      </c>
      <c r="K496" s="22" t="s">
        <v>2146</v>
      </c>
      <c r="L496" s="22"/>
      <c r="M496" s="22" t="str">
        <f>HYPERLINK("https://ceds.ed.gov/cedselementdetails.aspx?termid=22373")</f>
        <v>https://ceds.ed.gov/cedselementdetails.aspx?termid=22373</v>
      </c>
    </row>
    <row r="497" spans="1:13" ht="43.2" x14ac:dyDescent="0.3">
      <c r="A497" s="22" t="s">
        <v>2147</v>
      </c>
      <c r="B497" s="22" t="s">
        <v>2148</v>
      </c>
      <c r="C497" s="23" t="s">
        <v>32</v>
      </c>
      <c r="D497" s="24" t="s">
        <v>2149</v>
      </c>
      <c r="E497" s="22"/>
      <c r="F497" s="22" t="s">
        <v>50</v>
      </c>
      <c r="G497" s="22"/>
      <c r="H497" s="22"/>
      <c r="I497" s="25" t="s">
        <v>2150</v>
      </c>
      <c r="J497" s="22" t="s">
        <v>2151</v>
      </c>
      <c r="K497" s="22" t="s">
        <v>2152</v>
      </c>
      <c r="L497" s="22"/>
      <c r="M497" s="22" t="str">
        <f>HYPERLINK("https://ceds.ed.gov/cedselementdetails.aspx?termid=21871")</f>
        <v>https://ceds.ed.gov/cedselementdetails.aspx?termid=21871</v>
      </c>
    </row>
    <row r="498" spans="1:13" x14ac:dyDescent="0.3">
      <c r="A498" s="22" t="s">
        <v>2153</v>
      </c>
      <c r="B498" s="22" t="s">
        <v>2154</v>
      </c>
      <c r="C498" s="23" t="s">
        <v>32</v>
      </c>
      <c r="D498" s="22" t="s">
        <v>2133</v>
      </c>
      <c r="E498" s="22"/>
      <c r="F498" s="22" t="s">
        <v>85</v>
      </c>
      <c r="G498" s="22"/>
      <c r="H498" s="22"/>
      <c r="I498" s="25" t="s">
        <v>2155</v>
      </c>
      <c r="J498" s="22" t="s">
        <v>2156</v>
      </c>
      <c r="K498" s="22" t="s">
        <v>2157</v>
      </c>
      <c r="L498" s="22"/>
      <c r="M498" s="22" t="str">
        <f>HYPERLINK("https://ceds.ed.gov/cedselementdetails.aspx?termid=22374")</f>
        <v>https://ceds.ed.gov/cedselementdetails.aspx?termid=22374</v>
      </c>
    </row>
    <row r="499" spans="1:13" x14ac:dyDescent="0.3">
      <c r="A499" s="22" t="s">
        <v>2158</v>
      </c>
      <c r="B499" s="22" t="s">
        <v>2159</v>
      </c>
      <c r="C499" s="23" t="s">
        <v>32</v>
      </c>
      <c r="D499" s="22" t="s">
        <v>2133</v>
      </c>
      <c r="E499" s="22"/>
      <c r="F499" s="22" t="s">
        <v>50</v>
      </c>
      <c r="G499" s="22"/>
      <c r="H499" s="22"/>
      <c r="I499" s="25" t="s">
        <v>2160</v>
      </c>
      <c r="J499" s="22" t="s">
        <v>2161</v>
      </c>
      <c r="K499" s="22" t="s">
        <v>2162</v>
      </c>
      <c r="L499" s="22"/>
      <c r="M499" s="22" t="str">
        <f>HYPERLINK("https://ceds.ed.gov/cedselementdetails.aspx?termid=22375")</f>
        <v>https://ceds.ed.gov/cedselementdetails.aspx?termid=22375</v>
      </c>
    </row>
    <row r="500" spans="1:13" ht="409.6" x14ac:dyDescent="0.3">
      <c r="A500" s="22" t="s">
        <v>2163</v>
      </c>
      <c r="B500" s="22" t="s">
        <v>2164</v>
      </c>
      <c r="C500" s="26" t="s">
        <v>8732</v>
      </c>
      <c r="D500" s="24" t="s">
        <v>2149</v>
      </c>
      <c r="E500" s="22"/>
      <c r="F500" s="22"/>
      <c r="G500" s="22"/>
      <c r="H500" s="22" t="s">
        <v>8041</v>
      </c>
      <c r="I500" s="25" t="s">
        <v>2165</v>
      </c>
      <c r="J500" s="22" t="s">
        <v>2166</v>
      </c>
      <c r="K500" s="22" t="s">
        <v>2167</v>
      </c>
      <c r="L500" s="22"/>
      <c r="M500" s="22" t="str">
        <f>HYPERLINK("https://ceds.ed.gov/cedselementdetails.aspx?termid=21869")</f>
        <v>https://ceds.ed.gov/cedselementdetails.aspx?termid=21869</v>
      </c>
    </row>
    <row r="501" spans="1:13" x14ac:dyDescent="0.3">
      <c r="A501" s="22" t="s">
        <v>2168</v>
      </c>
      <c r="B501" s="22" t="s">
        <v>2169</v>
      </c>
      <c r="C501" s="23" t="s">
        <v>32</v>
      </c>
      <c r="D501" s="22" t="s">
        <v>2133</v>
      </c>
      <c r="E501" s="22"/>
      <c r="F501" s="22" t="s">
        <v>2170</v>
      </c>
      <c r="G501" s="22"/>
      <c r="H501" s="22" t="s">
        <v>2171</v>
      </c>
      <c r="I501" s="25" t="s">
        <v>2172</v>
      </c>
      <c r="J501" s="22" t="s">
        <v>2173</v>
      </c>
      <c r="K501" s="22" t="s">
        <v>2174</v>
      </c>
      <c r="L501" s="22"/>
      <c r="M501" s="22" t="str">
        <f>HYPERLINK("https://ceds.ed.gov/cedselementdetails.aspx?termid=22376")</f>
        <v>https://ceds.ed.gov/cedselementdetails.aspx?termid=22376</v>
      </c>
    </row>
    <row r="502" spans="1:13" ht="57.6" x14ac:dyDescent="0.3">
      <c r="A502" s="22" t="s">
        <v>2175</v>
      </c>
      <c r="B502" s="22" t="s">
        <v>2176</v>
      </c>
      <c r="C502" s="26" t="s">
        <v>8733</v>
      </c>
      <c r="D502" s="22" t="s">
        <v>2177</v>
      </c>
      <c r="E502" s="22"/>
      <c r="F502" s="22"/>
      <c r="G502" s="22"/>
      <c r="H502" s="22"/>
      <c r="I502" s="25" t="s">
        <v>2178</v>
      </c>
      <c r="J502" s="22" t="s">
        <v>2179</v>
      </c>
      <c r="K502" s="22" t="s">
        <v>2180</v>
      </c>
      <c r="L502" s="22"/>
      <c r="M502" s="22" t="str">
        <f>HYPERLINK("https://ceds.ed.gov/cedselementdetails.aspx?termid=21875")</f>
        <v>https://ceds.ed.gov/cedselementdetails.aspx?termid=21875</v>
      </c>
    </row>
    <row r="503" spans="1:13" ht="72" x14ac:dyDescent="0.3">
      <c r="A503" s="22" t="s">
        <v>2181</v>
      </c>
      <c r="B503" s="22" t="s">
        <v>2182</v>
      </c>
      <c r="C503" s="23" t="s">
        <v>32</v>
      </c>
      <c r="D503" s="24" t="s">
        <v>2183</v>
      </c>
      <c r="E503" s="22"/>
      <c r="F503" s="22" t="s">
        <v>85</v>
      </c>
      <c r="G503" s="22"/>
      <c r="H503" s="22" t="s">
        <v>8042</v>
      </c>
      <c r="I503" s="25" t="s">
        <v>2184</v>
      </c>
      <c r="J503" s="22" t="s">
        <v>2185</v>
      </c>
      <c r="K503" s="22" t="s">
        <v>2186</v>
      </c>
      <c r="L503" s="22"/>
      <c r="M503" s="22" t="str">
        <f>HYPERLINK("https://ceds.ed.gov/cedselementdetails.aspx?termid=21669")</f>
        <v>https://ceds.ed.gov/cedselementdetails.aspx?termid=21669</v>
      </c>
    </row>
    <row r="504" spans="1:13" x14ac:dyDescent="0.3">
      <c r="A504" s="22" t="s">
        <v>2187</v>
      </c>
      <c r="B504" s="22" t="s">
        <v>2188</v>
      </c>
      <c r="C504" s="23" t="s">
        <v>32</v>
      </c>
      <c r="D504" s="22" t="s">
        <v>2177</v>
      </c>
      <c r="E504" s="22"/>
      <c r="F504" s="22" t="s">
        <v>113</v>
      </c>
      <c r="G504" s="22"/>
      <c r="H504" s="22"/>
      <c r="I504" s="25" t="s">
        <v>2189</v>
      </c>
      <c r="J504" s="22" t="s">
        <v>2190</v>
      </c>
      <c r="K504" s="22" t="s">
        <v>2191</v>
      </c>
      <c r="L504" s="22"/>
      <c r="M504" s="22" t="str">
        <f>HYPERLINK("https://ceds.ed.gov/cedselementdetails.aspx?termid=21887")</f>
        <v>https://ceds.ed.gov/cedselementdetails.aspx?termid=21887</v>
      </c>
    </row>
    <row r="505" spans="1:13" x14ac:dyDescent="0.3">
      <c r="A505" s="22" t="s">
        <v>2192</v>
      </c>
      <c r="B505" s="22" t="s">
        <v>2193</v>
      </c>
      <c r="C505" s="23" t="s">
        <v>32</v>
      </c>
      <c r="D505" s="22" t="s">
        <v>2177</v>
      </c>
      <c r="E505" s="22"/>
      <c r="F505" s="22" t="s">
        <v>85</v>
      </c>
      <c r="G505" s="22"/>
      <c r="H505" s="22"/>
      <c r="I505" s="25" t="s">
        <v>2194</v>
      </c>
      <c r="J505" s="22" t="s">
        <v>2195</v>
      </c>
      <c r="K505" s="22" t="s">
        <v>2196</v>
      </c>
      <c r="L505" s="22"/>
      <c r="M505" s="22" t="str">
        <f>HYPERLINK("https://ceds.ed.gov/cedselementdetails.aspx?termid=21888")</f>
        <v>https://ceds.ed.gov/cedselementdetails.aspx?termid=21888</v>
      </c>
    </row>
    <row r="506" spans="1:13" ht="43.2" x14ac:dyDescent="0.3">
      <c r="A506" s="22" t="s">
        <v>2197</v>
      </c>
      <c r="B506" s="22" t="s">
        <v>2198</v>
      </c>
      <c r="C506" s="26" t="s">
        <v>22</v>
      </c>
      <c r="D506" s="22" t="s">
        <v>2177</v>
      </c>
      <c r="E506" s="22"/>
      <c r="F506" s="22"/>
      <c r="G506" s="22"/>
      <c r="H506" s="22" t="s">
        <v>2199</v>
      </c>
      <c r="I506" s="25" t="s">
        <v>2200</v>
      </c>
      <c r="J506" s="22" t="s">
        <v>2201</v>
      </c>
      <c r="K506" s="22" t="s">
        <v>2202</v>
      </c>
      <c r="L506" s="22"/>
      <c r="M506" s="22" t="str">
        <f>HYPERLINK("https://ceds.ed.gov/cedselementdetails.aspx?termid=22499")</f>
        <v>https://ceds.ed.gov/cedselementdetails.aspx?termid=22499</v>
      </c>
    </row>
    <row r="507" spans="1:13" ht="409.6" x14ac:dyDescent="0.3">
      <c r="A507" s="22" t="s">
        <v>2203</v>
      </c>
      <c r="B507" s="22" t="s">
        <v>2204</v>
      </c>
      <c r="C507" s="26" t="s">
        <v>8734</v>
      </c>
      <c r="D507" s="22" t="s">
        <v>2177</v>
      </c>
      <c r="E507" s="22"/>
      <c r="F507" s="22"/>
      <c r="G507" s="22"/>
      <c r="H507" s="22" t="s">
        <v>2205</v>
      </c>
      <c r="I507" s="25" t="s">
        <v>2206</v>
      </c>
      <c r="J507" s="22" t="s">
        <v>2207</v>
      </c>
      <c r="K507" s="22" t="s">
        <v>2208</v>
      </c>
      <c r="L507" s="22"/>
      <c r="M507" s="22" t="str">
        <f>HYPERLINK("https://ceds.ed.gov/cedselementdetails.aspx?termid=21701")</f>
        <v>https://ceds.ed.gov/cedselementdetails.aspx?termid=21701</v>
      </c>
    </row>
    <row r="508" spans="1:13" x14ac:dyDescent="0.3">
      <c r="A508" s="22" t="s">
        <v>2209</v>
      </c>
      <c r="B508" s="22" t="s">
        <v>2210</v>
      </c>
      <c r="C508" s="23" t="s">
        <v>32</v>
      </c>
      <c r="D508" s="22" t="s">
        <v>2177</v>
      </c>
      <c r="E508" s="22"/>
      <c r="F508" s="22" t="s">
        <v>132</v>
      </c>
      <c r="G508" s="22"/>
      <c r="H508" s="22" t="s">
        <v>8043</v>
      </c>
      <c r="I508" s="25" t="s">
        <v>2211</v>
      </c>
      <c r="J508" s="22" t="s">
        <v>2212</v>
      </c>
      <c r="K508" s="22" t="s">
        <v>2213</v>
      </c>
      <c r="L508" s="22" t="s">
        <v>812</v>
      </c>
      <c r="M508" s="22" t="str">
        <f>HYPERLINK("https://ceds.ed.gov/cedselementdetails.aspx?termid=21666")</f>
        <v>https://ceds.ed.gov/cedselementdetails.aspx?termid=21666</v>
      </c>
    </row>
    <row r="509" spans="1:13" x14ac:dyDescent="0.3">
      <c r="A509" s="22" t="s">
        <v>2214</v>
      </c>
      <c r="B509" s="22" t="s">
        <v>2215</v>
      </c>
      <c r="C509" s="23" t="s">
        <v>7423</v>
      </c>
      <c r="D509" s="22" t="s">
        <v>2177</v>
      </c>
      <c r="E509" s="22"/>
      <c r="F509" s="22"/>
      <c r="G509" s="22"/>
      <c r="H509" s="22" t="s">
        <v>7994</v>
      </c>
      <c r="I509" s="25" t="s">
        <v>2216</v>
      </c>
      <c r="J509" s="22" t="s">
        <v>2217</v>
      </c>
      <c r="K509" s="22" t="s">
        <v>2218</v>
      </c>
      <c r="L509" s="22"/>
      <c r="M509" s="22" t="str">
        <f>HYPERLINK("https://ceds.ed.gov/cedselementdetails.aspx?termid=21881")</f>
        <v>https://ceds.ed.gov/cedselementdetails.aspx?termid=21881</v>
      </c>
    </row>
    <row r="510" spans="1:13" x14ac:dyDescent="0.3">
      <c r="A510" s="22" t="s">
        <v>2219</v>
      </c>
      <c r="B510" s="22" t="s">
        <v>2220</v>
      </c>
      <c r="C510" s="23" t="s">
        <v>32</v>
      </c>
      <c r="D510" s="22" t="s">
        <v>2177</v>
      </c>
      <c r="E510" s="22"/>
      <c r="F510" s="22" t="s">
        <v>328</v>
      </c>
      <c r="G510" s="22"/>
      <c r="H510" s="22"/>
      <c r="I510" s="25" t="s">
        <v>2221</v>
      </c>
      <c r="J510" s="22" t="s">
        <v>2222</v>
      </c>
      <c r="K510" s="22" t="s">
        <v>2223</v>
      </c>
      <c r="L510" s="22"/>
      <c r="M510" s="22" t="str">
        <f>HYPERLINK("https://ceds.ed.gov/cedselementdetails.aspx?termid=21883")</f>
        <v>https://ceds.ed.gov/cedselementdetails.aspx?termid=21883</v>
      </c>
    </row>
    <row r="511" spans="1:13" ht="129.6" x14ac:dyDescent="0.3">
      <c r="A511" s="22" t="s">
        <v>2224</v>
      </c>
      <c r="B511" s="22" t="s">
        <v>2225</v>
      </c>
      <c r="C511" s="26" t="s">
        <v>8735</v>
      </c>
      <c r="D511" s="22" t="s">
        <v>2177</v>
      </c>
      <c r="E511" s="22"/>
      <c r="F511" s="22"/>
      <c r="G511" s="22"/>
      <c r="H511" s="22"/>
      <c r="I511" s="25" t="s">
        <v>2226</v>
      </c>
      <c r="J511" s="22" t="s">
        <v>2227</v>
      </c>
      <c r="K511" s="22" t="s">
        <v>2228</v>
      </c>
      <c r="L511" s="22"/>
      <c r="M511" s="22" t="str">
        <f>HYPERLINK("https://ceds.ed.gov/cedselementdetails.aspx?termid=21876")</f>
        <v>https://ceds.ed.gov/cedselementdetails.aspx?termid=21876</v>
      </c>
    </row>
    <row r="512" spans="1:13" ht="86.4" x14ac:dyDescent="0.3">
      <c r="A512" s="22" t="s">
        <v>2229</v>
      </c>
      <c r="B512" s="22" t="s">
        <v>2230</v>
      </c>
      <c r="C512" s="26" t="s">
        <v>8736</v>
      </c>
      <c r="D512" s="22" t="s">
        <v>2177</v>
      </c>
      <c r="E512" s="22"/>
      <c r="F512" s="22"/>
      <c r="G512" s="22"/>
      <c r="H512" s="22"/>
      <c r="I512" s="25" t="s">
        <v>2231</v>
      </c>
      <c r="J512" s="22" t="s">
        <v>2232</v>
      </c>
      <c r="K512" s="22" t="s">
        <v>2233</v>
      </c>
      <c r="L512" s="22"/>
      <c r="M512" s="22" t="str">
        <f>HYPERLINK("https://ceds.ed.gov/cedselementdetails.aspx?termid=22377")</f>
        <v>https://ceds.ed.gov/cedselementdetails.aspx?termid=22377</v>
      </c>
    </row>
    <row r="513" spans="1:13" x14ac:dyDescent="0.3">
      <c r="A513" s="22" t="s">
        <v>2234</v>
      </c>
      <c r="B513" s="22" t="s">
        <v>2235</v>
      </c>
      <c r="C513" s="23" t="s">
        <v>32</v>
      </c>
      <c r="D513" s="22" t="s">
        <v>2177</v>
      </c>
      <c r="E513" s="22"/>
      <c r="F513" s="22" t="s">
        <v>328</v>
      </c>
      <c r="G513" s="22"/>
      <c r="H513" s="22"/>
      <c r="I513" s="25" t="s">
        <v>2236</v>
      </c>
      <c r="J513" s="22" t="s">
        <v>2237</v>
      </c>
      <c r="K513" s="22" t="s">
        <v>2238</v>
      </c>
      <c r="L513" s="22"/>
      <c r="M513" s="22" t="str">
        <f>HYPERLINK("https://ceds.ed.gov/cedselementdetails.aspx?termid=22215")</f>
        <v>https://ceds.ed.gov/cedselementdetails.aspx?termid=22215</v>
      </c>
    </row>
    <row r="514" spans="1:13" x14ac:dyDescent="0.3">
      <c r="A514" s="22" t="s">
        <v>2239</v>
      </c>
      <c r="B514" s="22" t="s">
        <v>2240</v>
      </c>
      <c r="C514" s="23" t="s">
        <v>32</v>
      </c>
      <c r="D514" s="22" t="s">
        <v>2177</v>
      </c>
      <c r="E514" s="22"/>
      <c r="F514" s="22" t="s">
        <v>85</v>
      </c>
      <c r="G514" s="22"/>
      <c r="H514" s="22"/>
      <c r="I514" s="25" t="s">
        <v>2241</v>
      </c>
      <c r="J514" s="22" t="s">
        <v>2242</v>
      </c>
      <c r="K514" s="22" t="s">
        <v>2243</v>
      </c>
      <c r="L514" s="22"/>
      <c r="M514" s="22" t="str">
        <f>HYPERLINK("https://ceds.ed.gov/cedselementdetails.aspx?termid=21873")</f>
        <v>https://ceds.ed.gov/cedselementdetails.aspx?termid=21873</v>
      </c>
    </row>
    <row r="515" spans="1:13" x14ac:dyDescent="0.3">
      <c r="A515" s="22" t="s">
        <v>2244</v>
      </c>
      <c r="B515" s="22" t="s">
        <v>2245</v>
      </c>
      <c r="C515" s="23" t="s">
        <v>32</v>
      </c>
      <c r="D515" s="22" t="s">
        <v>2177</v>
      </c>
      <c r="E515" s="22"/>
      <c r="F515" s="22" t="s">
        <v>132</v>
      </c>
      <c r="G515" s="22"/>
      <c r="H515" s="22" t="s">
        <v>7945</v>
      </c>
      <c r="I515" s="25" t="s">
        <v>2246</v>
      </c>
      <c r="J515" s="22" t="s">
        <v>2247</v>
      </c>
      <c r="K515" s="22" t="s">
        <v>2248</v>
      </c>
      <c r="L515" s="22"/>
      <c r="M515" s="22" t="str">
        <f>HYPERLINK("https://ceds.ed.gov/cedselementdetails.aspx?termid=21872")</f>
        <v>https://ceds.ed.gov/cedselementdetails.aspx?termid=21872</v>
      </c>
    </row>
    <row r="516" spans="1:13" x14ac:dyDescent="0.3">
      <c r="A516" s="22" t="s">
        <v>2249</v>
      </c>
      <c r="B516" s="22" t="s">
        <v>2250</v>
      </c>
      <c r="C516" s="23" t="s">
        <v>32</v>
      </c>
      <c r="D516" s="22" t="s">
        <v>2177</v>
      </c>
      <c r="E516" s="22"/>
      <c r="F516" s="22" t="s">
        <v>50</v>
      </c>
      <c r="G516" s="22"/>
      <c r="H516" s="22"/>
      <c r="I516" s="25" t="s">
        <v>2251</v>
      </c>
      <c r="J516" s="22" t="s">
        <v>2252</v>
      </c>
      <c r="K516" s="22" t="s">
        <v>2253</v>
      </c>
      <c r="L516" s="22"/>
      <c r="M516" s="22" t="str">
        <f>HYPERLINK("https://ceds.ed.gov/cedselementdetails.aspx?termid=22078")</f>
        <v>https://ceds.ed.gov/cedselementdetails.aspx?termid=22078</v>
      </c>
    </row>
    <row r="517" spans="1:13" x14ac:dyDescent="0.3">
      <c r="A517" s="22" t="s">
        <v>2254</v>
      </c>
      <c r="B517" s="22" t="s">
        <v>2255</v>
      </c>
      <c r="C517" s="23" t="s">
        <v>32</v>
      </c>
      <c r="D517" s="22" t="s">
        <v>2177</v>
      </c>
      <c r="E517" s="22"/>
      <c r="F517" s="22" t="s">
        <v>132</v>
      </c>
      <c r="G517" s="22"/>
      <c r="H517" s="22" t="s">
        <v>8044</v>
      </c>
      <c r="I517" s="25" t="s">
        <v>2256</v>
      </c>
      <c r="J517" s="22" t="s">
        <v>2257</v>
      </c>
      <c r="K517" s="22" t="s">
        <v>2258</v>
      </c>
      <c r="L517" s="22" t="s">
        <v>812</v>
      </c>
      <c r="M517" s="22" t="str">
        <f>HYPERLINK("https://ceds.ed.gov/cedselementdetails.aspx?termid=21691")</f>
        <v>https://ceds.ed.gov/cedselementdetails.aspx?termid=21691</v>
      </c>
    </row>
    <row r="518" spans="1:13" x14ac:dyDescent="0.3">
      <c r="A518" s="22" t="s">
        <v>2259</v>
      </c>
      <c r="B518" s="22" t="s">
        <v>2260</v>
      </c>
      <c r="C518" s="23" t="s">
        <v>32</v>
      </c>
      <c r="D518" s="22" t="s">
        <v>2177</v>
      </c>
      <c r="E518" s="22"/>
      <c r="F518" s="22" t="s">
        <v>132</v>
      </c>
      <c r="G518" s="22"/>
      <c r="H518" s="22" t="s">
        <v>8045</v>
      </c>
      <c r="I518" s="25" t="s">
        <v>2261</v>
      </c>
      <c r="J518" s="22" t="s">
        <v>2262</v>
      </c>
      <c r="K518" s="22" t="s">
        <v>2263</v>
      </c>
      <c r="L518" s="22"/>
      <c r="M518" s="22" t="str">
        <f>HYPERLINK("https://ceds.ed.gov/cedselementdetails.aspx?termid=22498")</f>
        <v>https://ceds.ed.gov/cedselementdetails.aspx?termid=22498</v>
      </c>
    </row>
    <row r="519" spans="1:13" x14ac:dyDescent="0.3">
      <c r="A519" s="22" t="s">
        <v>2264</v>
      </c>
      <c r="B519" s="22" t="s">
        <v>2265</v>
      </c>
      <c r="C519" s="23" t="s">
        <v>32</v>
      </c>
      <c r="D519" s="22" t="s">
        <v>2177</v>
      </c>
      <c r="E519" s="22"/>
      <c r="F519" s="22" t="s">
        <v>157</v>
      </c>
      <c r="G519" s="22"/>
      <c r="H519" s="22" t="s">
        <v>2266</v>
      </c>
      <c r="I519" s="25" t="s">
        <v>2267</v>
      </c>
      <c r="J519" s="22" t="s">
        <v>2268</v>
      </c>
      <c r="K519" s="22" t="s">
        <v>2269</v>
      </c>
      <c r="L519" s="22"/>
      <c r="M519" s="22" t="str">
        <f>HYPERLINK("https://ceds.ed.gov/cedselementdetails.aspx?termid=22549")</f>
        <v>https://ceds.ed.gov/cedselementdetails.aspx?termid=22549</v>
      </c>
    </row>
    <row r="520" spans="1:13" x14ac:dyDescent="0.3">
      <c r="A520" s="22" t="s">
        <v>2270</v>
      </c>
      <c r="B520" s="22" t="s">
        <v>2271</v>
      </c>
      <c r="C520" s="23" t="s">
        <v>32</v>
      </c>
      <c r="D520" s="22" t="s">
        <v>2177</v>
      </c>
      <c r="E520" s="22"/>
      <c r="F520" s="22" t="s">
        <v>85</v>
      </c>
      <c r="G520" s="22"/>
      <c r="H520" s="22"/>
      <c r="I520" s="25" t="s">
        <v>2272</v>
      </c>
      <c r="J520" s="22" t="s">
        <v>2273</v>
      </c>
      <c r="K520" s="22" t="s">
        <v>2274</v>
      </c>
      <c r="L520" s="22"/>
      <c r="M520" s="22" t="str">
        <f>HYPERLINK("https://ceds.ed.gov/cedselementdetails.aspx?termid=22378")</f>
        <v>https://ceds.ed.gov/cedselementdetails.aspx?termid=22378</v>
      </c>
    </row>
    <row r="521" spans="1:13" ht="72" x14ac:dyDescent="0.3">
      <c r="A521" s="22" t="s">
        <v>2275</v>
      </c>
      <c r="B521" s="22" t="s">
        <v>2276</v>
      </c>
      <c r="C521" s="23" t="s">
        <v>32</v>
      </c>
      <c r="D521" s="24" t="s">
        <v>2183</v>
      </c>
      <c r="E521" s="22"/>
      <c r="F521" s="22" t="s">
        <v>328</v>
      </c>
      <c r="G521" s="22"/>
      <c r="H521" s="22" t="s">
        <v>8046</v>
      </c>
      <c r="I521" s="25" t="s">
        <v>2277</v>
      </c>
      <c r="J521" s="22" t="s">
        <v>2278</v>
      </c>
      <c r="K521" s="22" t="s">
        <v>2279</v>
      </c>
      <c r="L521" s="22" t="s">
        <v>812</v>
      </c>
      <c r="M521" s="22" t="str">
        <f>HYPERLINK("https://ceds.ed.gov/cedselementdetails.aspx?termid=21667")</f>
        <v>https://ceds.ed.gov/cedselementdetails.aspx?termid=21667</v>
      </c>
    </row>
    <row r="522" spans="1:13" ht="86.4" x14ac:dyDescent="0.3">
      <c r="A522" s="22" t="s">
        <v>2280</v>
      </c>
      <c r="B522" s="22" t="s">
        <v>2281</v>
      </c>
      <c r="C522" s="26" t="s">
        <v>8737</v>
      </c>
      <c r="D522" s="22" t="s">
        <v>2177</v>
      </c>
      <c r="E522" s="22"/>
      <c r="F522" s="22"/>
      <c r="G522" s="22"/>
      <c r="H522" s="22"/>
      <c r="I522" s="25" t="s">
        <v>2282</v>
      </c>
      <c r="J522" s="22" t="s">
        <v>2283</v>
      </c>
      <c r="K522" s="22" t="s">
        <v>2284</v>
      </c>
      <c r="L522" s="22"/>
      <c r="M522" s="22" t="str">
        <f>HYPERLINK("https://ceds.ed.gov/cedselementdetails.aspx?termid=22380")</f>
        <v>https://ceds.ed.gov/cedselementdetails.aspx?termid=22380</v>
      </c>
    </row>
    <row r="523" spans="1:13" x14ac:dyDescent="0.3">
      <c r="A523" s="22" t="s">
        <v>2285</v>
      </c>
      <c r="B523" s="22" t="s">
        <v>2286</v>
      </c>
      <c r="C523" s="23" t="s">
        <v>32</v>
      </c>
      <c r="D523" s="22" t="s">
        <v>2177</v>
      </c>
      <c r="E523" s="22"/>
      <c r="F523" s="22" t="s">
        <v>148</v>
      </c>
      <c r="G523" s="22"/>
      <c r="H523" s="22"/>
      <c r="I523" s="25" t="s">
        <v>2287</v>
      </c>
      <c r="J523" s="22" t="s">
        <v>2288</v>
      </c>
      <c r="K523" s="22" t="s">
        <v>2289</v>
      </c>
      <c r="L523" s="22"/>
      <c r="M523" s="22" t="str">
        <f>HYPERLINK("https://ceds.ed.gov/cedselementdetails.aspx?termid=22115")</f>
        <v>https://ceds.ed.gov/cedselementdetails.aspx?termid=22115</v>
      </c>
    </row>
    <row r="524" spans="1:13" x14ac:dyDescent="0.3">
      <c r="A524" s="22" t="s">
        <v>2290</v>
      </c>
      <c r="B524" s="22" t="s">
        <v>2291</v>
      </c>
      <c r="C524" s="23" t="s">
        <v>32</v>
      </c>
      <c r="D524" s="22" t="s">
        <v>2177</v>
      </c>
      <c r="E524" s="22"/>
      <c r="F524" s="22" t="s">
        <v>148</v>
      </c>
      <c r="G524" s="22"/>
      <c r="H524" s="22"/>
      <c r="I524" s="25" t="s">
        <v>2292</v>
      </c>
      <c r="J524" s="22" t="s">
        <v>2293</v>
      </c>
      <c r="K524" s="22" t="s">
        <v>2294</v>
      </c>
      <c r="L524" s="22"/>
      <c r="M524" s="22" t="str">
        <f>HYPERLINK("https://ceds.ed.gov/cedselementdetails.aspx?termid=22114")</f>
        <v>https://ceds.ed.gov/cedselementdetails.aspx?termid=22114</v>
      </c>
    </row>
    <row r="525" spans="1:13" x14ac:dyDescent="0.3">
      <c r="A525" s="22" t="s">
        <v>2295</v>
      </c>
      <c r="B525" s="22" t="s">
        <v>2296</v>
      </c>
      <c r="C525" s="23" t="s">
        <v>32</v>
      </c>
      <c r="D525" s="22" t="s">
        <v>2177</v>
      </c>
      <c r="E525" s="22"/>
      <c r="F525" s="22" t="s">
        <v>85</v>
      </c>
      <c r="G525" s="22"/>
      <c r="H525" s="22"/>
      <c r="I525" s="25" t="s">
        <v>2297</v>
      </c>
      <c r="J525" s="22" t="s">
        <v>2298</v>
      </c>
      <c r="K525" s="22" t="s">
        <v>2299</v>
      </c>
      <c r="L525" s="22"/>
      <c r="M525" s="22" t="str">
        <f>HYPERLINK("https://ceds.ed.gov/cedselementdetails.aspx?termid=21910")</f>
        <v>https://ceds.ed.gov/cedselementdetails.aspx?termid=21910</v>
      </c>
    </row>
    <row r="526" spans="1:13" x14ac:dyDescent="0.3">
      <c r="A526" s="22" t="s">
        <v>2300</v>
      </c>
      <c r="B526" s="22" t="s">
        <v>2301</v>
      </c>
      <c r="C526" s="23" t="s">
        <v>32</v>
      </c>
      <c r="D526" s="22" t="s">
        <v>2177</v>
      </c>
      <c r="E526" s="22"/>
      <c r="F526" s="22" t="s">
        <v>157</v>
      </c>
      <c r="G526" s="22"/>
      <c r="H526" s="22" t="s">
        <v>8047</v>
      </c>
      <c r="I526" s="25" t="s">
        <v>2302</v>
      </c>
      <c r="J526" s="22" t="s">
        <v>2303</v>
      </c>
      <c r="K526" s="22" t="s">
        <v>2304</v>
      </c>
      <c r="L526" s="22" t="s">
        <v>812</v>
      </c>
      <c r="M526" s="22" t="str">
        <f>HYPERLINK("https://ceds.ed.gov/cedselementdetails.aspx?termid=21668")</f>
        <v>https://ceds.ed.gov/cedselementdetails.aspx?termid=21668</v>
      </c>
    </row>
    <row r="527" spans="1:13" x14ac:dyDescent="0.3">
      <c r="A527" s="22" t="s">
        <v>2305</v>
      </c>
      <c r="B527" s="22" t="s">
        <v>2306</v>
      </c>
      <c r="C527" s="23" t="s">
        <v>32</v>
      </c>
      <c r="D527" s="22" t="s">
        <v>2177</v>
      </c>
      <c r="E527" s="22"/>
      <c r="F527" s="22" t="s">
        <v>50</v>
      </c>
      <c r="G527" s="22"/>
      <c r="H527" s="22" t="s">
        <v>8048</v>
      </c>
      <c r="I527" s="25" t="s">
        <v>2307</v>
      </c>
      <c r="J527" s="22" t="s">
        <v>2308</v>
      </c>
      <c r="K527" s="22" t="s">
        <v>2309</v>
      </c>
      <c r="L527" s="22"/>
      <c r="M527" s="22" t="str">
        <f>HYPERLINK("https://ceds.ed.gov/cedselementdetails.aspx?termid=22738")</f>
        <v>https://ceds.ed.gov/cedselementdetails.aspx?termid=22738</v>
      </c>
    </row>
    <row r="528" spans="1:13" x14ac:dyDescent="0.3">
      <c r="A528" s="22" t="s">
        <v>2310</v>
      </c>
      <c r="B528" s="22" t="s">
        <v>2311</v>
      </c>
      <c r="C528" s="23" t="s">
        <v>32</v>
      </c>
      <c r="D528" s="22" t="s">
        <v>2177</v>
      </c>
      <c r="E528" s="22"/>
      <c r="F528" s="22" t="s">
        <v>317</v>
      </c>
      <c r="G528" s="22"/>
      <c r="H528" s="22" t="s">
        <v>2312</v>
      </c>
      <c r="I528" s="25" t="s">
        <v>2313</v>
      </c>
      <c r="J528" s="22"/>
      <c r="K528" s="22" t="s">
        <v>2314</v>
      </c>
      <c r="L528" s="22"/>
      <c r="M528" s="22" t="str">
        <f>HYPERLINK("https://ceds.ed.gov/cedselementdetails.aspx?termid=22890")</f>
        <v>https://ceds.ed.gov/cedselementdetails.aspx?termid=22890</v>
      </c>
    </row>
    <row r="529" spans="1:13" x14ac:dyDescent="0.3">
      <c r="A529" s="22" t="s">
        <v>2315</v>
      </c>
      <c r="B529" s="22" t="s">
        <v>2316</v>
      </c>
      <c r="C529" s="23" t="s">
        <v>32</v>
      </c>
      <c r="D529" s="22" t="s">
        <v>2177</v>
      </c>
      <c r="E529" s="22"/>
      <c r="F529" s="22" t="s">
        <v>317</v>
      </c>
      <c r="G529" s="22"/>
      <c r="H529" s="22" t="s">
        <v>2317</v>
      </c>
      <c r="I529" s="25" t="s">
        <v>2318</v>
      </c>
      <c r="J529" s="22"/>
      <c r="K529" s="22" t="s">
        <v>2319</v>
      </c>
      <c r="L529" s="22"/>
      <c r="M529" s="22" t="str">
        <f>HYPERLINK("https://ceds.ed.gov/cedselementdetails.aspx?termid=22889")</f>
        <v>https://ceds.ed.gov/cedselementdetails.aspx?termid=22889</v>
      </c>
    </row>
    <row r="530" spans="1:13" ht="100.8" x14ac:dyDescent="0.3">
      <c r="A530" s="22" t="s">
        <v>2320</v>
      </c>
      <c r="B530" s="22" t="s">
        <v>2321</v>
      </c>
      <c r="C530" s="23" t="s">
        <v>32</v>
      </c>
      <c r="D530" s="24" t="s">
        <v>2322</v>
      </c>
      <c r="E530" s="22"/>
      <c r="F530" s="22" t="s">
        <v>50</v>
      </c>
      <c r="G530" s="22"/>
      <c r="H530" s="22" t="s">
        <v>136</v>
      </c>
      <c r="I530" s="25" t="s">
        <v>2323</v>
      </c>
      <c r="J530" s="22" t="s">
        <v>2324</v>
      </c>
      <c r="K530" s="22" t="s">
        <v>2325</v>
      </c>
      <c r="L530" s="22"/>
      <c r="M530" s="22" t="str">
        <f>HYPERLINK("https://ceds.ed.gov/cedselementdetails.aspx?termid=21874")</f>
        <v>https://ceds.ed.gov/cedselementdetails.aspx?termid=21874</v>
      </c>
    </row>
    <row r="531" spans="1:13" x14ac:dyDescent="0.3">
      <c r="A531" s="22" t="s">
        <v>2326</v>
      </c>
      <c r="B531" s="22" t="s">
        <v>2327</v>
      </c>
      <c r="C531" s="23" t="s">
        <v>32</v>
      </c>
      <c r="D531" s="22" t="s">
        <v>2177</v>
      </c>
      <c r="E531" s="22"/>
      <c r="F531" s="22" t="s">
        <v>118</v>
      </c>
      <c r="G531" s="22"/>
      <c r="H531" s="22" t="s">
        <v>2328</v>
      </c>
      <c r="I531" s="25" t="s">
        <v>2329</v>
      </c>
      <c r="J531" s="22" t="s">
        <v>2330</v>
      </c>
      <c r="K531" s="22" t="s">
        <v>2331</v>
      </c>
      <c r="L531" s="22"/>
      <c r="M531" s="22" t="str">
        <f>HYPERLINK("https://ceds.ed.gov/cedselementdetails.aspx?termid=22483")</f>
        <v>https://ceds.ed.gov/cedselementdetails.aspx?termid=22483</v>
      </c>
    </row>
    <row r="532" spans="1:13" x14ac:dyDescent="0.3">
      <c r="A532" s="22" t="s">
        <v>2332</v>
      </c>
      <c r="B532" s="22" t="s">
        <v>2333</v>
      </c>
      <c r="C532" s="23" t="s">
        <v>32</v>
      </c>
      <c r="D532" s="22" t="s">
        <v>2177</v>
      </c>
      <c r="E532" s="22"/>
      <c r="F532" s="22" t="s">
        <v>118</v>
      </c>
      <c r="G532" s="22"/>
      <c r="H532" s="22"/>
      <c r="I532" s="25" t="s">
        <v>2334</v>
      </c>
      <c r="J532" s="22" t="s">
        <v>2335</v>
      </c>
      <c r="K532" s="22" t="s">
        <v>2336</v>
      </c>
      <c r="L532" s="22"/>
      <c r="M532" s="22" t="str">
        <f>HYPERLINK("https://ceds.ed.gov/cedselementdetails.aspx?termid=22484")</f>
        <v>https://ceds.ed.gov/cedselementdetails.aspx?termid=22484</v>
      </c>
    </row>
    <row r="533" spans="1:13" x14ac:dyDescent="0.3">
      <c r="A533" s="22" t="s">
        <v>2337</v>
      </c>
      <c r="B533" s="22" t="s">
        <v>2338</v>
      </c>
      <c r="C533" s="23" t="s">
        <v>32</v>
      </c>
      <c r="D533" s="22" t="s">
        <v>2177</v>
      </c>
      <c r="E533" s="22"/>
      <c r="F533" s="22" t="s">
        <v>328</v>
      </c>
      <c r="G533" s="22"/>
      <c r="H533" s="22"/>
      <c r="I533" s="25" t="s">
        <v>2339</v>
      </c>
      <c r="J533" s="22" t="s">
        <v>2340</v>
      </c>
      <c r="K533" s="22" t="s">
        <v>2341</v>
      </c>
      <c r="L533" s="22"/>
      <c r="M533" s="22" t="str">
        <f>HYPERLINK("https://ceds.ed.gov/cedselementdetails.aspx?termid=22216")</f>
        <v>https://ceds.ed.gov/cedselementdetails.aspx?termid=22216</v>
      </c>
    </row>
    <row r="534" spans="1:13" x14ac:dyDescent="0.3">
      <c r="A534" s="22" t="s">
        <v>2342</v>
      </c>
      <c r="B534" s="22" t="s">
        <v>2343</v>
      </c>
      <c r="C534" s="23" t="s">
        <v>32</v>
      </c>
      <c r="D534" s="22" t="s">
        <v>2344</v>
      </c>
      <c r="E534" s="22"/>
      <c r="F534" s="22" t="s">
        <v>1486</v>
      </c>
      <c r="G534" s="22"/>
      <c r="H534" s="22" t="s">
        <v>8049</v>
      </c>
      <c r="I534" s="25" t="s">
        <v>2345</v>
      </c>
      <c r="J534" s="22" t="s">
        <v>2346</v>
      </c>
      <c r="K534" s="22" t="s">
        <v>2347</v>
      </c>
      <c r="L534" s="22"/>
      <c r="M534" s="22" t="str">
        <f>HYPERLINK("https://ceds.ed.gov/cedselementdetails.aspx?termid=21673")</f>
        <v>https://ceds.ed.gov/cedselementdetails.aspx?termid=21673</v>
      </c>
    </row>
    <row r="535" spans="1:13" x14ac:dyDescent="0.3">
      <c r="A535" s="22" t="s">
        <v>2348</v>
      </c>
      <c r="B535" s="22" t="s">
        <v>2349</v>
      </c>
      <c r="C535" s="23" t="s">
        <v>32</v>
      </c>
      <c r="D535" s="22" t="s">
        <v>2344</v>
      </c>
      <c r="E535" s="22"/>
      <c r="F535" s="22" t="s">
        <v>113</v>
      </c>
      <c r="G535" s="22"/>
      <c r="H535" s="22"/>
      <c r="I535" s="25" t="s">
        <v>2350</v>
      </c>
      <c r="J535" s="22" t="s">
        <v>2351</v>
      </c>
      <c r="K535" s="22" t="s">
        <v>2352</v>
      </c>
      <c r="L535" s="22"/>
      <c r="M535" s="22" t="str">
        <f>HYPERLINK("https://ceds.ed.gov/cedselementdetails.aspx?termid=21674")</f>
        <v>https://ceds.ed.gov/cedselementdetails.aspx?termid=21674</v>
      </c>
    </row>
    <row r="536" spans="1:13" ht="43.2" x14ac:dyDescent="0.3">
      <c r="A536" s="22" t="s">
        <v>2353</v>
      </c>
      <c r="B536" s="22" t="s">
        <v>2354</v>
      </c>
      <c r="C536" s="23" t="s">
        <v>32</v>
      </c>
      <c r="D536" s="24" t="s">
        <v>2355</v>
      </c>
      <c r="E536" s="22"/>
      <c r="F536" s="22" t="s">
        <v>50</v>
      </c>
      <c r="G536" s="22"/>
      <c r="H536" s="22"/>
      <c r="I536" s="25" t="s">
        <v>2356</v>
      </c>
      <c r="J536" s="22" t="s">
        <v>2357</v>
      </c>
      <c r="K536" s="22" t="s">
        <v>2358</v>
      </c>
      <c r="L536" s="22" t="s">
        <v>812</v>
      </c>
      <c r="M536" s="22" t="str">
        <f>HYPERLINK("https://ceds.ed.gov/cedselementdetails.aspx?termid=21670")</f>
        <v>https://ceds.ed.gov/cedselementdetails.aspx?termid=21670</v>
      </c>
    </row>
    <row r="537" spans="1:13" x14ac:dyDescent="0.3">
      <c r="A537" s="22" t="s">
        <v>2359</v>
      </c>
      <c r="B537" s="22" t="s">
        <v>2360</v>
      </c>
      <c r="C537" s="23" t="s">
        <v>32</v>
      </c>
      <c r="D537" s="22" t="s">
        <v>2344</v>
      </c>
      <c r="E537" s="22"/>
      <c r="F537" s="22" t="s">
        <v>1486</v>
      </c>
      <c r="G537" s="22"/>
      <c r="H537" s="22"/>
      <c r="I537" s="25" t="s">
        <v>2361</v>
      </c>
      <c r="J537" s="22" t="s">
        <v>2362</v>
      </c>
      <c r="K537" s="22" t="s">
        <v>2363</v>
      </c>
      <c r="L537" s="22"/>
      <c r="M537" s="22" t="str">
        <f>HYPERLINK("https://ceds.ed.gov/cedselementdetails.aspx?termid=21676")</f>
        <v>https://ceds.ed.gov/cedselementdetails.aspx?termid=21676</v>
      </c>
    </row>
    <row r="538" spans="1:13" x14ac:dyDescent="0.3">
      <c r="A538" s="22" t="s">
        <v>2364</v>
      </c>
      <c r="B538" s="22" t="s">
        <v>2365</v>
      </c>
      <c r="C538" s="23" t="s">
        <v>7423</v>
      </c>
      <c r="D538" s="22" t="s">
        <v>2344</v>
      </c>
      <c r="E538" s="22"/>
      <c r="F538" s="22"/>
      <c r="G538" s="22"/>
      <c r="H538" s="22" t="s">
        <v>7994</v>
      </c>
      <c r="I538" s="25" t="s">
        <v>2366</v>
      </c>
      <c r="J538" s="22" t="s">
        <v>2367</v>
      </c>
      <c r="K538" s="22" t="s">
        <v>2368</v>
      </c>
      <c r="L538" s="22"/>
      <c r="M538" s="22" t="str">
        <f>HYPERLINK("https://ceds.ed.gov/cedselementdetails.aspx?termid=21880")</f>
        <v>https://ceds.ed.gov/cedselementdetails.aspx?termid=21880</v>
      </c>
    </row>
    <row r="539" spans="1:13" x14ac:dyDescent="0.3">
      <c r="A539" s="22" t="s">
        <v>2369</v>
      </c>
      <c r="B539" s="22" t="s">
        <v>2370</v>
      </c>
      <c r="C539" s="23" t="s">
        <v>32</v>
      </c>
      <c r="D539" s="22" t="s">
        <v>2344</v>
      </c>
      <c r="E539" s="22"/>
      <c r="F539" s="22" t="s">
        <v>113</v>
      </c>
      <c r="G539" s="22"/>
      <c r="H539" s="22"/>
      <c r="I539" s="25" t="s">
        <v>2371</v>
      </c>
      <c r="J539" s="22" t="s">
        <v>2372</v>
      </c>
      <c r="K539" s="22" t="s">
        <v>2373</v>
      </c>
      <c r="L539" s="22"/>
      <c r="M539" s="22" t="str">
        <f>HYPERLINK("https://ceds.ed.gov/cedselementdetails.aspx?termid=21882")</f>
        <v>https://ceds.ed.gov/cedselementdetails.aspx?termid=21882</v>
      </c>
    </row>
    <row r="540" spans="1:13" x14ac:dyDescent="0.3">
      <c r="A540" s="22" t="s">
        <v>2374</v>
      </c>
      <c r="B540" s="22" t="s">
        <v>2375</v>
      </c>
      <c r="C540" s="23" t="s">
        <v>32</v>
      </c>
      <c r="D540" s="22" t="s">
        <v>2344</v>
      </c>
      <c r="E540" s="22"/>
      <c r="F540" s="22" t="s">
        <v>118</v>
      </c>
      <c r="G540" s="22"/>
      <c r="H540" s="22" t="s">
        <v>2376</v>
      </c>
      <c r="I540" s="25" t="s">
        <v>2377</v>
      </c>
      <c r="J540" s="22" t="s">
        <v>2378</v>
      </c>
      <c r="K540" s="22" t="s">
        <v>2379</v>
      </c>
      <c r="L540" s="22"/>
      <c r="M540" s="22" t="str">
        <f>HYPERLINK("https://ceds.ed.gov/cedselementdetails.aspx?termid=22548")</f>
        <v>https://ceds.ed.gov/cedselementdetails.aspx?termid=22548</v>
      </c>
    </row>
    <row r="541" spans="1:13" ht="86.4" x14ac:dyDescent="0.3">
      <c r="A541" s="22" t="s">
        <v>2380</v>
      </c>
      <c r="B541" s="22" t="s">
        <v>2381</v>
      </c>
      <c r="C541" s="26" t="s">
        <v>8738</v>
      </c>
      <c r="D541" s="22" t="s">
        <v>2344</v>
      </c>
      <c r="E541" s="22"/>
      <c r="F541" s="22"/>
      <c r="G541" s="22"/>
      <c r="H541" s="22"/>
      <c r="I541" s="25" t="s">
        <v>2382</v>
      </c>
      <c r="J541" s="22" t="s">
        <v>2383</v>
      </c>
      <c r="K541" s="22" t="s">
        <v>2384</v>
      </c>
      <c r="L541" s="22"/>
      <c r="M541" s="22" t="str">
        <f>HYPERLINK("https://ceds.ed.gov/cedselementdetails.aspx?termid=21675")</f>
        <v>https://ceds.ed.gov/cedselementdetails.aspx?termid=21675</v>
      </c>
    </row>
    <row r="542" spans="1:13" x14ac:dyDescent="0.3">
      <c r="A542" s="22" t="s">
        <v>2385</v>
      </c>
      <c r="B542" s="22" t="s">
        <v>2386</v>
      </c>
      <c r="C542" s="23" t="s">
        <v>32</v>
      </c>
      <c r="D542" s="22" t="s">
        <v>2344</v>
      </c>
      <c r="E542" s="22"/>
      <c r="F542" s="22" t="s">
        <v>85</v>
      </c>
      <c r="G542" s="22"/>
      <c r="H542" s="22"/>
      <c r="I542" s="25" t="s">
        <v>2387</v>
      </c>
      <c r="J542" s="22" t="s">
        <v>2388</v>
      </c>
      <c r="K542" s="22" t="s">
        <v>2389</v>
      </c>
      <c r="L542" s="22"/>
      <c r="M542" s="22" t="str">
        <f>HYPERLINK("https://ceds.ed.gov/cedselementdetails.aspx?termid=21884")</f>
        <v>https://ceds.ed.gov/cedselementdetails.aspx?termid=21884</v>
      </c>
    </row>
    <row r="543" spans="1:13" x14ac:dyDescent="0.3">
      <c r="A543" s="22" t="s">
        <v>2390</v>
      </c>
      <c r="B543" s="22" t="s">
        <v>2391</v>
      </c>
      <c r="C543" s="23" t="s">
        <v>32</v>
      </c>
      <c r="D543" s="22" t="s">
        <v>2344</v>
      </c>
      <c r="E543" s="22"/>
      <c r="F543" s="22" t="s">
        <v>113</v>
      </c>
      <c r="G543" s="22"/>
      <c r="H543" s="22"/>
      <c r="I543" s="25" t="s">
        <v>2392</v>
      </c>
      <c r="J543" s="22" t="s">
        <v>2393</v>
      </c>
      <c r="K543" s="22" t="s">
        <v>2394</v>
      </c>
      <c r="L543" s="22"/>
      <c r="M543" s="22" t="str">
        <f>HYPERLINK("https://ceds.ed.gov/cedselementdetails.aspx?termid=21885")</f>
        <v>https://ceds.ed.gov/cedselementdetails.aspx?termid=21885</v>
      </c>
    </row>
    <row r="544" spans="1:13" x14ac:dyDescent="0.3">
      <c r="A544" s="22" t="s">
        <v>2395</v>
      </c>
      <c r="B544" s="22" t="s">
        <v>2396</v>
      </c>
      <c r="C544" s="23" t="s">
        <v>32</v>
      </c>
      <c r="D544" s="22" t="s">
        <v>2344</v>
      </c>
      <c r="E544" s="22"/>
      <c r="F544" s="22" t="s">
        <v>85</v>
      </c>
      <c r="G544" s="22"/>
      <c r="H544" s="22"/>
      <c r="I544" s="25" t="s">
        <v>2397</v>
      </c>
      <c r="J544" s="22" t="s">
        <v>2398</v>
      </c>
      <c r="K544" s="22" t="s">
        <v>2399</v>
      </c>
      <c r="L544" s="22"/>
      <c r="M544" s="22" t="str">
        <f>HYPERLINK("https://ceds.ed.gov/cedselementdetails.aspx?termid=21886")</f>
        <v>https://ceds.ed.gov/cedselementdetails.aspx?termid=21886</v>
      </c>
    </row>
    <row r="545" spans="1:13" ht="43.2" x14ac:dyDescent="0.3">
      <c r="A545" s="22" t="s">
        <v>2400</v>
      </c>
      <c r="B545" s="22" t="s">
        <v>2401</v>
      </c>
      <c r="C545" s="23" t="s">
        <v>32</v>
      </c>
      <c r="D545" s="24" t="s">
        <v>2355</v>
      </c>
      <c r="E545" s="22"/>
      <c r="F545" s="22" t="s">
        <v>50</v>
      </c>
      <c r="G545" s="22"/>
      <c r="H545" s="22" t="s">
        <v>2402</v>
      </c>
      <c r="I545" s="25" t="s">
        <v>2403</v>
      </c>
      <c r="J545" s="22"/>
      <c r="K545" s="22" t="s">
        <v>2404</v>
      </c>
      <c r="L545" s="22"/>
      <c r="M545" s="22" t="str">
        <f>HYPERLINK("https://ceds.ed.gov/cedselementdetails.aspx?termid=22888")</f>
        <v>https://ceds.ed.gov/cedselementdetails.aspx?termid=22888</v>
      </c>
    </row>
    <row r="546" spans="1:13" x14ac:dyDescent="0.3">
      <c r="A546" s="22" t="s">
        <v>2405</v>
      </c>
      <c r="B546" s="22" t="s">
        <v>2406</v>
      </c>
      <c r="C546" s="23" t="s">
        <v>32</v>
      </c>
      <c r="D546" s="22" t="s">
        <v>2344</v>
      </c>
      <c r="E546" s="22"/>
      <c r="F546" s="22" t="s">
        <v>85</v>
      </c>
      <c r="G546" s="22"/>
      <c r="H546" s="22"/>
      <c r="I546" s="25" t="s">
        <v>2407</v>
      </c>
      <c r="J546" s="22" t="s">
        <v>2408</v>
      </c>
      <c r="K546" s="22" t="s">
        <v>2409</v>
      </c>
      <c r="L546" s="22" t="s">
        <v>812</v>
      </c>
      <c r="M546" s="22" t="str">
        <f>HYPERLINK("https://ceds.ed.gov/cedselementdetails.aspx?termid=21679")</f>
        <v>https://ceds.ed.gov/cedselementdetails.aspx?termid=21679</v>
      </c>
    </row>
    <row r="547" spans="1:13" x14ac:dyDescent="0.3">
      <c r="A547" s="22" t="s">
        <v>2410</v>
      </c>
      <c r="B547" s="22" t="s">
        <v>2411</v>
      </c>
      <c r="C547" s="23" t="s">
        <v>32</v>
      </c>
      <c r="D547" s="22" t="s">
        <v>2344</v>
      </c>
      <c r="E547" s="22"/>
      <c r="F547" s="22" t="s">
        <v>1486</v>
      </c>
      <c r="G547" s="22"/>
      <c r="H547" s="22"/>
      <c r="I547" s="25" t="s">
        <v>2412</v>
      </c>
      <c r="J547" s="22" t="s">
        <v>2413</v>
      </c>
      <c r="K547" s="22" t="s">
        <v>2414</v>
      </c>
      <c r="L547" s="22" t="s">
        <v>812</v>
      </c>
      <c r="M547" s="22" t="str">
        <f>HYPERLINK("https://ceds.ed.gov/cedselementdetails.aspx?termid=21671")</f>
        <v>https://ceds.ed.gov/cedselementdetails.aspx?termid=21671</v>
      </c>
    </row>
    <row r="548" spans="1:13" x14ac:dyDescent="0.3">
      <c r="A548" s="22" t="s">
        <v>2415</v>
      </c>
      <c r="B548" s="22" t="s">
        <v>2416</v>
      </c>
      <c r="C548" s="23" t="s">
        <v>32</v>
      </c>
      <c r="D548" s="22" t="s">
        <v>2344</v>
      </c>
      <c r="E548" s="22"/>
      <c r="F548" s="22" t="s">
        <v>118</v>
      </c>
      <c r="G548" s="22"/>
      <c r="H548" s="22" t="s">
        <v>143</v>
      </c>
      <c r="I548" s="25" t="s">
        <v>2417</v>
      </c>
      <c r="J548" s="22" t="s">
        <v>2418</v>
      </c>
      <c r="K548" s="22" t="s">
        <v>2419</v>
      </c>
      <c r="L548" s="22"/>
      <c r="M548" s="22" t="str">
        <f>HYPERLINK("https://ceds.ed.gov/cedselementdetails.aspx?termid=21678")</f>
        <v>https://ceds.ed.gov/cedselementdetails.aspx?termid=21678</v>
      </c>
    </row>
    <row r="549" spans="1:13" x14ac:dyDescent="0.3">
      <c r="A549" s="22" t="s">
        <v>2420</v>
      </c>
      <c r="B549" s="22" t="s">
        <v>2421</v>
      </c>
      <c r="C549" s="23" t="s">
        <v>32</v>
      </c>
      <c r="D549" s="22" t="s">
        <v>2344</v>
      </c>
      <c r="E549" s="22"/>
      <c r="F549" s="22" t="s">
        <v>118</v>
      </c>
      <c r="G549" s="22"/>
      <c r="H549" s="22"/>
      <c r="I549" s="25" t="s">
        <v>2422</v>
      </c>
      <c r="J549" s="22" t="s">
        <v>2423</v>
      </c>
      <c r="K549" s="22" t="s">
        <v>2424</v>
      </c>
      <c r="L549" s="22"/>
      <c r="M549" s="22" t="str">
        <f>HYPERLINK("https://ceds.ed.gov/cedselementdetails.aspx?termid=21677")</f>
        <v>https://ceds.ed.gov/cedselementdetails.aspx?termid=21677</v>
      </c>
    </row>
    <row r="550" spans="1:13" x14ac:dyDescent="0.3">
      <c r="A550" s="22" t="s">
        <v>2425</v>
      </c>
      <c r="B550" s="22" t="s">
        <v>2426</v>
      </c>
      <c r="C550" s="23" t="s">
        <v>32</v>
      </c>
      <c r="D550" s="22" t="s">
        <v>2344</v>
      </c>
      <c r="E550" s="22"/>
      <c r="F550" s="22" t="s">
        <v>85</v>
      </c>
      <c r="G550" s="22"/>
      <c r="H550" s="22"/>
      <c r="I550" s="25" t="s">
        <v>2427</v>
      </c>
      <c r="J550" s="22" t="s">
        <v>2428</v>
      </c>
      <c r="K550" s="22" t="s">
        <v>2429</v>
      </c>
      <c r="L550" s="22" t="s">
        <v>812</v>
      </c>
      <c r="M550" s="22" t="str">
        <f>HYPERLINK("https://ceds.ed.gov/cedselementdetails.aspx?termid=21672")</f>
        <v>https://ceds.ed.gov/cedselementdetails.aspx?termid=21672</v>
      </c>
    </row>
    <row r="551" spans="1:13" ht="43.2" x14ac:dyDescent="0.3">
      <c r="A551" s="22" t="s">
        <v>2430</v>
      </c>
      <c r="B551" s="22" t="s">
        <v>2431</v>
      </c>
      <c r="C551" s="26" t="s">
        <v>8413</v>
      </c>
      <c r="D551" s="24" t="s">
        <v>8414</v>
      </c>
      <c r="E551" s="22" t="s">
        <v>172</v>
      </c>
      <c r="F551" s="22"/>
      <c r="G551" s="22" t="s">
        <v>8050</v>
      </c>
      <c r="H551" s="22" t="s">
        <v>2432</v>
      </c>
      <c r="I551" s="25" t="s">
        <v>2433</v>
      </c>
      <c r="J551" s="22"/>
      <c r="K551" s="22" t="s">
        <v>2434</v>
      </c>
      <c r="L551" s="22"/>
      <c r="M551" s="22" t="str">
        <f>HYPERLINK("https://ceds.ed.gov/cedselementdetails.aspx?termid=21877")</f>
        <v>https://ceds.ed.gov/cedselementdetails.aspx?termid=21877</v>
      </c>
    </row>
    <row r="552" spans="1:13" ht="43.2" x14ac:dyDescent="0.3">
      <c r="A552" s="22" t="s">
        <v>2435</v>
      </c>
      <c r="B552" s="22" t="s">
        <v>2436</v>
      </c>
      <c r="C552" s="23" t="s">
        <v>32</v>
      </c>
      <c r="D552" s="24" t="s">
        <v>8414</v>
      </c>
      <c r="E552" s="22" t="s">
        <v>172</v>
      </c>
      <c r="F552" s="22" t="s">
        <v>317</v>
      </c>
      <c r="G552" s="22" t="s">
        <v>8050</v>
      </c>
      <c r="H552" s="22" t="s">
        <v>8051</v>
      </c>
      <c r="I552" s="25" t="s">
        <v>2437</v>
      </c>
      <c r="J552" s="22"/>
      <c r="K552" s="22" t="s">
        <v>2438</v>
      </c>
      <c r="L552" s="22"/>
      <c r="M552" s="22" t="str">
        <f>HYPERLINK("https://ceds.ed.gov/cedselementdetails.aspx?termid=21878")</f>
        <v>https://ceds.ed.gov/cedselementdetails.aspx?termid=21878</v>
      </c>
    </row>
    <row r="553" spans="1:13" x14ac:dyDescent="0.3">
      <c r="A553" s="22" t="s">
        <v>2439</v>
      </c>
      <c r="B553" s="22" t="s">
        <v>8052</v>
      </c>
      <c r="C553" s="23" t="s">
        <v>32</v>
      </c>
      <c r="D553" s="22" t="s">
        <v>2440</v>
      </c>
      <c r="E553" s="22"/>
      <c r="F553" s="22" t="s">
        <v>118</v>
      </c>
      <c r="G553" s="22"/>
      <c r="H553" s="22"/>
      <c r="I553" s="25" t="s">
        <v>2441</v>
      </c>
      <c r="J553" s="22"/>
      <c r="K553" s="22" t="s">
        <v>2442</v>
      </c>
      <c r="L553" s="22"/>
      <c r="M553" s="22" t="str">
        <f>HYPERLINK("https://ceds.ed.gov/cedselementdetails.aspx?termid=22879")</f>
        <v>https://ceds.ed.gov/cedselementdetails.aspx?termid=22879</v>
      </c>
    </row>
    <row r="554" spans="1:13" x14ac:dyDescent="0.3">
      <c r="A554" s="22" t="s">
        <v>2443</v>
      </c>
      <c r="B554" s="22" t="s">
        <v>2444</v>
      </c>
      <c r="C554" s="23" t="s">
        <v>32</v>
      </c>
      <c r="D554" s="22" t="s">
        <v>2440</v>
      </c>
      <c r="E554" s="22"/>
      <c r="F554" s="22" t="s">
        <v>118</v>
      </c>
      <c r="G554" s="22"/>
      <c r="H554" s="22"/>
      <c r="I554" s="25" t="s">
        <v>2445</v>
      </c>
      <c r="J554" s="22"/>
      <c r="K554" s="22" t="s">
        <v>2446</v>
      </c>
      <c r="L554" s="22"/>
      <c r="M554" s="22" t="str">
        <f>HYPERLINK("https://ceds.ed.gov/cedselementdetails.aspx?termid=22881")</f>
        <v>https://ceds.ed.gov/cedselementdetails.aspx?termid=22881</v>
      </c>
    </row>
    <row r="555" spans="1:13" x14ac:dyDescent="0.3">
      <c r="A555" s="22" t="s">
        <v>2447</v>
      </c>
      <c r="B555" s="22" t="s">
        <v>2448</v>
      </c>
      <c r="C555" s="23" t="s">
        <v>32</v>
      </c>
      <c r="D555" s="22" t="s">
        <v>2440</v>
      </c>
      <c r="E555" s="22"/>
      <c r="F555" s="22" t="s">
        <v>118</v>
      </c>
      <c r="G555" s="22"/>
      <c r="H555" s="22"/>
      <c r="I555" s="25" t="s">
        <v>2449</v>
      </c>
      <c r="J555" s="22"/>
      <c r="K555" s="22" t="s">
        <v>2450</v>
      </c>
      <c r="L555" s="22"/>
      <c r="M555" s="22" t="str">
        <f>HYPERLINK("https://ceds.ed.gov/cedselementdetails.aspx?termid=22880")</f>
        <v>https://ceds.ed.gov/cedselementdetails.aspx?termid=22880</v>
      </c>
    </row>
    <row r="556" spans="1:13" x14ac:dyDescent="0.3">
      <c r="A556" s="22" t="s">
        <v>2451</v>
      </c>
      <c r="B556" s="22" t="s">
        <v>2452</v>
      </c>
      <c r="C556" s="23" t="s">
        <v>32</v>
      </c>
      <c r="D556" s="22" t="s">
        <v>2440</v>
      </c>
      <c r="E556" s="22"/>
      <c r="F556" s="22" t="s">
        <v>1699</v>
      </c>
      <c r="G556" s="22"/>
      <c r="H556" s="22"/>
      <c r="I556" s="25" t="s">
        <v>2453</v>
      </c>
      <c r="J556" s="22"/>
      <c r="K556" s="22" t="s">
        <v>2454</v>
      </c>
      <c r="L556" s="22"/>
      <c r="M556" s="22" t="str">
        <f>HYPERLINK("https://ceds.ed.gov/cedselementdetails.aspx?termid=22882")</f>
        <v>https://ceds.ed.gov/cedselementdetails.aspx?termid=22882</v>
      </c>
    </row>
    <row r="557" spans="1:13" x14ac:dyDescent="0.3">
      <c r="A557" s="22" t="s">
        <v>2455</v>
      </c>
      <c r="B557" s="22" t="s">
        <v>2456</v>
      </c>
      <c r="C557" s="23" t="s">
        <v>32</v>
      </c>
      <c r="D557" s="22" t="s">
        <v>239</v>
      </c>
      <c r="E557" s="22"/>
      <c r="F557" s="22" t="s">
        <v>1518</v>
      </c>
      <c r="G557" s="22"/>
      <c r="H557" s="22" t="s">
        <v>368</v>
      </c>
      <c r="I557" s="25" t="s">
        <v>2457</v>
      </c>
      <c r="J557" s="22"/>
      <c r="K557" s="22" t="s">
        <v>2458</v>
      </c>
      <c r="L557" s="22" t="s">
        <v>1568</v>
      </c>
      <c r="M557" s="22" t="str">
        <f>HYPERLINK("https://ceds.ed.gov/cedselementdetails.aspx?termid=21733")</f>
        <v>https://ceds.ed.gov/cedselementdetails.aspx?termid=21733</v>
      </c>
    </row>
    <row r="558" spans="1:13" ht="100.8" x14ac:dyDescent="0.3">
      <c r="A558" s="22" t="s">
        <v>2459</v>
      </c>
      <c r="B558" s="22" t="s">
        <v>2460</v>
      </c>
      <c r="C558" s="26" t="s">
        <v>8739</v>
      </c>
      <c r="D558" s="22" t="s">
        <v>2517</v>
      </c>
      <c r="E558" s="22"/>
      <c r="F558" s="22"/>
      <c r="G558" s="22"/>
      <c r="H558" s="22"/>
      <c r="I558" s="25" t="s">
        <v>2461</v>
      </c>
      <c r="J558" s="22"/>
      <c r="K558" s="22" t="s">
        <v>2462</v>
      </c>
      <c r="L558" s="22"/>
      <c r="M558" s="22" t="str">
        <f>HYPERLINK("https://ceds.ed.gov/cedselementdetails.aspx?termid=22904")</f>
        <v>https://ceds.ed.gov/cedselementdetails.aspx?termid=22904</v>
      </c>
    </row>
    <row r="559" spans="1:13" x14ac:dyDescent="0.3">
      <c r="A559" s="22" t="s">
        <v>2463</v>
      </c>
      <c r="B559" s="22" t="s">
        <v>2464</v>
      </c>
      <c r="C559" s="23" t="s">
        <v>32</v>
      </c>
      <c r="D559" s="22" t="s">
        <v>2465</v>
      </c>
      <c r="E559" s="22"/>
      <c r="F559" s="22" t="s">
        <v>118</v>
      </c>
      <c r="G559" s="22"/>
      <c r="H559" s="22"/>
      <c r="I559" s="25" t="s">
        <v>2466</v>
      </c>
      <c r="J559" s="22"/>
      <c r="K559" s="22" t="s">
        <v>2467</v>
      </c>
      <c r="L559" s="22"/>
      <c r="M559" s="22" t="str">
        <f>HYPERLINK("https://ceds.ed.gov/cedselementdetails.aspx?termid=22708")</f>
        <v>https://ceds.ed.gov/cedselementdetails.aspx?termid=22708</v>
      </c>
    </row>
    <row r="560" spans="1:13" ht="43.2" x14ac:dyDescent="0.3">
      <c r="A560" s="22" t="s">
        <v>2468</v>
      </c>
      <c r="B560" s="22" t="s">
        <v>2469</v>
      </c>
      <c r="C560" s="26" t="s">
        <v>22</v>
      </c>
      <c r="D560" s="22" t="s">
        <v>2465</v>
      </c>
      <c r="E560" s="22"/>
      <c r="F560" s="22"/>
      <c r="G560" s="22"/>
      <c r="H560" s="22"/>
      <c r="I560" s="25" t="s">
        <v>2470</v>
      </c>
      <c r="J560" s="22"/>
      <c r="K560" s="22" t="s">
        <v>2471</v>
      </c>
      <c r="L560" s="22"/>
      <c r="M560" s="22" t="str">
        <f>HYPERLINK("https://ceds.ed.gov/cedselementdetails.aspx?termid=22707")</f>
        <v>https://ceds.ed.gov/cedselementdetails.aspx?termid=22707</v>
      </c>
    </row>
    <row r="561" spans="1:13" ht="57.6" x14ac:dyDescent="0.3">
      <c r="A561" s="22" t="s">
        <v>2472</v>
      </c>
      <c r="B561" s="22" t="s">
        <v>2473</v>
      </c>
      <c r="C561" s="26" t="s">
        <v>8599</v>
      </c>
      <c r="D561" s="22" t="s">
        <v>2474</v>
      </c>
      <c r="E561" s="22"/>
      <c r="F561" s="22"/>
      <c r="G561" s="22"/>
      <c r="H561" s="22"/>
      <c r="I561" s="25" t="s">
        <v>2475</v>
      </c>
      <c r="J561" s="22" t="s">
        <v>2476</v>
      </c>
      <c r="K561" s="22" t="s">
        <v>2477</v>
      </c>
      <c r="L561" s="22" t="s">
        <v>226</v>
      </c>
      <c r="M561" s="22" t="str">
        <f>HYPERLINK("https://ceds.ed.gov/cedselementdetails.aspx?termid=21533")</f>
        <v>https://ceds.ed.gov/cedselementdetails.aspx?termid=21533</v>
      </c>
    </row>
    <row r="562" spans="1:13" ht="115.2" x14ac:dyDescent="0.3">
      <c r="A562" s="22" t="s">
        <v>2478</v>
      </c>
      <c r="B562" s="22" t="s">
        <v>2479</v>
      </c>
      <c r="C562" s="26" t="s">
        <v>8740</v>
      </c>
      <c r="D562" s="22" t="s">
        <v>2480</v>
      </c>
      <c r="E562" s="22"/>
      <c r="F562" s="22"/>
      <c r="G562" s="22"/>
      <c r="H562" s="22"/>
      <c r="I562" s="25" t="s">
        <v>2481</v>
      </c>
      <c r="J562" s="22"/>
      <c r="K562" s="22" t="s">
        <v>2482</v>
      </c>
      <c r="L562" s="22" t="s">
        <v>1553</v>
      </c>
      <c r="M562" s="22" t="str">
        <f>HYPERLINK("https://ceds.ed.gov/cedselementdetails.aspx?termid=21419")</f>
        <v>https://ceds.ed.gov/cedselementdetails.aspx?termid=21419</v>
      </c>
    </row>
    <row r="563" spans="1:13" ht="28.8" x14ac:dyDescent="0.3">
      <c r="A563" s="22" t="s">
        <v>2483</v>
      </c>
      <c r="B563" s="22" t="s">
        <v>2484</v>
      </c>
      <c r="C563" s="23" t="s">
        <v>32</v>
      </c>
      <c r="D563" s="22" t="s">
        <v>8053</v>
      </c>
      <c r="E563" s="22"/>
      <c r="F563" s="22" t="s">
        <v>118</v>
      </c>
      <c r="G563" s="22"/>
      <c r="H563" s="22"/>
      <c r="I563" s="25" t="s">
        <v>2485</v>
      </c>
      <c r="J563" s="22"/>
      <c r="K563" s="22" t="s">
        <v>2486</v>
      </c>
      <c r="L563" s="24" t="s">
        <v>2487</v>
      </c>
      <c r="M563" s="22" t="str">
        <f>HYPERLINK("https://ceds.ed.gov/cedselementdetails.aspx?termid=21348")</f>
        <v>https://ceds.ed.gov/cedselementdetails.aspx?termid=21348</v>
      </c>
    </row>
    <row r="564" spans="1:13" ht="43.2" x14ac:dyDescent="0.3">
      <c r="A564" s="22" t="s">
        <v>2488</v>
      </c>
      <c r="B564" s="22" t="s">
        <v>2489</v>
      </c>
      <c r="C564" s="23" t="s">
        <v>32</v>
      </c>
      <c r="D564" s="24" t="s">
        <v>8415</v>
      </c>
      <c r="E564" s="22" t="s">
        <v>172</v>
      </c>
      <c r="F564" s="22" t="s">
        <v>1518</v>
      </c>
      <c r="G564" s="22" t="s">
        <v>7946</v>
      </c>
      <c r="H564" s="22"/>
      <c r="I564" s="25" t="s">
        <v>2491</v>
      </c>
      <c r="J564" s="22"/>
      <c r="K564" s="22" t="s">
        <v>2492</v>
      </c>
      <c r="L564" s="22" t="s">
        <v>2493</v>
      </c>
      <c r="M564" s="22" t="str">
        <f>HYPERLINK("https://ceds.ed.gov/cedselementdetails.aspx?termid=21047")</f>
        <v>https://ceds.ed.gov/cedselementdetails.aspx?termid=21047</v>
      </c>
    </row>
    <row r="565" spans="1:13" ht="72" x14ac:dyDescent="0.3">
      <c r="A565" s="22" t="s">
        <v>2494</v>
      </c>
      <c r="B565" s="22" t="s">
        <v>2495</v>
      </c>
      <c r="C565" s="26" t="s">
        <v>8416</v>
      </c>
      <c r="D565" s="24" t="s">
        <v>8398</v>
      </c>
      <c r="E565" s="22" t="s">
        <v>172</v>
      </c>
      <c r="F565" s="22"/>
      <c r="G565" s="22" t="s">
        <v>7946</v>
      </c>
      <c r="H565" s="22" t="s">
        <v>2496</v>
      </c>
      <c r="I565" s="25" t="s">
        <v>2497</v>
      </c>
      <c r="J565" s="22"/>
      <c r="K565" s="22" t="s">
        <v>2498</v>
      </c>
      <c r="L565" s="22" t="s">
        <v>69</v>
      </c>
      <c r="M565" s="22" t="str">
        <f>HYPERLINK("https://ceds.ed.gov/cedselementdetails.aspx?termid=21714")</f>
        <v>https://ceds.ed.gov/cedselementdetails.aspx?termid=21714</v>
      </c>
    </row>
    <row r="566" spans="1:13" ht="57.6" x14ac:dyDescent="0.3">
      <c r="A566" s="22" t="s">
        <v>2499</v>
      </c>
      <c r="B566" s="22" t="s">
        <v>8054</v>
      </c>
      <c r="C566" s="26" t="s">
        <v>8417</v>
      </c>
      <c r="D566" s="24" t="s">
        <v>8418</v>
      </c>
      <c r="E566" s="22" t="s">
        <v>172</v>
      </c>
      <c r="F566" s="22"/>
      <c r="G566" s="22" t="s">
        <v>7946</v>
      </c>
      <c r="H566" s="22"/>
      <c r="I566" s="25" t="s">
        <v>2500</v>
      </c>
      <c r="J566" s="22"/>
      <c r="K566" s="22" t="s">
        <v>2501</v>
      </c>
      <c r="L566" s="24" t="s">
        <v>1965</v>
      </c>
      <c r="M566" s="22" t="str">
        <f>HYPERLINK("https://ceds.ed.gov/cedselementdetails.aspx?termid=21048")</f>
        <v>https://ceds.ed.gov/cedselementdetails.aspx?termid=21048</v>
      </c>
    </row>
    <row r="567" spans="1:13" ht="43.2" x14ac:dyDescent="0.3">
      <c r="A567" s="22" t="s">
        <v>2502</v>
      </c>
      <c r="B567" s="22" t="s">
        <v>2503</v>
      </c>
      <c r="C567" s="26" t="s">
        <v>22</v>
      </c>
      <c r="D567" s="24" t="s">
        <v>2504</v>
      </c>
      <c r="E567" s="22"/>
      <c r="F567" s="22"/>
      <c r="G567" s="22"/>
      <c r="H567" s="22"/>
      <c r="I567" s="25" t="s">
        <v>2505</v>
      </c>
      <c r="J567" s="22"/>
      <c r="K567" s="22" t="s">
        <v>2506</v>
      </c>
      <c r="L567" s="22"/>
      <c r="M567" s="22" t="str">
        <f>HYPERLINK("https://ceds.ed.gov/cedselementdetails.aspx?termid=21509")</f>
        <v>https://ceds.ed.gov/cedselementdetails.aspx?termid=21509</v>
      </c>
    </row>
    <row r="568" spans="1:13" ht="115.2" x14ac:dyDescent="0.3">
      <c r="A568" s="22" t="s">
        <v>2507</v>
      </c>
      <c r="B568" s="22" t="s">
        <v>2508</v>
      </c>
      <c r="C568" s="26" t="s">
        <v>8741</v>
      </c>
      <c r="D568" s="22" t="s">
        <v>258</v>
      </c>
      <c r="E568" s="22"/>
      <c r="F568" s="22"/>
      <c r="G568" s="22"/>
      <c r="H568" s="22"/>
      <c r="I568" s="25" t="s">
        <v>2509</v>
      </c>
      <c r="J568" s="22"/>
      <c r="K568" s="22" t="s">
        <v>2510</v>
      </c>
      <c r="L568" s="22"/>
      <c r="M568" s="22" t="str">
        <f>HYPERLINK("https://ceds.ed.gov/cedselementdetails.aspx?termid=22262")</f>
        <v>https://ceds.ed.gov/cedselementdetails.aspx?termid=22262</v>
      </c>
    </row>
    <row r="569" spans="1:13" ht="43.2" x14ac:dyDescent="0.3">
      <c r="A569" s="22" t="s">
        <v>2511</v>
      </c>
      <c r="B569" s="22" t="s">
        <v>2512</v>
      </c>
      <c r="C569" s="26" t="s">
        <v>22</v>
      </c>
      <c r="D569" s="22" t="s">
        <v>258</v>
      </c>
      <c r="E569" s="22"/>
      <c r="F569" s="22"/>
      <c r="G569" s="22"/>
      <c r="H569" s="22"/>
      <c r="I569" s="25" t="s">
        <v>2513</v>
      </c>
      <c r="J569" s="22"/>
      <c r="K569" s="22" t="s">
        <v>2514</v>
      </c>
      <c r="L569" s="22"/>
      <c r="M569" s="22" t="str">
        <f>HYPERLINK("https://ceds.ed.gov/cedselementdetails.aspx?termid=22263")</f>
        <v>https://ceds.ed.gov/cedselementdetails.aspx?termid=22263</v>
      </c>
    </row>
    <row r="570" spans="1:13" ht="216" x14ac:dyDescent="0.3">
      <c r="A570" s="22" t="s">
        <v>2515</v>
      </c>
      <c r="B570" s="22" t="s">
        <v>2516</v>
      </c>
      <c r="C570" s="26" t="s">
        <v>8742</v>
      </c>
      <c r="D570" s="22" t="s">
        <v>2517</v>
      </c>
      <c r="E570" s="22"/>
      <c r="F570" s="22"/>
      <c r="G570" s="22"/>
      <c r="H570" s="22"/>
      <c r="I570" s="25" t="s">
        <v>2518</v>
      </c>
      <c r="J570" s="22"/>
      <c r="K570" s="22" t="s">
        <v>2519</v>
      </c>
      <c r="L570" s="22" t="s">
        <v>226</v>
      </c>
      <c r="M570" s="22" t="str">
        <f>HYPERLINK("https://ceds.ed.gov/cedselementdetails.aspx?termid=21049")</f>
        <v>https://ceds.ed.gov/cedselementdetails.aspx?termid=21049</v>
      </c>
    </row>
    <row r="571" spans="1:13" x14ac:dyDescent="0.3">
      <c r="A571" s="22" t="s">
        <v>2520</v>
      </c>
      <c r="B571" s="22" t="s">
        <v>2521</v>
      </c>
      <c r="C571" s="23" t="s">
        <v>32</v>
      </c>
      <c r="D571" s="22" t="s">
        <v>2522</v>
      </c>
      <c r="E571" s="22"/>
      <c r="F571" s="22" t="s">
        <v>118</v>
      </c>
      <c r="G571" s="22"/>
      <c r="H571" s="22" t="s">
        <v>2523</v>
      </c>
      <c r="I571" s="25" t="s">
        <v>2524</v>
      </c>
      <c r="J571" s="22"/>
      <c r="K571" s="22" t="s">
        <v>2525</v>
      </c>
      <c r="L571" s="22"/>
      <c r="M571" s="22" t="str">
        <f>HYPERLINK("https://ceds.ed.gov/cedselementdetails.aspx?termid=22741")</f>
        <v>https://ceds.ed.gov/cedselementdetails.aspx?termid=22741</v>
      </c>
    </row>
    <row r="572" spans="1:13" ht="409.6" x14ac:dyDescent="0.3">
      <c r="A572" s="22" t="s">
        <v>2526</v>
      </c>
      <c r="B572" s="22" t="s">
        <v>2527</v>
      </c>
      <c r="C572" s="26" t="s">
        <v>8743</v>
      </c>
      <c r="D572" s="24" t="s">
        <v>8744</v>
      </c>
      <c r="E572" s="22"/>
      <c r="F572" s="22"/>
      <c r="G572" s="22"/>
      <c r="H572" s="22" t="s">
        <v>8055</v>
      </c>
      <c r="I572" s="25" t="s">
        <v>2528</v>
      </c>
      <c r="J572" s="22"/>
      <c r="K572" s="22" t="s">
        <v>2529</v>
      </c>
      <c r="L572" s="24" t="s">
        <v>2530</v>
      </c>
      <c r="M572" s="22" t="str">
        <f>HYPERLINK("https://ceds.ed.gov/cedselementdetails.aspx?termid=21050")</f>
        <v>https://ceds.ed.gov/cedselementdetails.aspx?termid=21050</v>
      </c>
    </row>
    <row r="573" spans="1:13" ht="409.6" x14ac:dyDescent="0.3">
      <c r="A573" s="22" t="s">
        <v>2531</v>
      </c>
      <c r="B573" s="22" t="s">
        <v>2532</v>
      </c>
      <c r="C573" s="26" t="s">
        <v>8743</v>
      </c>
      <c r="D573" s="24" t="s">
        <v>8656</v>
      </c>
      <c r="E573" s="22"/>
      <c r="F573" s="22"/>
      <c r="G573" s="22"/>
      <c r="H573" s="22" t="s">
        <v>8055</v>
      </c>
      <c r="I573" s="25" t="s">
        <v>2533</v>
      </c>
      <c r="J573" s="22"/>
      <c r="K573" s="22" t="s">
        <v>2534</v>
      </c>
      <c r="L573" s="24" t="s">
        <v>2535</v>
      </c>
      <c r="M573" s="22" t="str">
        <f>HYPERLINK("https://ceds.ed.gov/cedselementdetails.aspx?termid=21051")</f>
        <v>https://ceds.ed.gov/cedselementdetails.aspx?termid=21051</v>
      </c>
    </row>
    <row r="574" spans="1:13" ht="409.6" x14ac:dyDescent="0.3">
      <c r="A574" s="22" t="s">
        <v>2536</v>
      </c>
      <c r="B574" s="22" t="s">
        <v>2537</v>
      </c>
      <c r="C574" s="23" t="s">
        <v>32</v>
      </c>
      <c r="D574" s="24" t="s">
        <v>8745</v>
      </c>
      <c r="E574" s="22"/>
      <c r="F574" s="22" t="s">
        <v>2538</v>
      </c>
      <c r="G574" s="22"/>
      <c r="H574" s="22"/>
      <c r="I574" s="25" t="s">
        <v>2539</v>
      </c>
      <c r="J574" s="22"/>
      <c r="K574" s="22" t="s">
        <v>2540</v>
      </c>
      <c r="L574" s="22"/>
      <c r="M574" s="22" t="str">
        <f>HYPERLINK("https://ceds.ed.gov/cedselementdetails.aspx?termid=22176")</f>
        <v>https://ceds.ed.gov/cedselementdetails.aspx?termid=22176</v>
      </c>
    </row>
    <row r="575" spans="1:13" ht="72" x14ac:dyDescent="0.3">
      <c r="A575" s="22" t="s">
        <v>2541</v>
      </c>
      <c r="B575" s="22" t="s">
        <v>8056</v>
      </c>
      <c r="C575" s="23" t="s">
        <v>32</v>
      </c>
      <c r="D575" s="24" t="s">
        <v>2542</v>
      </c>
      <c r="E575" s="22"/>
      <c r="F575" s="22" t="s">
        <v>2543</v>
      </c>
      <c r="G575" s="22"/>
      <c r="H575" s="22"/>
      <c r="I575" s="25" t="s">
        <v>2544</v>
      </c>
      <c r="J575" s="22"/>
      <c r="K575" s="22" t="s">
        <v>2545</v>
      </c>
      <c r="L575" s="24" t="s">
        <v>1965</v>
      </c>
      <c r="M575" s="22" t="str">
        <f>HYPERLINK("https://ceds.ed.gov/cedselementdetails.aspx?termid=21053")</f>
        <v>https://ceds.ed.gov/cedselementdetails.aspx?termid=21053</v>
      </c>
    </row>
    <row r="576" spans="1:13" ht="72" x14ac:dyDescent="0.3">
      <c r="A576" s="22" t="s">
        <v>2546</v>
      </c>
      <c r="B576" s="22" t="s">
        <v>2547</v>
      </c>
      <c r="C576" s="23" t="s">
        <v>32</v>
      </c>
      <c r="D576" s="24" t="s">
        <v>2548</v>
      </c>
      <c r="E576" s="22"/>
      <c r="F576" s="22" t="s">
        <v>2549</v>
      </c>
      <c r="G576" s="22"/>
      <c r="H576" s="22" t="s">
        <v>2550</v>
      </c>
      <c r="I576" s="25" t="s">
        <v>2551</v>
      </c>
      <c r="J576" s="22"/>
      <c r="K576" s="22" t="s">
        <v>2552</v>
      </c>
      <c r="L576" s="22"/>
      <c r="M576" s="22" t="str">
        <f>HYPERLINK("https://ceds.ed.gov/cedselementdetails.aspx?termid=22264")</f>
        <v>https://ceds.ed.gov/cedselementdetails.aspx?termid=22264</v>
      </c>
    </row>
    <row r="577" spans="1:13" ht="273.60000000000002" x14ac:dyDescent="0.3">
      <c r="A577" s="22" t="s">
        <v>2553</v>
      </c>
      <c r="B577" s="22" t="s">
        <v>2554</v>
      </c>
      <c r="C577" s="26" t="s">
        <v>8746</v>
      </c>
      <c r="D577" s="24" t="s">
        <v>2555</v>
      </c>
      <c r="E577" s="22"/>
      <c r="F577" s="22"/>
      <c r="G577" s="22"/>
      <c r="H577" s="22"/>
      <c r="I577" s="25" t="s">
        <v>2556</v>
      </c>
      <c r="J577" s="22"/>
      <c r="K577" s="22" t="s">
        <v>2557</v>
      </c>
      <c r="L577" s="22"/>
      <c r="M577" s="22" t="str">
        <f>HYPERLINK("https://ceds.ed.gov/cedselementdetails.aspx?termid=22265")</f>
        <v>https://ceds.ed.gov/cedselementdetails.aspx?termid=22265</v>
      </c>
    </row>
    <row r="578" spans="1:13" ht="72" x14ac:dyDescent="0.3">
      <c r="A578" s="22" t="s">
        <v>2558</v>
      </c>
      <c r="B578" s="22" t="s">
        <v>2559</v>
      </c>
      <c r="C578" s="23" t="s">
        <v>32</v>
      </c>
      <c r="D578" s="24" t="s">
        <v>2542</v>
      </c>
      <c r="E578" s="22"/>
      <c r="F578" s="22" t="s">
        <v>118</v>
      </c>
      <c r="G578" s="22"/>
      <c r="H578" s="22"/>
      <c r="I578" s="25" t="s">
        <v>2560</v>
      </c>
      <c r="J578" s="22"/>
      <c r="K578" s="22" t="s">
        <v>2561</v>
      </c>
      <c r="L578" s="22"/>
      <c r="M578" s="22" t="str">
        <f>HYPERLINK("https://ceds.ed.gov/cedselementdetails.aspx?termid=22266")</f>
        <v>https://ceds.ed.gov/cedselementdetails.aspx?termid=22266</v>
      </c>
    </row>
    <row r="579" spans="1:13" ht="129.6" x14ac:dyDescent="0.3">
      <c r="A579" s="22" t="s">
        <v>2562</v>
      </c>
      <c r="B579" s="22" t="s">
        <v>2563</v>
      </c>
      <c r="C579" s="26" t="s">
        <v>22</v>
      </c>
      <c r="D579" s="24" t="s">
        <v>162</v>
      </c>
      <c r="E579" s="22"/>
      <c r="F579" s="22"/>
      <c r="G579" s="22"/>
      <c r="H579" s="22"/>
      <c r="I579" s="25" t="s">
        <v>2564</v>
      </c>
      <c r="J579" s="22"/>
      <c r="K579" s="22" t="s">
        <v>2565</v>
      </c>
      <c r="L579" s="22"/>
      <c r="M579" s="22" t="str">
        <f>HYPERLINK("https://ceds.ed.gov/cedselementdetails.aspx?termid=21013")</f>
        <v>https://ceds.ed.gov/cedselementdetails.aspx?termid=21013</v>
      </c>
    </row>
    <row r="580" spans="1:13" ht="409.6" x14ac:dyDescent="0.3">
      <c r="A580" s="22" t="s">
        <v>2566</v>
      </c>
      <c r="B580" s="22" t="s">
        <v>2567</v>
      </c>
      <c r="C580" s="26" t="s">
        <v>8747</v>
      </c>
      <c r="D580" s="24" t="s">
        <v>2568</v>
      </c>
      <c r="E580" s="22"/>
      <c r="F580" s="22"/>
      <c r="G580" s="22"/>
      <c r="H580" s="22" t="s">
        <v>8057</v>
      </c>
      <c r="I580" s="25" t="s">
        <v>2569</v>
      </c>
      <c r="J580" s="22"/>
      <c r="K580" s="22" t="s">
        <v>2570</v>
      </c>
      <c r="L580" s="22"/>
      <c r="M580" s="22" t="str">
        <f>HYPERLINK("https://ceds.ed.gov/cedselementdetails.aspx?termid=22267")</f>
        <v>https://ceds.ed.gov/cedselementdetails.aspx?termid=22267</v>
      </c>
    </row>
    <row r="581" spans="1:13" ht="100.8" x14ac:dyDescent="0.3">
      <c r="A581" s="22" t="s">
        <v>2571</v>
      </c>
      <c r="B581" s="22" t="s">
        <v>2572</v>
      </c>
      <c r="C581" s="23" t="s">
        <v>32</v>
      </c>
      <c r="D581" s="24" t="s">
        <v>8419</v>
      </c>
      <c r="E581" s="22" t="s">
        <v>172</v>
      </c>
      <c r="F581" s="22" t="s">
        <v>118</v>
      </c>
      <c r="G581" s="22" t="s">
        <v>7946</v>
      </c>
      <c r="H581" s="22"/>
      <c r="I581" s="25" t="s">
        <v>2573</v>
      </c>
      <c r="J581" s="22"/>
      <c r="K581" s="22" t="s">
        <v>2574</v>
      </c>
      <c r="L581" s="24" t="s">
        <v>1965</v>
      </c>
      <c r="M581" s="22" t="str">
        <f>HYPERLINK("https://ceds.ed.gov/cedselementdetails.aspx?termid=21054")</f>
        <v>https://ceds.ed.gov/cedselementdetails.aspx?termid=21054</v>
      </c>
    </row>
    <row r="582" spans="1:13" ht="100.8" x14ac:dyDescent="0.3">
      <c r="A582" s="22" t="s">
        <v>2575</v>
      </c>
      <c r="B582" s="22" t="s">
        <v>2576</v>
      </c>
      <c r="C582" s="23" t="s">
        <v>32</v>
      </c>
      <c r="D582" s="24" t="s">
        <v>2568</v>
      </c>
      <c r="E582" s="22"/>
      <c r="F582" s="22" t="s">
        <v>113</v>
      </c>
      <c r="G582" s="22"/>
      <c r="H582" s="22"/>
      <c r="I582" s="25" t="s">
        <v>2577</v>
      </c>
      <c r="J582" s="22"/>
      <c r="K582" s="22" t="s">
        <v>2578</v>
      </c>
      <c r="L582" s="22"/>
      <c r="M582" s="22" t="str">
        <f>HYPERLINK("https://ceds.ed.gov/cedselementdetails.aspx?termid=22268")</f>
        <v>https://ceds.ed.gov/cedselementdetails.aspx?termid=22268</v>
      </c>
    </row>
    <row r="583" spans="1:13" ht="216" x14ac:dyDescent="0.3">
      <c r="A583" s="22" t="s">
        <v>2579</v>
      </c>
      <c r="B583" s="22" t="s">
        <v>2580</v>
      </c>
      <c r="C583" s="26" t="s">
        <v>8420</v>
      </c>
      <c r="D583" s="24" t="s">
        <v>8421</v>
      </c>
      <c r="E583" s="22" t="s">
        <v>172</v>
      </c>
      <c r="F583" s="22"/>
      <c r="G583" s="22" t="s">
        <v>7946</v>
      </c>
      <c r="H583" s="22"/>
      <c r="I583" s="25" t="s">
        <v>2582</v>
      </c>
      <c r="J583" s="22"/>
      <c r="K583" s="22" t="s">
        <v>2583</v>
      </c>
      <c r="L583" s="24" t="s">
        <v>1521</v>
      </c>
      <c r="M583" s="22" t="str">
        <f>HYPERLINK("https://ceds.ed.gov/cedselementdetails.aspx?termid=21056")</f>
        <v>https://ceds.ed.gov/cedselementdetails.aspx?termid=21056</v>
      </c>
    </row>
    <row r="584" spans="1:13" ht="409.6" x14ac:dyDescent="0.3">
      <c r="A584" s="22" t="s">
        <v>2584</v>
      </c>
      <c r="B584" s="22" t="s">
        <v>2585</v>
      </c>
      <c r="C584" s="26" t="s">
        <v>8748</v>
      </c>
      <c r="D584" s="24" t="s">
        <v>2548</v>
      </c>
      <c r="E584" s="22"/>
      <c r="F584" s="22"/>
      <c r="G584" s="22"/>
      <c r="H584" s="22"/>
      <c r="I584" s="25" t="s">
        <v>2586</v>
      </c>
      <c r="J584" s="22"/>
      <c r="K584" s="22" t="s">
        <v>2587</v>
      </c>
      <c r="L584" s="22"/>
      <c r="M584" s="22" t="str">
        <f>HYPERLINK("https://ceds.ed.gov/cedselementdetails.aspx?termid=22269")</f>
        <v>https://ceds.ed.gov/cedselementdetails.aspx?termid=22269</v>
      </c>
    </row>
    <row r="585" spans="1:13" ht="216" x14ac:dyDescent="0.3">
      <c r="A585" s="22" t="s">
        <v>2588</v>
      </c>
      <c r="B585" s="22" t="s">
        <v>2589</v>
      </c>
      <c r="C585" s="26" t="s">
        <v>8749</v>
      </c>
      <c r="D585" s="24" t="s">
        <v>2548</v>
      </c>
      <c r="E585" s="22"/>
      <c r="F585" s="22"/>
      <c r="G585" s="22"/>
      <c r="H585" s="22"/>
      <c r="I585" s="25" t="s">
        <v>2590</v>
      </c>
      <c r="J585" s="22"/>
      <c r="K585" s="22" t="s">
        <v>2591</v>
      </c>
      <c r="L585" s="22"/>
      <c r="M585" s="22" t="str">
        <f>HYPERLINK("https://ceds.ed.gov/cedselementdetails.aspx?termid=22270")</f>
        <v>https://ceds.ed.gov/cedselementdetails.aspx?termid=22270</v>
      </c>
    </row>
    <row r="586" spans="1:13" ht="187.2" x14ac:dyDescent="0.3">
      <c r="A586" s="22" t="s">
        <v>2592</v>
      </c>
      <c r="B586" s="22" t="s">
        <v>8058</v>
      </c>
      <c r="C586" s="26" t="s">
        <v>8750</v>
      </c>
      <c r="D586" s="24" t="s">
        <v>8751</v>
      </c>
      <c r="E586" s="22"/>
      <c r="F586" s="22"/>
      <c r="G586" s="22"/>
      <c r="H586" s="22"/>
      <c r="I586" s="25" t="s">
        <v>2593</v>
      </c>
      <c r="J586" s="22"/>
      <c r="K586" s="22" t="s">
        <v>2594</v>
      </c>
      <c r="L586" s="22" t="s">
        <v>58</v>
      </c>
      <c r="M586" s="22" t="str">
        <f>HYPERLINK("https://ceds.ed.gov/cedselementdetails.aspx?termid=21057")</f>
        <v>https://ceds.ed.gov/cedselementdetails.aspx?termid=21057</v>
      </c>
    </row>
    <row r="587" spans="1:13" ht="158.4" x14ac:dyDescent="0.3">
      <c r="A587" s="22" t="s">
        <v>2595</v>
      </c>
      <c r="B587" s="22" t="s">
        <v>2596</v>
      </c>
      <c r="C587" s="23" t="s">
        <v>32</v>
      </c>
      <c r="D587" s="24" t="s">
        <v>2597</v>
      </c>
      <c r="E587" s="22"/>
      <c r="F587" s="22" t="s">
        <v>157</v>
      </c>
      <c r="G587" s="22"/>
      <c r="H587" s="22"/>
      <c r="I587" s="25" t="s">
        <v>2598</v>
      </c>
      <c r="J587" s="22"/>
      <c r="K587" s="22" t="s">
        <v>2599</v>
      </c>
      <c r="L587" s="22"/>
      <c r="M587" s="22" t="str">
        <f>HYPERLINK("https://ceds.ed.gov/cedselementdetails.aspx?termid=22525")</f>
        <v>https://ceds.ed.gov/cedselementdetails.aspx?termid=22525</v>
      </c>
    </row>
    <row r="588" spans="1:13" ht="129.6" x14ac:dyDescent="0.3">
      <c r="A588" s="22" t="s">
        <v>2600</v>
      </c>
      <c r="B588" s="22" t="s">
        <v>2601</v>
      </c>
      <c r="C588" s="23" t="s">
        <v>32</v>
      </c>
      <c r="D588" s="24" t="s">
        <v>162</v>
      </c>
      <c r="E588" s="22"/>
      <c r="F588" s="22" t="s">
        <v>157</v>
      </c>
      <c r="G588" s="22"/>
      <c r="H588" s="22"/>
      <c r="I588" s="25" t="s">
        <v>2602</v>
      </c>
      <c r="J588" s="22"/>
      <c r="K588" s="22" t="s">
        <v>2603</v>
      </c>
      <c r="L588" s="22"/>
      <c r="M588" s="22" t="str">
        <f>HYPERLINK("https://ceds.ed.gov/cedselementdetails.aspx?termid=21508")</f>
        <v>https://ceds.ed.gov/cedselementdetails.aspx?termid=21508</v>
      </c>
    </row>
    <row r="589" spans="1:13" ht="72" x14ac:dyDescent="0.3">
      <c r="A589" s="22" t="s">
        <v>2604</v>
      </c>
      <c r="B589" s="22" t="s">
        <v>2605</v>
      </c>
      <c r="C589" s="23" t="s">
        <v>32</v>
      </c>
      <c r="D589" s="24" t="s">
        <v>2542</v>
      </c>
      <c r="E589" s="22"/>
      <c r="F589" s="22" t="s">
        <v>118</v>
      </c>
      <c r="G589" s="22"/>
      <c r="H589" s="22"/>
      <c r="I589" s="25" t="s">
        <v>2606</v>
      </c>
      <c r="J589" s="22"/>
      <c r="K589" s="22" t="s">
        <v>2607</v>
      </c>
      <c r="L589" s="22" t="s">
        <v>2608</v>
      </c>
      <c r="M589" s="22" t="str">
        <f>HYPERLINK("https://ceds.ed.gov/cedselementdetails.aspx?termid=22271")</f>
        <v>https://ceds.ed.gov/cedselementdetails.aspx?termid=22271</v>
      </c>
    </row>
    <row r="590" spans="1:13" ht="100.8" x14ac:dyDescent="0.3">
      <c r="A590" s="22" t="s">
        <v>2609</v>
      </c>
      <c r="B590" s="22" t="s">
        <v>2610</v>
      </c>
      <c r="C590" s="23" t="s">
        <v>32</v>
      </c>
      <c r="D590" s="24" t="s">
        <v>8419</v>
      </c>
      <c r="E590" s="22" t="s">
        <v>172</v>
      </c>
      <c r="F590" s="22" t="s">
        <v>118</v>
      </c>
      <c r="G590" s="22" t="s">
        <v>7946</v>
      </c>
      <c r="H590" s="22" t="s">
        <v>143</v>
      </c>
      <c r="I590" s="25" t="s">
        <v>2611</v>
      </c>
      <c r="J590" s="22"/>
      <c r="K590" s="22" t="s">
        <v>2612</v>
      </c>
      <c r="L590" s="24" t="s">
        <v>1965</v>
      </c>
      <c r="M590" s="22" t="str">
        <f>HYPERLINK("https://ceds.ed.gov/cedselementdetails.aspx?termid=21059")</f>
        <v>https://ceds.ed.gov/cedselementdetails.aspx?termid=21059</v>
      </c>
    </row>
    <row r="591" spans="1:13" ht="100.8" x14ac:dyDescent="0.3">
      <c r="A591" s="22" t="s">
        <v>2613</v>
      </c>
      <c r="B591" s="22" t="s">
        <v>2614</v>
      </c>
      <c r="C591" s="23" t="s">
        <v>32</v>
      </c>
      <c r="D591" s="24" t="s">
        <v>2568</v>
      </c>
      <c r="E591" s="22"/>
      <c r="F591" s="22" t="s">
        <v>85</v>
      </c>
      <c r="G591" s="22"/>
      <c r="H591" s="22" t="s">
        <v>2615</v>
      </c>
      <c r="I591" s="25" t="s">
        <v>2616</v>
      </c>
      <c r="J591" s="22"/>
      <c r="K591" s="22" t="s">
        <v>2617</v>
      </c>
      <c r="L591" s="22"/>
      <c r="M591" s="22" t="str">
        <f>HYPERLINK("https://ceds.ed.gov/cedselementdetails.aspx?termid=22272")</f>
        <v>https://ceds.ed.gov/cedselementdetails.aspx?termid=22272</v>
      </c>
    </row>
    <row r="592" spans="1:13" ht="158.4" x14ac:dyDescent="0.3">
      <c r="A592" s="22" t="s">
        <v>2618</v>
      </c>
      <c r="B592" s="22" t="s">
        <v>2619</v>
      </c>
      <c r="C592" s="26" t="s">
        <v>8752</v>
      </c>
      <c r="D592" s="24" t="s">
        <v>2620</v>
      </c>
      <c r="E592" s="22"/>
      <c r="F592" s="22"/>
      <c r="G592" s="22"/>
      <c r="H592" s="22"/>
      <c r="I592" s="25" t="s">
        <v>2621</v>
      </c>
      <c r="J592" s="22" t="s">
        <v>2622</v>
      </c>
      <c r="K592" s="22" t="s">
        <v>2623</v>
      </c>
      <c r="L592" s="24" t="s">
        <v>1521</v>
      </c>
      <c r="M592" s="22" t="str">
        <f>HYPERLINK("https://ceds.ed.gov/cedselementdetails.aspx?termid=21060")</f>
        <v>https://ceds.ed.gov/cedselementdetails.aspx?termid=21060</v>
      </c>
    </row>
    <row r="593" spans="1:13" ht="72" x14ac:dyDescent="0.3">
      <c r="A593" s="22" t="s">
        <v>2624</v>
      </c>
      <c r="B593" s="22" t="s">
        <v>2625</v>
      </c>
      <c r="C593" s="26" t="s">
        <v>8753</v>
      </c>
      <c r="D593" s="24" t="s">
        <v>2548</v>
      </c>
      <c r="E593" s="22"/>
      <c r="F593" s="22"/>
      <c r="G593" s="22"/>
      <c r="H593" s="22"/>
      <c r="I593" s="25" t="s">
        <v>2626</v>
      </c>
      <c r="J593" s="22"/>
      <c r="K593" s="22" t="s">
        <v>2627</v>
      </c>
      <c r="L593" s="22"/>
      <c r="M593" s="22" t="str">
        <f>HYPERLINK("https://ceds.ed.gov/cedselementdetails.aspx?termid=22273")</f>
        <v>https://ceds.ed.gov/cedselementdetails.aspx?termid=22273</v>
      </c>
    </row>
    <row r="594" spans="1:13" ht="187.2" x14ac:dyDescent="0.3">
      <c r="A594" s="22" t="s">
        <v>2628</v>
      </c>
      <c r="B594" s="22" t="s">
        <v>2629</v>
      </c>
      <c r="C594" s="23" t="s">
        <v>32</v>
      </c>
      <c r="D594" s="24" t="s">
        <v>2581</v>
      </c>
      <c r="E594" s="22"/>
      <c r="F594" s="22" t="s">
        <v>132</v>
      </c>
      <c r="G594" s="22"/>
      <c r="H594" s="22" t="s">
        <v>7945</v>
      </c>
      <c r="I594" s="25" t="s">
        <v>2630</v>
      </c>
      <c r="J594" s="22"/>
      <c r="K594" s="22" t="s">
        <v>2631</v>
      </c>
      <c r="L594" s="24" t="s">
        <v>2632</v>
      </c>
      <c r="M594" s="22" t="str">
        <f>HYPERLINK("https://ceds.ed.gov/cedselementdetails.aspx?termid=21055")</f>
        <v>https://ceds.ed.gov/cedselementdetails.aspx?termid=21055</v>
      </c>
    </row>
    <row r="595" spans="1:13" ht="409.6" x14ac:dyDescent="0.3">
      <c r="A595" s="22" t="s">
        <v>2633</v>
      </c>
      <c r="B595" s="22" t="s">
        <v>2634</v>
      </c>
      <c r="C595" s="26" t="s">
        <v>8754</v>
      </c>
      <c r="D595" s="24" t="s">
        <v>2548</v>
      </c>
      <c r="E595" s="22"/>
      <c r="F595" s="22"/>
      <c r="G595" s="22"/>
      <c r="H595" s="22"/>
      <c r="I595" s="25" t="s">
        <v>2635</v>
      </c>
      <c r="J595" s="22"/>
      <c r="K595" s="22" t="s">
        <v>2636</v>
      </c>
      <c r="L595" s="22"/>
      <c r="M595" s="22" t="str">
        <f>HYPERLINK("https://ceds.ed.gov/cedselementdetails.aspx?termid=22274")</f>
        <v>https://ceds.ed.gov/cedselementdetails.aspx?termid=22274</v>
      </c>
    </row>
    <row r="596" spans="1:13" ht="72" x14ac:dyDescent="0.3">
      <c r="A596" s="22" t="s">
        <v>2637</v>
      </c>
      <c r="B596" s="22" t="s">
        <v>2638</v>
      </c>
      <c r="C596" s="23" t="s">
        <v>32</v>
      </c>
      <c r="D596" s="24" t="s">
        <v>2548</v>
      </c>
      <c r="E596" s="22"/>
      <c r="F596" s="22" t="s">
        <v>157</v>
      </c>
      <c r="G596" s="22"/>
      <c r="H596" s="22"/>
      <c r="I596" s="25" t="s">
        <v>2639</v>
      </c>
      <c r="J596" s="22"/>
      <c r="K596" s="22" t="s">
        <v>2640</v>
      </c>
      <c r="L596" s="22"/>
      <c r="M596" s="22" t="str">
        <f>HYPERLINK("https://ceds.ed.gov/cedselementdetails.aspx?termid=22275")</f>
        <v>https://ceds.ed.gov/cedselementdetails.aspx?termid=22275</v>
      </c>
    </row>
    <row r="597" spans="1:13" ht="172.8" x14ac:dyDescent="0.3">
      <c r="A597" s="22" t="s">
        <v>2641</v>
      </c>
      <c r="B597" s="22" t="s">
        <v>2642</v>
      </c>
      <c r="C597" s="26" t="s">
        <v>8755</v>
      </c>
      <c r="D597" s="24" t="s">
        <v>2548</v>
      </c>
      <c r="E597" s="22"/>
      <c r="F597" s="22"/>
      <c r="G597" s="22"/>
      <c r="H597" s="22"/>
      <c r="I597" s="25" t="s">
        <v>2643</v>
      </c>
      <c r="J597" s="22"/>
      <c r="K597" s="22" t="s">
        <v>2644</v>
      </c>
      <c r="L597" s="22"/>
      <c r="M597" s="22" t="str">
        <f>HYPERLINK("https://ceds.ed.gov/cedselementdetails.aspx?termid=22276")</f>
        <v>https://ceds.ed.gov/cedselementdetails.aspx?termid=22276</v>
      </c>
    </row>
    <row r="598" spans="1:13" ht="100.8" x14ac:dyDescent="0.3">
      <c r="A598" s="22" t="s">
        <v>2645</v>
      </c>
      <c r="B598" s="22" t="s">
        <v>2646</v>
      </c>
      <c r="C598" s="26" t="s">
        <v>8756</v>
      </c>
      <c r="D598" s="24" t="s">
        <v>2568</v>
      </c>
      <c r="E598" s="22"/>
      <c r="F598" s="22"/>
      <c r="G598" s="22"/>
      <c r="H598" s="22" t="s">
        <v>2647</v>
      </c>
      <c r="I598" s="25" t="s">
        <v>2648</v>
      </c>
      <c r="J598" s="22"/>
      <c r="K598" s="22" t="s">
        <v>2649</v>
      </c>
      <c r="L598" s="22"/>
      <c r="M598" s="22" t="str">
        <f>HYPERLINK("https://ceds.ed.gov/cedselementdetails.aspx?termid=22277")</f>
        <v>https://ceds.ed.gov/cedselementdetails.aspx?termid=22277</v>
      </c>
    </row>
    <row r="599" spans="1:13" ht="129.6" x14ac:dyDescent="0.3">
      <c r="A599" s="22" t="s">
        <v>8059</v>
      </c>
      <c r="B599" s="22" t="s">
        <v>8060</v>
      </c>
      <c r="C599" s="26" t="s">
        <v>22</v>
      </c>
      <c r="D599" s="24" t="s">
        <v>8385</v>
      </c>
      <c r="E599" s="22" t="s">
        <v>167</v>
      </c>
      <c r="F599" s="22" t="s">
        <v>2</v>
      </c>
      <c r="G599" s="22" t="s">
        <v>7949</v>
      </c>
      <c r="H599" s="22" t="s">
        <v>8061</v>
      </c>
      <c r="I599" s="25" t="s">
        <v>8354</v>
      </c>
      <c r="J599" s="22"/>
      <c r="K599" s="22" t="s">
        <v>8062</v>
      </c>
      <c r="L599" s="22"/>
      <c r="M599" s="22" t="str">
        <f>HYPERLINK("https://ceds.ed.gov/cedselementdetails.aspx?termid=22975")</f>
        <v>https://ceds.ed.gov/cedselementdetails.aspx?termid=22975</v>
      </c>
    </row>
    <row r="600" spans="1:13" ht="360" x14ac:dyDescent="0.3">
      <c r="A600" s="22" t="s">
        <v>2650</v>
      </c>
      <c r="B600" s="22" t="s">
        <v>2651</v>
      </c>
      <c r="C600" s="26" t="s">
        <v>8757</v>
      </c>
      <c r="D600" s="24" t="s">
        <v>1517</v>
      </c>
      <c r="E600" s="22"/>
      <c r="F600" s="22"/>
      <c r="G600" s="22"/>
      <c r="H600" s="22"/>
      <c r="I600" s="25" t="s">
        <v>2652</v>
      </c>
      <c r="J600" s="22"/>
      <c r="K600" s="22" t="s">
        <v>2653</v>
      </c>
      <c r="L600" s="24" t="s">
        <v>2632</v>
      </c>
      <c r="M600" s="22" t="str">
        <f>HYPERLINK("https://ceds.ed.gov/cedselementdetails.aspx?termid=21061")</f>
        <v>https://ceds.ed.gov/cedselementdetails.aspx?termid=21061</v>
      </c>
    </row>
    <row r="601" spans="1:13" ht="345.6" x14ac:dyDescent="0.3">
      <c r="A601" s="22" t="s">
        <v>2654</v>
      </c>
      <c r="B601" s="22" t="s">
        <v>2655</v>
      </c>
      <c r="C601" s="26" t="s">
        <v>8422</v>
      </c>
      <c r="D601" s="24" t="s">
        <v>8423</v>
      </c>
      <c r="E601" s="22" t="s">
        <v>172</v>
      </c>
      <c r="F601" s="22"/>
      <c r="G601" s="22" t="s">
        <v>7946</v>
      </c>
      <c r="H601" s="22"/>
      <c r="I601" s="25" t="s">
        <v>2657</v>
      </c>
      <c r="J601" s="22"/>
      <c r="K601" s="22" t="s">
        <v>2658</v>
      </c>
      <c r="L601" s="22"/>
      <c r="M601" s="22" t="str">
        <f>HYPERLINK("https://ceds.ed.gov/cedselementdetails.aspx?termid=22278")</f>
        <v>https://ceds.ed.gov/cedselementdetails.aspx?termid=22278</v>
      </c>
    </row>
    <row r="602" spans="1:13" ht="72" x14ac:dyDescent="0.3">
      <c r="A602" s="22" t="s">
        <v>2659</v>
      </c>
      <c r="B602" s="22" t="s">
        <v>2660</v>
      </c>
      <c r="C602" s="23" t="s">
        <v>32</v>
      </c>
      <c r="D602" s="24" t="s">
        <v>2548</v>
      </c>
      <c r="E602" s="22"/>
      <c r="F602" s="22" t="s">
        <v>328</v>
      </c>
      <c r="G602" s="22"/>
      <c r="H602" s="22"/>
      <c r="I602" s="25" t="s">
        <v>2661</v>
      </c>
      <c r="J602" s="22"/>
      <c r="K602" s="22" t="s">
        <v>2662</v>
      </c>
      <c r="L602" s="22"/>
      <c r="M602" s="22" t="str">
        <f>HYPERLINK("https://ceds.ed.gov/cedselementdetails.aspx?termid=22279")</f>
        <v>https://ceds.ed.gov/cedselementdetails.aspx?termid=22279</v>
      </c>
    </row>
    <row r="603" spans="1:13" ht="100.8" x14ac:dyDescent="0.3">
      <c r="A603" s="22" t="s">
        <v>2663</v>
      </c>
      <c r="B603" s="22" t="s">
        <v>8063</v>
      </c>
      <c r="C603" s="23" t="s">
        <v>32</v>
      </c>
      <c r="D603" s="24" t="s">
        <v>2664</v>
      </c>
      <c r="E603" s="22"/>
      <c r="F603" s="22" t="s">
        <v>85</v>
      </c>
      <c r="G603" s="22"/>
      <c r="H603" s="22"/>
      <c r="I603" s="25" t="s">
        <v>2665</v>
      </c>
      <c r="J603" s="22"/>
      <c r="K603" s="22" t="s">
        <v>2666</v>
      </c>
      <c r="L603" s="22"/>
      <c r="M603" s="22" t="str">
        <f>HYPERLINK("https://ceds.ed.gov/cedselementdetails.aspx?termid=22280")</f>
        <v>https://ceds.ed.gov/cedselementdetails.aspx?termid=22280</v>
      </c>
    </row>
    <row r="604" spans="1:13" ht="72" x14ac:dyDescent="0.3">
      <c r="A604" s="22" t="s">
        <v>2667</v>
      </c>
      <c r="B604" s="22" t="s">
        <v>8064</v>
      </c>
      <c r="C604" s="23" t="s">
        <v>32</v>
      </c>
      <c r="D604" s="24" t="s">
        <v>2542</v>
      </c>
      <c r="E604" s="22"/>
      <c r="F604" s="22" t="s">
        <v>55</v>
      </c>
      <c r="G604" s="22"/>
      <c r="H604" s="22"/>
      <c r="I604" s="25" t="s">
        <v>2668</v>
      </c>
      <c r="J604" s="22"/>
      <c r="K604" s="22" t="s">
        <v>2669</v>
      </c>
      <c r="L604" s="22" t="s">
        <v>58</v>
      </c>
      <c r="M604" s="22" t="str">
        <f>HYPERLINK("https://ceds.ed.gov/cedselementdetails.aspx?termid=21063")</f>
        <v>https://ceds.ed.gov/cedselementdetails.aspx?termid=21063</v>
      </c>
    </row>
    <row r="605" spans="1:13" ht="72" x14ac:dyDescent="0.3">
      <c r="A605" s="22" t="s">
        <v>2670</v>
      </c>
      <c r="B605" s="22" t="s">
        <v>8065</v>
      </c>
      <c r="C605" s="23" t="s">
        <v>32</v>
      </c>
      <c r="D605" s="24" t="s">
        <v>2542</v>
      </c>
      <c r="E605" s="22"/>
      <c r="F605" s="22" t="s">
        <v>1518</v>
      </c>
      <c r="G605" s="22"/>
      <c r="H605" s="22"/>
      <c r="I605" s="25" t="s">
        <v>2671</v>
      </c>
      <c r="J605" s="22"/>
      <c r="K605" s="22" t="s">
        <v>2672</v>
      </c>
      <c r="L605" s="22" t="s">
        <v>58</v>
      </c>
      <c r="M605" s="22" t="str">
        <f>HYPERLINK("https://ceds.ed.gov/cedselementdetails.aspx?termid=21064")</f>
        <v>https://ceds.ed.gov/cedselementdetails.aspx?termid=21064</v>
      </c>
    </row>
    <row r="606" spans="1:13" ht="201.6" x14ac:dyDescent="0.3">
      <c r="A606" s="22" t="s">
        <v>2673</v>
      </c>
      <c r="B606" s="22" t="s">
        <v>2674</v>
      </c>
      <c r="C606" s="26" t="s">
        <v>8758</v>
      </c>
      <c r="D606" s="24" t="s">
        <v>2675</v>
      </c>
      <c r="E606" s="22"/>
      <c r="F606" s="22"/>
      <c r="G606" s="22"/>
      <c r="H606" s="22"/>
      <c r="I606" s="25" t="s">
        <v>2676</v>
      </c>
      <c r="J606" s="22"/>
      <c r="K606" s="22" t="s">
        <v>2677</v>
      </c>
      <c r="L606" s="24" t="s">
        <v>64</v>
      </c>
      <c r="M606" s="22" t="str">
        <f>HYPERLINK("https://ceds.ed.gov/cedselementdetails.aspx?termid=21065")</f>
        <v>https://ceds.ed.gov/cedselementdetails.aspx?termid=21065</v>
      </c>
    </row>
    <row r="607" spans="1:13" ht="129.6" x14ac:dyDescent="0.3">
      <c r="A607" s="22" t="s">
        <v>2678</v>
      </c>
      <c r="B607" s="22" t="s">
        <v>2679</v>
      </c>
      <c r="C607" s="23" t="s">
        <v>32</v>
      </c>
      <c r="D607" s="24" t="s">
        <v>1517</v>
      </c>
      <c r="E607" s="22"/>
      <c r="F607" s="22" t="s">
        <v>1699</v>
      </c>
      <c r="G607" s="22"/>
      <c r="H607" s="22"/>
      <c r="I607" s="25" t="s">
        <v>2680</v>
      </c>
      <c r="J607" s="22"/>
      <c r="K607" s="22" t="s">
        <v>2681</v>
      </c>
      <c r="L607" s="22"/>
      <c r="M607" s="22" t="str">
        <f>HYPERLINK("https://ceds.ed.gov/cedselementdetails.aspx?termid=22648")</f>
        <v>https://ceds.ed.gov/cedselementdetails.aspx?termid=22648</v>
      </c>
    </row>
    <row r="608" spans="1:13" ht="409.6" x14ac:dyDescent="0.3">
      <c r="A608" s="22" t="s">
        <v>2682</v>
      </c>
      <c r="B608" s="22" t="s">
        <v>2683</v>
      </c>
      <c r="C608" s="26" t="s">
        <v>8402</v>
      </c>
      <c r="D608" s="24" t="s">
        <v>2684</v>
      </c>
      <c r="E608" s="22" t="s">
        <v>172</v>
      </c>
      <c r="F608" s="22"/>
      <c r="G608" s="22" t="s">
        <v>7995</v>
      </c>
      <c r="H608" s="22"/>
      <c r="I608" s="25" t="s">
        <v>2685</v>
      </c>
      <c r="J608" s="22"/>
      <c r="K608" s="22" t="s">
        <v>2686</v>
      </c>
      <c r="L608" s="24" t="s">
        <v>2687</v>
      </c>
      <c r="M608" s="22" t="str">
        <f>HYPERLINK("https://ceds.ed.gov/cedselementdetails.aspx?termid=21027")</f>
        <v>https://ceds.ed.gov/cedselementdetails.aspx?termid=21027</v>
      </c>
    </row>
    <row r="609" spans="1:13" ht="43.2" x14ac:dyDescent="0.3">
      <c r="A609" s="22" t="s">
        <v>2688</v>
      </c>
      <c r="B609" s="22" t="s">
        <v>2689</v>
      </c>
      <c r="C609" s="23" t="s">
        <v>32</v>
      </c>
      <c r="D609" s="24" t="s">
        <v>8424</v>
      </c>
      <c r="E609" s="22" t="s">
        <v>172</v>
      </c>
      <c r="F609" s="22" t="s">
        <v>118</v>
      </c>
      <c r="G609" s="22" t="s">
        <v>7946</v>
      </c>
      <c r="H609" s="22" t="s">
        <v>2691</v>
      </c>
      <c r="I609" s="25" t="s">
        <v>2692</v>
      </c>
      <c r="J609" s="22"/>
      <c r="K609" s="22" t="s">
        <v>2693</v>
      </c>
      <c r="L609" s="22"/>
      <c r="M609" s="22" t="str">
        <f>HYPERLINK("https://ceds.ed.gov/cedselementdetails.aspx?termid=21976")</f>
        <v>https://ceds.ed.gov/cedselementdetails.aspx?termid=21976</v>
      </c>
    </row>
    <row r="610" spans="1:13" ht="43.2" x14ac:dyDescent="0.3">
      <c r="A610" s="22" t="s">
        <v>2694</v>
      </c>
      <c r="B610" s="22" t="s">
        <v>2695</v>
      </c>
      <c r="C610" s="23" t="s">
        <v>32</v>
      </c>
      <c r="D610" s="24" t="s">
        <v>8424</v>
      </c>
      <c r="E610" s="22" t="s">
        <v>172</v>
      </c>
      <c r="F610" s="22" t="s">
        <v>118</v>
      </c>
      <c r="G610" s="22" t="s">
        <v>7946</v>
      </c>
      <c r="H610" s="22" t="s">
        <v>2696</v>
      </c>
      <c r="I610" s="25" t="s">
        <v>2697</v>
      </c>
      <c r="J610" s="22"/>
      <c r="K610" s="22" t="s">
        <v>2698</v>
      </c>
      <c r="L610" s="22"/>
      <c r="M610" s="22" t="str">
        <f>HYPERLINK("https://ceds.ed.gov/cedselementdetails.aspx?termid=21975")</f>
        <v>https://ceds.ed.gov/cedselementdetails.aspx?termid=21975</v>
      </c>
    </row>
    <row r="611" spans="1:13" ht="100.8" x14ac:dyDescent="0.3">
      <c r="A611" s="22" t="s">
        <v>2699</v>
      </c>
      <c r="B611" s="22" t="s">
        <v>2700</v>
      </c>
      <c r="C611" s="26" t="s">
        <v>8759</v>
      </c>
      <c r="D611" s="22" t="s">
        <v>2690</v>
      </c>
      <c r="E611" s="22"/>
      <c r="F611" s="22"/>
      <c r="G611" s="22"/>
      <c r="H611" s="22" t="s">
        <v>2696</v>
      </c>
      <c r="I611" s="25" t="s">
        <v>2701</v>
      </c>
      <c r="J611" s="22"/>
      <c r="K611" s="22" t="s">
        <v>2702</v>
      </c>
      <c r="L611" s="22"/>
      <c r="M611" s="22" t="str">
        <f>HYPERLINK("https://ceds.ed.gov/cedselementdetails.aspx?termid=21977")</f>
        <v>https://ceds.ed.gov/cedselementdetails.aspx?termid=21977</v>
      </c>
    </row>
    <row r="612" spans="1:13" ht="43.2" x14ac:dyDescent="0.3">
      <c r="A612" s="22" t="s">
        <v>2703</v>
      </c>
      <c r="B612" s="22" t="s">
        <v>2704</v>
      </c>
      <c r="C612" s="26" t="s">
        <v>8760</v>
      </c>
      <c r="D612" s="22" t="s">
        <v>2690</v>
      </c>
      <c r="E612" s="22"/>
      <c r="F612" s="22"/>
      <c r="G612" s="22"/>
      <c r="H612" s="22"/>
      <c r="I612" s="25" t="s">
        <v>2705</v>
      </c>
      <c r="J612" s="22"/>
      <c r="K612" s="22" t="s">
        <v>2706</v>
      </c>
      <c r="L612" s="22" t="s">
        <v>2707</v>
      </c>
      <c r="M612" s="22" t="str">
        <f>HYPERLINK("https://ceds.ed.gov/cedselementdetails.aspx?termid=21652")</f>
        <v>https://ceds.ed.gov/cedselementdetails.aspx?termid=21652</v>
      </c>
    </row>
    <row r="613" spans="1:13" ht="187.2" x14ac:dyDescent="0.3">
      <c r="A613" s="22" t="s">
        <v>2708</v>
      </c>
      <c r="B613" s="22" t="s">
        <v>2709</v>
      </c>
      <c r="C613" s="26" t="s">
        <v>8761</v>
      </c>
      <c r="D613" s="22" t="s">
        <v>2690</v>
      </c>
      <c r="E613" s="22"/>
      <c r="F613" s="22"/>
      <c r="G613" s="22"/>
      <c r="H613" s="22"/>
      <c r="I613" s="25" t="s">
        <v>2710</v>
      </c>
      <c r="J613" s="22"/>
      <c r="K613" s="22" t="s">
        <v>2711</v>
      </c>
      <c r="L613" s="22" t="s">
        <v>2707</v>
      </c>
      <c r="M613" s="22" t="str">
        <f>HYPERLINK("https://ceds.ed.gov/cedselementdetails.aspx?termid=21654")</f>
        <v>https://ceds.ed.gov/cedselementdetails.aspx?termid=21654</v>
      </c>
    </row>
    <row r="614" spans="1:13" x14ac:dyDescent="0.3">
      <c r="A614" s="22" t="s">
        <v>2712</v>
      </c>
      <c r="B614" s="22" t="s">
        <v>2713</v>
      </c>
      <c r="C614" s="23" t="s">
        <v>32</v>
      </c>
      <c r="D614" s="22" t="s">
        <v>2690</v>
      </c>
      <c r="E614" s="22"/>
      <c r="F614" s="22" t="s">
        <v>118</v>
      </c>
      <c r="G614" s="22"/>
      <c r="H614" s="22" t="s">
        <v>143</v>
      </c>
      <c r="I614" s="25" t="s">
        <v>2714</v>
      </c>
      <c r="J614" s="22"/>
      <c r="K614" s="22" t="s">
        <v>2715</v>
      </c>
      <c r="L614" s="22" t="s">
        <v>2707</v>
      </c>
      <c r="M614" s="22" t="str">
        <f>HYPERLINK("https://ceds.ed.gov/cedselementdetails.aspx?termid=21653")</f>
        <v>https://ceds.ed.gov/cedselementdetails.aspx?termid=21653</v>
      </c>
    </row>
    <row r="615" spans="1:13" ht="72" x14ac:dyDescent="0.3">
      <c r="A615" s="22" t="s">
        <v>2716</v>
      </c>
      <c r="B615" s="22" t="s">
        <v>2717</v>
      </c>
      <c r="C615" s="23" t="s">
        <v>32</v>
      </c>
      <c r="D615" s="24" t="s">
        <v>2070</v>
      </c>
      <c r="E615" s="22"/>
      <c r="F615" s="22" t="s">
        <v>132</v>
      </c>
      <c r="G615" s="22"/>
      <c r="H615" s="22" t="s">
        <v>7945</v>
      </c>
      <c r="I615" s="25" t="s">
        <v>2718</v>
      </c>
      <c r="J615" s="22"/>
      <c r="K615" s="22" t="s">
        <v>2719</v>
      </c>
      <c r="L615" s="22"/>
      <c r="M615" s="22" t="str">
        <f>HYPERLINK("https://ceds.ed.gov/cedselementdetails.aspx?termid=21979")</f>
        <v>https://ceds.ed.gov/cedselementdetails.aspx?termid=21979</v>
      </c>
    </row>
    <row r="616" spans="1:13" ht="129.6" x14ac:dyDescent="0.3">
      <c r="A616" s="22" t="s">
        <v>2720</v>
      </c>
      <c r="B616" s="22" t="s">
        <v>2721</v>
      </c>
      <c r="C616" s="26" t="s">
        <v>8762</v>
      </c>
      <c r="D616" s="24" t="s">
        <v>2070</v>
      </c>
      <c r="E616" s="22"/>
      <c r="F616" s="22"/>
      <c r="G616" s="22"/>
      <c r="H616" s="22"/>
      <c r="I616" s="25" t="s">
        <v>2722</v>
      </c>
      <c r="J616" s="22"/>
      <c r="K616" s="22" t="s">
        <v>2723</v>
      </c>
      <c r="L616" s="22"/>
      <c r="M616" s="22" t="str">
        <f>HYPERLINK("https://ceds.ed.gov/cedselementdetails.aspx?termid=22168")</f>
        <v>https://ceds.ed.gov/cedselementdetails.aspx?termid=22168</v>
      </c>
    </row>
    <row r="617" spans="1:13" ht="100.8" x14ac:dyDescent="0.3">
      <c r="A617" s="22" t="s">
        <v>2724</v>
      </c>
      <c r="B617" s="22" t="s">
        <v>2725</v>
      </c>
      <c r="C617" s="23" t="s">
        <v>32</v>
      </c>
      <c r="D617" s="24" t="s">
        <v>2656</v>
      </c>
      <c r="E617" s="22"/>
      <c r="F617" s="22" t="s">
        <v>317</v>
      </c>
      <c r="G617" s="22"/>
      <c r="H617" s="22"/>
      <c r="I617" s="25" t="s">
        <v>2726</v>
      </c>
      <c r="J617" s="22"/>
      <c r="K617" s="22" t="s">
        <v>2727</v>
      </c>
      <c r="L617" s="22"/>
      <c r="M617" s="22" t="str">
        <f>HYPERLINK("https://ceds.ed.gov/cedselementdetails.aspx?termid=22636")</f>
        <v>https://ceds.ed.gov/cedselementdetails.aspx?termid=22636</v>
      </c>
    </row>
    <row r="618" spans="1:13" ht="72" x14ac:dyDescent="0.3">
      <c r="A618" s="22" t="s">
        <v>2728</v>
      </c>
      <c r="B618" s="22" t="s">
        <v>2729</v>
      </c>
      <c r="C618" s="23" t="s">
        <v>32</v>
      </c>
      <c r="D618" s="24" t="s">
        <v>2548</v>
      </c>
      <c r="E618" s="22"/>
      <c r="F618" s="22" t="s">
        <v>85</v>
      </c>
      <c r="G618" s="22"/>
      <c r="H618" s="22"/>
      <c r="I618" s="25" t="s">
        <v>2730</v>
      </c>
      <c r="J618" s="22"/>
      <c r="K618" s="22" t="s">
        <v>2731</v>
      </c>
      <c r="L618" s="22"/>
      <c r="M618" s="22" t="str">
        <f>HYPERLINK("https://ceds.ed.gov/cedselementdetails.aspx?termid=22281")</f>
        <v>https://ceds.ed.gov/cedselementdetails.aspx?termid=22281</v>
      </c>
    </row>
    <row r="619" spans="1:13" ht="72" x14ac:dyDescent="0.3">
      <c r="A619" s="22" t="s">
        <v>2732</v>
      </c>
      <c r="B619" s="22" t="s">
        <v>2733</v>
      </c>
      <c r="C619" s="26" t="s">
        <v>8763</v>
      </c>
      <c r="D619" s="24" t="s">
        <v>2070</v>
      </c>
      <c r="E619" s="22"/>
      <c r="F619" s="22"/>
      <c r="G619" s="22"/>
      <c r="H619" s="22"/>
      <c r="I619" s="25" t="s">
        <v>2734</v>
      </c>
      <c r="J619" s="22"/>
      <c r="K619" s="22" t="s">
        <v>2735</v>
      </c>
      <c r="L619" s="24" t="s">
        <v>2736</v>
      </c>
      <c r="M619" s="22" t="str">
        <f>HYPERLINK("https://ceds.ed.gov/cedselementdetails.aspx?termid=21258")</f>
        <v>https://ceds.ed.gov/cedselementdetails.aspx?termid=21258</v>
      </c>
    </row>
    <row r="620" spans="1:13" ht="72" x14ac:dyDescent="0.3">
      <c r="A620" s="22" t="s">
        <v>2737</v>
      </c>
      <c r="B620" s="22" t="s">
        <v>2738</v>
      </c>
      <c r="C620" s="23" t="s">
        <v>32</v>
      </c>
      <c r="D620" s="24" t="s">
        <v>2070</v>
      </c>
      <c r="E620" s="22"/>
      <c r="F620" s="22" t="s">
        <v>317</v>
      </c>
      <c r="G620" s="22"/>
      <c r="H620" s="22"/>
      <c r="I620" s="25" t="s">
        <v>2739</v>
      </c>
      <c r="J620" s="22"/>
      <c r="K620" s="22" t="s">
        <v>2740</v>
      </c>
      <c r="L620" s="22" t="s">
        <v>2741</v>
      </c>
      <c r="M620" s="22" t="str">
        <f>HYPERLINK("https://ceds.ed.gov/cedselementdetails.aspx?termid=21101")</f>
        <v>https://ceds.ed.gov/cedselementdetails.aspx?termid=21101</v>
      </c>
    </row>
    <row r="621" spans="1:13" ht="100.8" x14ac:dyDescent="0.3">
      <c r="A621" s="22" t="s">
        <v>2742</v>
      </c>
      <c r="B621" s="22" t="s">
        <v>8066</v>
      </c>
      <c r="C621" s="23" t="s">
        <v>32</v>
      </c>
      <c r="D621" s="24" t="s">
        <v>8764</v>
      </c>
      <c r="E621" s="22"/>
      <c r="F621" s="22" t="s">
        <v>2743</v>
      </c>
      <c r="G621" s="22"/>
      <c r="H621" s="22"/>
      <c r="I621" s="25" t="s">
        <v>2744</v>
      </c>
      <c r="J621" s="22"/>
      <c r="K621" s="22" t="s">
        <v>2745</v>
      </c>
      <c r="L621" s="22" t="s">
        <v>58</v>
      </c>
      <c r="M621" s="22" t="str">
        <f>HYPERLINK("https://ceds.ed.gov/cedselementdetails.aspx?termid=21066")</f>
        <v>https://ceds.ed.gov/cedselementdetails.aspx?termid=21066</v>
      </c>
    </row>
    <row r="622" spans="1:13" ht="158.4" x14ac:dyDescent="0.3">
      <c r="A622" s="22" t="s">
        <v>2746</v>
      </c>
      <c r="B622" s="22" t="s">
        <v>2747</v>
      </c>
      <c r="C622" s="23" t="s">
        <v>32</v>
      </c>
      <c r="D622" s="24" t="s">
        <v>2597</v>
      </c>
      <c r="E622" s="22"/>
      <c r="F622" s="22" t="s">
        <v>157</v>
      </c>
      <c r="G622" s="22"/>
      <c r="H622" s="22"/>
      <c r="I622" s="25" t="s">
        <v>2748</v>
      </c>
      <c r="J622" s="22"/>
      <c r="K622" s="22" t="s">
        <v>2749</v>
      </c>
      <c r="L622" s="24" t="s">
        <v>1521</v>
      </c>
      <c r="M622" s="22" t="str">
        <f>HYPERLINK("https://ceds.ed.gov/cedselementdetails.aspx?termid=21067")</f>
        <v>https://ceds.ed.gov/cedselementdetails.aspx?termid=21067</v>
      </c>
    </row>
    <row r="623" spans="1:13" x14ac:dyDescent="0.3">
      <c r="A623" s="22" t="s">
        <v>2750</v>
      </c>
      <c r="B623" s="22" t="s">
        <v>2751</v>
      </c>
      <c r="C623" s="23" t="s">
        <v>32</v>
      </c>
      <c r="D623" s="22" t="s">
        <v>316</v>
      </c>
      <c r="E623" s="22"/>
      <c r="F623" s="22" t="s">
        <v>317</v>
      </c>
      <c r="G623" s="22"/>
      <c r="H623" s="22"/>
      <c r="I623" s="25" t="s">
        <v>2752</v>
      </c>
      <c r="J623" s="22"/>
      <c r="K623" s="22" t="s">
        <v>2753</v>
      </c>
      <c r="L623" s="22"/>
      <c r="M623" s="22" t="str">
        <f>HYPERLINK("https://ceds.ed.gov/cedselementdetails.aspx?termid=22282")</f>
        <v>https://ceds.ed.gov/cedselementdetails.aspx?termid=22282</v>
      </c>
    </row>
    <row r="624" spans="1:13" x14ac:dyDescent="0.3">
      <c r="A624" s="22" t="s">
        <v>2754</v>
      </c>
      <c r="B624" s="22" t="s">
        <v>2755</v>
      </c>
      <c r="C624" s="23" t="s">
        <v>32</v>
      </c>
      <c r="D624" s="22" t="s">
        <v>2756</v>
      </c>
      <c r="E624" s="22"/>
      <c r="F624" s="22" t="s">
        <v>328</v>
      </c>
      <c r="G624" s="22"/>
      <c r="H624" s="22"/>
      <c r="I624" s="25" t="s">
        <v>2757</v>
      </c>
      <c r="J624" s="22"/>
      <c r="K624" s="22" t="s">
        <v>2758</v>
      </c>
      <c r="L624" s="22"/>
      <c r="M624" s="22" t="str">
        <f>HYPERLINK("https://ceds.ed.gov/cedselementdetails.aspx?termid=22715")</f>
        <v>https://ceds.ed.gov/cedselementdetails.aspx?termid=22715</v>
      </c>
    </row>
    <row r="625" spans="1:13" x14ac:dyDescent="0.3">
      <c r="A625" s="22" t="s">
        <v>2759</v>
      </c>
      <c r="B625" s="22" t="s">
        <v>2760</v>
      </c>
      <c r="C625" s="23" t="s">
        <v>32</v>
      </c>
      <c r="D625" s="22" t="s">
        <v>2756</v>
      </c>
      <c r="E625" s="22"/>
      <c r="F625" s="22" t="s">
        <v>50</v>
      </c>
      <c r="G625" s="22"/>
      <c r="H625" s="22"/>
      <c r="I625" s="25" t="s">
        <v>2761</v>
      </c>
      <c r="J625" s="22"/>
      <c r="K625" s="22" t="s">
        <v>2762</v>
      </c>
      <c r="L625" s="22"/>
      <c r="M625" s="22" t="str">
        <f>HYPERLINK("https://ceds.ed.gov/cedselementdetails.aspx?termid=22716")</f>
        <v>https://ceds.ed.gov/cedselementdetails.aspx?termid=22716</v>
      </c>
    </row>
    <row r="626" spans="1:13" x14ac:dyDescent="0.3">
      <c r="A626" s="22" t="s">
        <v>2763</v>
      </c>
      <c r="B626" s="22" t="s">
        <v>2764</v>
      </c>
      <c r="C626" s="23" t="s">
        <v>32</v>
      </c>
      <c r="D626" s="22" t="s">
        <v>2756</v>
      </c>
      <c r="E626" s="22"/>
      <c r="F626" s="22" t="s">
        <v>113</v>
      </c>
      <c r="G626" s="22"/>
      <c r="H626" s="22"/>
      <c r="I626" s="25" t="s">
        <v>2765</v>
      </c>
      <c r="J626" s="22"/>
      <c r="K626" s="22" t="s">
        <v>2766</v>
      </c>
      <c r="L626" s="22"/>
      <c r="M626" s="22" t="str">
        <f>HYPERLINK("https://ceds.ed.gov/cedselementdetails.aspx?termid=22718")</f>
        <v>https://ceds.ed.gov/cedselementdetails.aspx?termid=22718</v>
      </c>
    </row>
    <row r="627" spans="1:13" x14ac:dyDescent="0.3">
      <c r="A627" s="22" t="s">
        <v>2767</v>
      </c>
      <c r="B627" s="22" t="s">
        <v>7457</v>
      </c>
      <c r="C627" s="23" t="s">
        <v>32</v>
      </c>
      <c r="D627" s="22" t="s">
        <v>2756</v>
      </c>
      <c r="E627" s="22"/>
      <c r="F627" s="22" t="s">
        <v>118</v>
      </c>
      <c r="G627" s="22"/>
      <c r="H627" s="22" t="s">
        <v>143</v>
      </c>
      <c r="I627" s="25" t="s">
        <v>2768</v>
      </c>
      <c r="J627" s="22" t="s">
        <v>2769</v>
      </c>
      <c r="K627" s="22" t="s">
        <v>2770</v>
      </c>
      <c r="L627" s="22"/>
      <c r="M627" s="22" t="str">
        <f>HYPERLINK("https://ceds.ed.gov/cedselementdetails.aspx?termid=22121")</f>
        <v>https://ceds.ed.gov/cedselementdetails.aspx?termid=22121</v>
      </c>
    </row>
    <row r="628" spans="1:13" x14ac:dyDescent="0.3">
      <c r="A628" s="22" t="s">
        <v>2771</v>
      </c>
      <c r="B628" s="22" t="s">
        <v>2772</v>
      </c>
      <c r="C628" s="23" t="s">
        <v>32</v>
      </c>
      <c r="D628" s="22" t="s">
        <v>2756</v>
      </c>
      <c r="E628" s="22"/>
      <c r="F628" s="22" t="s">
        <v>50</v>
      </c>
      <c r="G628" s="22"/>
      <c r="H628" s="22"/>
      <c r="I628" s="25" t="s">
        <v>2773</v>
      </c>
      <c r="J628" s="22"/>
      <c r="K628" s="22" t="s">
        <v>2774</v>
      </c>
      <c r="L628" s="22"/>
      <c r="M628" s="22" t="str">
        <f>HYPERLINK("https://ceds.ed.gov/cedselementdetails.aspx?termid=22650")</f>
        <v>https://ceds.ed.gov/cedselementdetails.aspx?termid=22650</v>
      </c>
    </row>
    <row r="629" spans="1:13" x14ac:dyDescent="0.3">
      <c r="A629" s="22" t="s">
        <v>2775</v>
      </c>
      <c r="B629" s="22" t="s">
        <v>7458</v>
      </c>
      <c r="C629" s="23" t="s">
        <v>32</v>
      </c>
      <c r="D629" s="22" t="s">
        <v>2756</v>
      </c>
      <c r="E629" s="22"/>
      <c r="F629" s="22" t="s">
        <v>2776</v>
      </c>
      <c r="G629" s="22"/>
      <c r="H629" s="22"/>
      <c r="I629" s="25" t="s">
        <v>2777</v>
      </c>
      <c r="J629" s="22"/>
      <c r="K629" s="22" t="s">
        <v>2778</v>
      </c>
      <c r="L629" s="22"/>
      <c r="M629" s="22" t="str">
        <f>HYPERLINK("https://ceds.ed.gov/cedselementdetails.aspx?termid=21898")</f>
        <v>https://ceds.ed.gov/cedselementdetails.aspx?termid=21898</v>
      </c>
    </row>
    <row r="630" spans="1:13" x14ac:dyDescent="0.3">
      <c r="A630" s="22" t="s">
        <v>2779</v>
      </c>
      <c r="B630" s="22" t="s">
        <v>7459</v>
      </c>
      <c r="C630" s="23" t="s">
        <v>32</v>
      </c>
      <c r="D630" s="22" t="s">
        <v>2756</v>
      </c>
      <c r="E630" s="22"/>
      <c r="F630" s="22" t="s">
        <v>50</v>
      </c>
      <c r="G630" s="22"/>
      <c r="H630" s="22" t="s">
        <v>2780</v>
      </c>
      <c r="I630" s="25" t="s">
        <v>2781</v>
      </c>
      <c r="J630" s="22"/>
      <c r="K630" s="22" t="s">
        <v>2782</v>
      </c>
      <c r="L630" s="22"/>
      <c r="M630" s="22" t="str">
        <f>HYPERLINK("https://ceds.ed.gov/cedselementdetails.aspx?termid=21900")</f>
        <v>https://ceds.ed.gov/cedselementdetails.aspx?termid=21900</v>
      </c>
    </row>
    <row r="631" spans="1:13" x14ac:dyDescent="0.3">
      <c r="A631" s="22" t="s">
        <v>2783</v>
      </c>
      <c r="B631" s="22" t="s">
        <v>7460</v>
      </c>
      <c r="C631" s="23" t="s">
        <v>32</v>
      </c>
      <c r="D631" s="22" t="s">
        <v>2756</v>
      </c>
      <c r="E631" s="22"/>
      <c r="F631" s="22" t="s">
        <v>118</v>
      </c>
      <c r="G631" s="22"/>
      <c r="H631" s="22" t="s">
        <v>2784</v>
      </c>
      <c r="I631" s="25" t="s">
        <v>2785</v>
      </c>
      <c r="J631" s="22" t="s">
        <v>2786</v>
      </c>
      <c r="K631" s="22" t="s">
        <v>2787</v>
      </c>
      <c r="L631" s="22"/>
      <c r="M631" s="22" t="str">
        <f>HYPERLINK("https://ceds.ed.gov/cedselementdetails.aspx?termid=22120")</f>
        <v>https://ceds.ed.gov/cedselementdetails.aspx?termid=22120</v>
      </c>
    </row>
    <row r="632" spans="1:13" x14ac:dyDescent="0.3">
      <c r="A632" s="22" t="s">
        <v>2788</v>
      </c>
      <c r="B632" s="22" t="s">
        <v>2789</v>
      </c>
      <c r="C632" s="23" t="s">
        <v>32</v>
      </c>
      <c r="D632" s="22" t="s">
        <v>2756</v>
      </c>
      <c r="E632" s="22"/>
      <c r="F632" s="22" t="s">
        <v>118</v>
      </c>
      <c r="G632" s="22"/>
      <c r="H632" s="22"/>
      <c r="I632" s="25" t="s">
        <v>2790</v>
      </c>
      <c r="J632" s="22"/>
      <c r="K632" s="22" t="s">
        <v>2791</v>
      </c>
      <c r="L632" s="22"/>
      <c r="M632" s="22" t="str">
        <f>HYPERLINK("https://ceds.ed.gov/cedselementdetails.aspx?termid=22645")</f>
        <v>https://ceds.ed.gov/cedselementdetails.aspx?termid=22645</v>
      </c>
    </row>
    <row r="633" spans="1:13" ht="129.6" x14ac:dyDescent="0.3">
      <c r="A633" s="22" t="s">
        <v>2792</v>
      </c>
      <c r="B633" s="22" t="s">
        <v>2793</v>
      </c>
      <c r="C633" s="26" t="s">
        <v>8765</v>
      </c>
      <c r="D633" s="22" t="s">
        <v>2794</v>
      </c>
      <c r="E633" s="22"/>
      <c r="F633" s="22"/>
      <c r="G633" s="22"/>
      <c r="H633" s="22" t="s">
        <v>8067</v>
      </c>
      <c r="I633" s="25" t="s">
        <v>2795</v>
      </c>
      <c r="J633" s="22"/>
      <c r="K633" s="22" t="s">
        <v>2796</v>
      </c>
      <c r="L633" s="22"/>
      <c r="M633" s="22" t="str">
        <f>HYPERLINK("https://ceds.ed.gov/cedselementdetails.aspx?termid=22895")</f>
        <v>https://ceds.ed.gov/cedselementdetails.aspx?termid=22895</v>
      </c>
    </row>
    <row r="634" spans="1:13" x14ac:dyDescent="0.3">
      <c r="A634" s="22" t="s">
        <v>2797</v>
      </c>
      <c r="B634" s="22" t="s">
        <v>2798</v>
      </c>
      <c r="C634" s="23" t="s">
        <v>32</v>
      </c>
      <c r="D634" s="22" t="s">
        <v>2799</v>
      </c>
      <c r="E634" s="22"/>
      <c r="F634" s="22" t="s">
        <v>113</v>
      </c>
      <c r="G634" s="22"/>
      <c r="H634" s="22"/>
      <c r="I634" s="25" t="s">
        <v>2800</v>
      </c>
      <c r="J634" s="22" t="s">
        <v>2801</v>
      </c>
      <c r="K634" s="22" t="s">
        <v>2802</v>
      </c>
      <c r="L634" s="22"/>
      <c r="M634" s="22" t="str">
        <f>HYPERLINK("https://ceds.ed.gov/cedselementdetails.aspx?termid=22717")</f>
        <v>https://ceds.ed.gov/cedselementdetails.aspx?termid=22717</v>
      </c>
    </row>
    <row r="635" spans="1:13" ht="57.6" x14ac:dyDescent="0.3">
      <c r="A635" s="22" t="s">
        <v>2803</v>
      </c>
      <c r="B635" s="22" t="s">
        <v>2804</v>
      </c>
      <c r="C635" s="26" t="s">
        <v>8766</v>
      </c>
      <c r="D635" s="22" t="s">
        <v>2799</v>
      </c>
      <c r="E635" s="22"/>
      <c r="F635" s="22"/>
      <c r="G635" s="22"/>
      <c r="H635" s="22"/>
      <c r="I635" s="25" t="s">
        <v>2805</v>
      </c>
      <c r="J635" s="22" t="s">
        <v>2806</v>
      </c>
      <c r="K635" s="22" t="s">
        <v>2807</v>
      </c>
      <c r="L635" s="22"/>
      <c r="M635" s="22" t="str">
        <f>HYPERLINK("https://ceds.ed.gov/cedselementdetails.aspx?termid=22719")</f>
        <v>https://ceds.ed.gov/cedselementdetails.aspx?termid=22719</v>
      </c>
    </row>
    <row r="636" spans="1:13" x14ac:dyDescent="0.3">
      <c r="A636" s="22" t="s">
        <v>2808</v>
      </c>
      <c r="B636" s="22" t="s">
        <v>7461</v>
      </c>
      <c r="C636" s="23" t="s">
        <v>32</v>
      </c>
      <c r="D636" s="22" t="s">
        <v>2799</v>
      </c>
      <c r="E636" s="22"/>
      <c r="F636" s="22" t="s">
        <v>85</v>
      </c>
      <c r="G636" s="22"/>
      <c r="H636" s="22" t="s">
        <v>2809</v>
      </c>
      <c r="I636" s="25" t="s">
        <v>2810</v>
      </c>
      <c r="J636" s="22" t="s">
        <v>2811</v>
      </c>
      <c r="K636" s="22" t="s">
        <v>2812</v>
      </c>
      <c r="L636" s="22"/>
      <c r="M636" s="22" t="str">
        <f>HYPERLINK("https://ceds.ed.gov/cedselementdetails.aspx?termid=22211")</f>
        <v>https://ceds.ed.gov/cedselementdetails.aspx?termid=22211</v>
      </c>
    </row>
    <row r="637" spans="1:13" x14ac:dyDescent="0.3">
      <c r="A637" s="22" t="s">
        <v>2813</v>
      </c>
      <c r="B637" s="22" t="s">
        <v>7462</v>
      </c>
      <c r="C637" s="23" t="s">
        <v>32</v>
      </c>
      <c r="D637" s="22" t="s">
        <v>2799</v>
      </c>
      <c r="E637" s="22"/>
      <c r="F637" s="22" t="s">
        <v>157</v>
      </c>
      <c r="G637" s="22"/>
      <c r="H637" s="22" t="s">
        <v>8068</v>
      </c>
      <c r="I637" s="25" t="s">
        <v>2814</v>
      </c>
      <c r="J637" s="22" t="s">
        <v>2815</v>
      </c>
      <c r="K637" s="22" t="s">
        <v>2816</v>
      </c>
      <c r="L637" s="22"/>
      <c r="M637" s="22" t="str">
        <f>HYPERLINK("https://ceds.ed.gov/cedselementdetails.aspx?termid=21892")</f>
        <v>https://ceds.ed.gov/cedselementdetails.aspx?termid=21892</v>
      </c>
    </row>
    <row r="638" spans="1:13" x14ac:dyDescent="0.3">
      <c r="A638" s="22" t="s">
        <v>2817</v>
      </c>
      <c r="B638" s="22" t="s">
        <v>7463</v>
      </c>
      <c r="C638" s="23" t="s">
        <v>32</v>
      </c>
      <c r="D638" s="22" t="s">
        <v>2799</v>
      </c>
      <c r="E638" s="22"/>
      <c r="F638" s="22" t="s">
        <v>113</v>
      </c>
      <c r="G638" s="22"/>
      <c r="H638" s="22"/>
      <c r="I638" s="25" t="s">
        <v>2818</v>
      </c>
      <c r="J638" s="22" t="s">
        <v>2819</v>
      </c>
      <c r="K638" s="22" t="s">
        <v>2820</v>
      </c>
      <c r="L638" s="22"/>
      <c r="M638" s="22" t="str">
        <f>HYPERLINK("https://ceds.ed.gov/cedselementdetails.aspx?termid=21896")</f>
        <v>https://ceds.ed.gov/cedselementdetails.aspx?termid=21896</v>
      </c>
    </row>
    <row r="639" spans="1:13" x14ac:dyDescent="0.3">
      <c r="A639" s="22" t="s">
        <v>2821</v>
      </c>
      <c r="B639" s="22" t="s">
        <v>7464</v>
      </c>
      <c r="C639" s="23" t="s">
        <v>32</v>
      </c>
      <c r="D639" s="22" t="s">
        <v>2799</v>
      </c>
      <c r="E639" s="22"/>
      <c r="F639" s="22" t="s">
        <v>50</v>
      </c>
      <c r="G639" s="22"/>
      <c r="H639" s="22"/>
      <c r="I639" s="25" t="s">
        <v>2822</v>
      </c>
      <c r="J639" s="22" t="s">
        <v>2823</v>
      </c>
      <c r="K639" s="22" t="s">
        <v>2824</v>
      </c>
      <c r="L639" s="22"/>
      <c r="M639" s="22" t="str">
        <f>HYPERLINK("https://ceds.ed.gov/cedselementdetails.aspx?termid=22113")</f>
        <v>https://ceds.ed.gov/cedselementdetails.aspx?termid=22113</v>
      </c>
    </row>
    <row r="640" spans="1:13" x14ac:dyDescent="0.3">
      <c r="A640" s="22" t="s">
        <v>2825</v>
      </c>
      <c r="B640" s="22" t="s">
        <v>2826</v>
      </c>
      <c r="C640" s="23" t="s">
        <v>32</v>
      </c>
      <c r="D640" s="22" t="s">
        <v>2799</v>
      </c>
      <c r="E640" s="22"/>
      <c r="F640" s="22" t="s">
        <v>118</v>
      </c>
      <c r="G640" s="22"/>
      <c r="H640" s="22" t="s">
        <v>2827</v>
      </c>
      <c r="I640" s="25" t="s">
        <v>2828</v>
      </c>
      <c r="J640" s="22"/>
      <c r="K640" s="22" t="s">
        <v>2829</v>
      </c>
      <c r="L640" s="22"/>
      <c r="M640" s="22" t="str">
        <f>HYPERLINK("https://ceds.ed.gov/cedselementdetails.aspx?termid=22891")</f>
        <v>https://ceds.ed.gov/cedselementdetails.aspx?termid=22891</v>
      </c>
    </row>
    <row r="641" spans="1:13" x14ac:dyDescent="0.3">
      <c r="A641" s="22" t="s">
        <v>2830</v>
      </c>
      <c r="B641" s="22" t="s">
        <v>7465</v>
      </c>
      <c r="C641" s="23" t="s">
        <v>32</v>
      </c>
      <c r="D641" s="22" t="s">
        <v>2799</v>
      </c>
      <c r="E641" s="22"/>
      <c r="F641" s="22" t="s">
        <v>113</v>
      </c>
      <c r="G641" s="22"/>
      <c r="H641" s="22"/>
      <c r="I641" s="25" t="s">
        <v>2831</v>
      </c>
      <c r="J641" s="22" t="s">
        <v>2832</v>
      </c>
      <c r="K641" s="22" t="s">
        <v>2833</v>
      </c>
      <c r="L641" s="22"/>
      <c r="M641" s="22" t="str">
        <f>HYPERLINK("https://ceds.ed.gov/cedselementdetails.aspx?termid=21895")</f>
        <v>https://ceds.ed.gov/cedselementdetails.aspx?termid=21895</v>
      </c>
    </row>
    <row r="642" spans="1:13" x14ac:dyDescent="0.3">
      <c r="A642" s="22" t="s">
        <v>2834</v>
      </c>
      <c r="B642" s="22" t="s">
        <v>2835</v>
      </c>
      <c r="C642" s="23" t="s">
        <v>32</v>
      </c>
      <c r="D642" s="22" t="s">
        <v>2799</v>
      </c>
      <c r="E642" s="22"/>
      <c r="F642" s="22" t="s">
        <v>2836</v>
      </c>
      <c r="G642" s="22"/>
      <c r="H642" s="22"/>
      <c r="I642" s="25" t="s">
        <v>2837</v>
      </c>
      <c r="J642" s="22" t="s">
        <v>2838</v>
      </c>
      <c r="K642" s="22" t="s">
        <v>2839</v>
      </c>
      <c r="L642" s="22"/>
      <c r="M642" s="22" t="str">
        <f>HYPERLINK("https://ceds.ed.gov/cedselementdetails.aspx?termid=22722")</f>
        <v>https://ceds.ed.gov/cedselementdetails.aspx?termid=22722</v>
      </c>
    </row>
    <row r="643" spans="1:13" ht="43.2" x14ac:dyDescent="0.3">
      <c r="A643" s="22" t="s">
        <v>2840</v>
      </c>
      <c r="B643" s="22" t="s">
        <v>7466</v>
      </c>
      <c r="C643" s="23" t="s">
        <v>32</v>
      </c>
      <c r="D643" s="24" t="s">
        <v>2841</v>
      </c>
      <c r="E643" s="22"/>
      <c r="F643" s="22" t="s">
        <v>50</v>
      </c>
      <c r="G643" s="22"/>
      <c r="H643" s="22" t="s">
        <v>8069</v>
      </c>
      <c r="I643" s="25" t="s">
        <v>2842</v>
      </c>
      <c r="J643" s="22" t="s">
        <v>2843</v>
      </c>
      <c r="K643" s="22" t="s">
        <v>2844</v>
      </c>
      <c r="L643" s="22"/>
      <c r="M643" s="22" t="str">
        <f>HYPERLINK("https://ceds.ed.gov/cedselementdetails.aspx?termid=22639")</f>
        <v>https://ceds.ed.gov/cedselementdetails.aspx?termid=22639</v>
      </c>
    </row>
    <row r="644" spans="1:13" ht="129.6" x14ac:dyDescent="0.3">
      <c r="A644" s="22" t="s">
        <v>2845</v>
      </c>
      <c r="B644" s="22" t="s">
        <v>7467</v>
      </c>
      <c r="C644" s="26" t="s">
        <v>8767</v>
      </c>
      <c r="D644" s="24" t="s">
        <v>2841</v>
      </c>
      <c r="E644" s="22"/>
      <c r="F644" s="22"/>
      <c r="G644" s="22"/>
      <c r="H644" s="22"/>
      <c r="I644" s="25" t="s">
        <v>2846</v>
      </c>
      <c r="J644" s="22" t="s">
        <v>2847</v>
      </c>
      <c r="K644" s="22" t="s">
        <v>2848</v>
      </c>
      <c r="L644" s="22"/>
      <c r="M644" s="22" t="str">
        <f>HYPERLINK("https://ceds.ed.gov/cedselementdetails.aspx?termid=22720")</f>
        <v>https://ceds.ed.gov/cedselementdetails.aspx?termid=22720</v>
      </c>
    </row>
    <row r="645" spans="1:13" ht="86.4" x14ac:dyDescent="0.3">
      <c r="A645" s="22" t="s">
        <v>2849</v>
      </c>
      <c r="B645" s="22" t="s">
        <v>2850</v>
      </c>
      <c r="C645" s="26" t="s">
        <v>8768</v>
      </c>
      <c r="D645" s="22" t="s">
        <v>2799</v>
      </c>
      <c r="E645" s="22"/>
      <c r="F645" s="22"/>
      <c r="G645" s="22"/>
      <c r="H645" s="22"/>
      <c r="I645" s="25" t="s">
        <v>2851</v>
      </c>
      <c r="J645" s="22" t="s">
        <v>2852</v>
      </c>
      <c r="K645" s="22" t="s">
        <v>2853</v>
      </c>
      <c r="L645" s="22"/>
      <c r="M645" s="22" t="str">
        <f>HYPERLINK("https://ceds.ed.gov/cedselementdetails.aspx?termid=22730")</f>
        <v>https://ceds.ed.gov/cedselementdetails.aspx?termid=22730</v>
      </c>
    </row>
    <row r="646" spans="1:13" x14ac:dyDescent="0.3">
      <c r="A646" s="22" t="s">
        <v>2854</v>
      </c>
      <c r="B646" s="22" t="s">
        <v>2855</v>
      </c>
      <c r="C646" s="23" t="s">
        <v>32</v>
      </c>
      <c r="D646" s="22" t="s">
        <v>2799</v>
      </c>
      <c r="E646" s="22"/>
      <c r="F646" s="22" t="s">
        <v>2856</v>
      </c>
      <c r="G646" s="22"/>
      <c r="H646" s="22" t="s">
        <v>8070</v>
      </c>
      <c r="I646" s="25" t="s">
        <v>2857</v>
      </c>
      <c r="J646" s="22" t="s">
        <v>2858</v>
      </c>
      <c r="K646" s="22" t="s">
        <v>2859</v>
      </c>
      <c r="L646" s="22"/>
      <c r="M646" s="22" t="str">
        <f>HYPERLINK("https://ceds.ed.gov/cedselementdetails.aspx?termid=22724")</f>
        <v>https://ceds.ed.gov/cedselementdetails.aspx?termid=22724</v>
      </c>
    </row>
    <row r="647" spans="1:13" x14ac:dyDescent="0.3">
      <c r="A647" s="22" t="s">
        <v>2860</v>
      </c>
      <c r="B647" s="22" t="s">
        <v>2861</v>
      </c>
      <c r="C647" s="23" t="s">
        <v>32</v>
      </c>
      <c r="D647" s="22" t="s">
        <v>2799</v>
      </c>
      <c r="E647" s="22"/>
      <c r="F647" s="22" t="s">
        <v>2856</v>
      </c>
      <c r="G647" s="22"/>
      <c r="H647" s="22" t="s">
        <v>8070</v>
      </c>
      <c r="I647" s="25" t="s">
        <v>2862</v>
      </c>
      <c r="J647" s="22" t="s">
        <v>2863</v>
      </c>
      <c r="K647" s="22" t="s">
        <v>2864</v>
      </c>
      <c r="L647" s="22"/>
      <c r="M647" s="22" t="str">
        <f>HYPERLINK("https://ceds.ed.gov/cedselementdetails.aspx?termid=22725")</f>
        <v>https://ceds.ed.gov/cedselementdetails.aspx?termid=22725</v>
      </c>
    </row>
    <row r="648" spans="1:13" x14ac:dyDescent="0.3">
      <c r="A648" s="22" t="s">
        <v>2865</v>
      </c>
      <c r="B648" s="22" t="s">
        <v>2866</v>
      </c>
      <c r="C648" s="23" t="s">
        <v>32</v>
      </c>
      <c r="D648" s="22" t="s">
        <v>2799</v>
      </c>
      <c r="E648" s="22"/>
      <c r="F648" s="22" t="s">
        <v>328</v>
      </c>
      <c r="G648" s="22"/>
      <c r="H648" s="22"/>
      <c r="I648" s="25" t="s">
        <v>2867</v>
      </c>
      <c r="J648" s="22" t="s">
        <v>2868</v>
      </c>
      <c r="K648" s="22" t="s">
        <v>2869</v>
      </c>
      <c r="L648" s="22"/>
      <c r="M648" s="22" t="str">
        <f>HYPERLINK("https://ceds.ed.gov/cedselementdetails.aspx?termid=22726")</f>
        <v>https://ceds.ed.gov/cedselementdetails.aspx?termid=22726</v>
      </c>
    </row>
    <row r="649" spans="1:13" x14ac:dyDescent="0.3">
      <c r="A649" s="22" t="s">
        <v>2870</v>
      </c>
      <c r="B649" s="22" t="s">
        <v>2871</v>
      </c>
      <c r="C649" s="23" t="s">
        <v>32</v>
      </c>
      <c r="D649" s="22" t="s">
        <v>2799</v>
      </c>
      <c r="E649" s="22"/>
      <c r="F649" s="22" t="s">
        <v>2836</v>
      </c>
      <c r="G649" s="22"/>
      <c r="H649" s="22"/>
      <c r="I649" s="25" t="s">
        <v>2872</v>
      </c>
      <c r="J649" s="22" t="s">
        <v>2873</v>
      </c>
      <c r="K649" s="22" t="s">
        <v>2874</v>
      </c>
      <c r="L649" s="22"/>
      <c r="M649" s="22" t="str">
        <f>HYPERLINK("https://ceds.ed.gov/cedselementdetails.aspx?termid=22727")</f>
        <v>https://ceds.ed.gov/cedselementdetails.aspx?termid=22727</v>
      </c>
    </row>
    <row r="650" spans="1:13" x14ac:dyDescent="0.3">
      <c r="A650" s="22" t="s">
        <v>2875</v>
      </c>
      <c r="B650" s="22" t="s">
        <v>2876</v>
      </c>
      <c r="C650" s="23" t="s">
        <v>32</v>
      </c>
      <c r="D650" s="22" t="s">
        <v>2799</v>
      </c>
      <c r="E650" s="22"/>
      <c r="F650" s="22" t="s">
        <v>1699</v>
      </c>
      <c r="G650" s="22"/>
      <c r="H650" s="22"/>
      <c r="I650" s="25" t="s">
        <v>2877</v>
      </c>
      <c r="J650" s="22" t="s">
        <v>2878</v>
      </c>
      <c r="K650" s="22" t="s">
        <v>2879</v>
      </c>
      <c r="L650" s="22"/>
      <c r="M650" s="22" t="str">
        <f>HYPERLINK("https://ceds.ed.gov/cedselementdetails.aspx?termid=22728")</f>
        <v>https://ceds.ed.gov/cedselementdetails.aspx?termid=22728</v>
      </c>
    </row>
    <row r="651" spans="1:13" x14ac:dyDescent="0.3">
      <c r="A651" s="22" t="s">
        <v>2880</v>
      </c>
      <c r="B651" s="22" t="s">
        <v>2881</v>
      </c>
      <c r="C651" s="23" t="s">
        <v>32</v>
      </c>
      <c r="D651" s="22" t="s">
        <v>2799</v>
      </c>
      <c r="E651" s="22"/>
      <c r="F651" s="22" t="s">
        <v>2836</v>
      </c>
      <c r="G651" s="22"/>
      <c r="H651" s="22"/>
      <c r="I651" s="25" t="s">
        <v>2882</v>
      </c>
      <c r="J651" s="22" t="s">
        <v>2883</v>
      </c>
      <c r="K651" s="22" t="s">
        <v>2884</v>
      </c>
      <c r="L651" s="22"/>
      <c r="M651" s="22" t="str">
        <f>HYPERLINK("https://ceds.ed.gov/cedselementdetails.aspx?termid=22729")</f>
        <v>https://ceds.ed.gov/cedselementdetails.aspx?termid=22729</v>
      </c>
    </row>
    <row r="652" spans="1:13" x14ac:dyDescent="0.3">
      <c r="A652" s="22" t="s">
        <v>2885</v>
      </c>
      <c r="B652" s="22" t="s">
        <v>2886</v>
      </c>
      <c r="C652" s="23" t="s">
        <v>2887</v>
      </c>
      <c r="D652" s="22" t="s">
        <v>2799</v>
      </c>
      <c r="E652" s="22"/>
      <c r="F652" s="22" t="s">
        <v>2888</v>
      </c>
      <c r="G652" s="22"/>
      <c r="H652" s="22"/>
      <c r="I652" s="25" t="s">
        <v>2889</v>
      </c>
      <c r="J652" s="22" t="s">
        <v>2890</v>
      </c>
      <c r="K652" s="22" t="s">
        <v>2891</v>
      </c>
      <c r="L652" s="22"/>
      <c r="M652" s="22" t="str">
        <f>HYPERLINK("https://ceds.ed.gov/cedselementdetails.aspx?termid=22723")</f>
        <v>https://ceds.ed.gov/cedselementdetails.aspx?termid=22723</v>
      </c>
    </row>
    <row r="653" spans="1:13" ht="72" x14ac:dyDescent="0.3">
      <c r="A653" s="22" t="s">
        <v>2892</v>
      </c>
      <c r="B653" s="22" t="s">
        <v>2893</v>
      </c>
      <c r="C653" s="26" t="s">
        <v>8769</v>
      </c>
      <c r="D653" s="22" t="s">
        <v>2799</v>
      </c>
      <c r="E653" s="22"/>
      <c r="F653" s="22"/>
      <c r="G653" s="22"/>
      <c r="H653" s="22"/>
      <c r="I653" s="25" t="s">
        <v>2894</v>
      </c>
      <c r="J653" s="22" t="s">
        <v>2895</v>
      </c>
      <c r="K653" s="22" t="s">
        <v>2896</v>
      </c>
      <c r="L653" s="22"/>
      <c r="M653" s="22" t="str">
        <f>HYPERLINK("https://ceds.ed.gov/cedselementdetails.aspx?termid=22721")</f>
        <v>https://ceds.ed.gov/cedselementdetails.aspx?termid=22721</v>
      </c>
    </row>
    <row r="654" spans="1:13" ht="57.6" x14ac:dyDescent="0.3">
      <c r="A654" s="22" t="s">
        <v>7468</v>
      </c>
      <c r="B654" s="22" t="s">
        <v>7469</v>
      </c>
      <c r="C654" s="26" t="s">
        <v>3039</v>
      </c>
      <c r="D654" s="22" t="s">
        <v>2799</v>
      </c>
      <c r="E654" s="22"/>
      <c r="F654" s="22"/>
      <c r="G654" s="22"/>
      <c r="H654" s="22"/>
      <c r="I654" s="25" t="s">
        <v>7470</v>
      </c>
      <c r="J654" s="22"/>
      <c r="K654" s="22" t="s">
        <v>7471</v>
      </c>
      <c r="L654" s="22"/>
      <c r="M654" s="22" t="str">
        <f>HYPERLINK("https://ceds.ed.gov/cedselementdetails.aspx?termid=22919")</f>
        <v>https://ceds.ed.gov/cedselementdetails.aspx?termid=22919</v>
      </c>
    </row>
    <row r="655" spans="1:13" x14ac:dyDescent="0.3">
      <c r="A655" s="22" t="s">
        <v>2897</v>
      </c>
      <c r="B655" s="22" t="s">
        <v>7472</v>
      </c>
      <c r="C655" s="23" t="s">
        <v>32</v>
      </c>
      <c r="D655" s="22" t="s">
        <v>2799</v>
      </c>
      <c r="E655" s="22"/>
      <c r="F655" s="22" t="s">
        <v>113</v>
      </c>
      <c r="G655" s="22"/>
      <c r="H655" s="22"/>
      <c r="I655" s="25" t="s">
        <v>2898</v>
      </c>
      <c r="J655" s="22" t="s">
        <v>2899</v>
      </c>
      <c r="K655" s="22" t="s">
        <v>2900</v>
      </c>
      <c r="L655" s="22"/>
      <c r="M655" s="22" t="str">
        <f>HYPERLINK("https://ceds.ed.gov/cedselementdetails.aspx?termid=21893")</f>
        <v>https://ceds.ed.gov/cedselementdetails.aspx?termid=21893</v>
      </c>
    </row>
    <row r="656" spans="1:13" x14ac:dyDescent="0.3">
      <c r="A656" s="22" t="s">
        <v>2901</v>
      </c>
      <c r="B656" s="22" t="s">
        <v>2902</v>
      </c>
      <c r="C656" s="23" t="s">
        <v>32</v>
      </c>
      <c r="D656" s="22" t="s">
        <v>2799</v>
      </c>
      <c r="E656" s="22"/>
      <c r="F656" s="22" t="s">
        <v>328</v>
      </c>
      <c r="G656" s="22"/>
      <c r="H656" s="22"/>
      <c r="I656" s="25" t="s">
        <v>2903</v>
      </c>
      <c r="J656" s="22" t="s">
        <v>2904</v>
      </c>
      <c r="K656" s="22" t="s">
        <v>2905</v>
      </c>
      <c r="L656" s="22"/>
      <c r="M656" s="22" t="str">
        <f>HYPERLINK("https://ceds.ed.gov/cedselementdetails.aspx?termid=22733")</f>
        <v>https://ceds.ed.gov/cedselementdetails.aspx?termid=22733</v>
      </c>
    </row>
    <row r="657" spans="1:13" ht="57.6" x14ac:dyDescent="0.3">
      <c r="A657" s="22" t="s">
        <v>2906</v>
      </c>
      <c r="B657" s="22" t="s">
        <v>2907</v>
      </c>
      <c r="C657" s="26" t="s">
        <v>8770</v>
      </c>
      <c r="D657" s="22" t="s">
        <v>2799</v>
      </c>
      <c r="E657" s="22"/>
      <c r="F657" s="22"/>
      <c r="G657" s="22"/>
      <c r="H657" s="22"/>
      <c r="I657" s="25" t="s">
        <v>2908</v>
      </c>
      <c r="J657" s="22" t="s">
        <v>2909</v>
      </c>
      <c r="K657" s="22" t="s">
        <v>2910</v>
      </c>
      <c r="L657" s="22"/>
      <c r="M657" s="22" t="str">
        <f>HYPERLINK("https://ceds.ed.gov/cedselementdetails.aspx?termid=22734")</f>
        <v>https://ceds.ed.gov/cedselementdetails.aspx?termid=22734</v>
      </c>
    </row>
    <row r="658" spans="1:13" x14ac:dyDescent="0.3">
      <c r="A658" s="22" t="s">
        <v>2911</v>
      </c>
      <c r="B658" s="22" t="s">
        <v>2912</v>
      </c>
      <c r="C658" s="23" t="s">
        <v>32</v>
      </c>
      <c r="D658" s="22" t="s">
        <v>2799</v>
      </c>
      <c r="E658" s="22"/>
      <c r="F658" s="22" t="s">
        <v>148</v>
      </c>
      <c r="G658" s="22"/>
      <c r="H658" s="22"/>
      <c r="I658" s="25" t="s">
        <v>2913</v>
      </c>
      <c r="J658" s="22" t="s">
        <v>2914</v>
      </c>
      <c r="K658" s="22" t="s">
        <v>2915</v>
      </c>
      <c r="L658" s="22"/>
      <c r="M658" s="22" t="str">
        <f>HYPERLINK("https://ceds.ed.gov/cedselementdetails.aspx?termid=22735")</f>
        <v>https://ceds.ed.gov/cedselementdetails.aspx?termid=22735</v>
      </c>
    </row>
    <row r="659" spans="1:13" x14ac:dyDescent="0.3">
      <c r="A659" s="22" t="s">
        <v>2916</v>
      </c>
      <c r="B659" s="22" t="s">
        <v>7473</v>
      </c>
      <c r="C659" s="23" t="s">
        <v>32</v>
      </c>
      <c r="D659" s="22" t="s">
        <v>2756</v>
      </c>
      <c r="E659" s="22"/>
      <c r="F659" s="22" t="s">
        <v>113</v>
      </c>
      <c r="G659" s="22"/>
      <c r="H659" s="22" t="s">
        <v>2917</v>
      </c>
      <c r="I659" s="25" t="s">
        <v>2918</v>
      </c>
      <c r="J659" s="22"/>
      <c r="K659" s="22" t="s">
        <v>2919</v>
      </c>
      <c r="L659" s="22"/>
      <c r="M659" s="22" t="str">
        <f>HYPERLINK("https://ceds.ed.gov/cedselementdetails.aspx?termid=21901")</f>
        <v>https://ceds.ed.gov/cedselementdetails.aspx?termid=21901</v>
      </c>
    </row>
    <row r="660" spans="1:13" ht="129.6" x14ac:dyDescent="0.3">
      <c r="A660" s="22" t="s">
        <v>2920</v>
      </c>
      <c r="B660" s="22" t="s">
        <v>2921</v>
      </c>
      <c r="C660" s="23" t="s">
        <v>32</v>
      </c>
      <c r="D660" s="24" t="s">
        <v>8771</v>
      </c>
      <c r="E660" s="22"/>
      <c r="F660" s="22" t="s">
        <v>118</v>
      </c>
      <c r="G660" s="22"/>
      <c r="H660" s="22"/>
      <c r="I660" s="25" t="s">
        <v>2922</v>
      </c>
      <c r="J660" s="22"/>
      <c r="K660" s="22" t="s">
        <v>2923</v>
      </c>
      <c r="L660" s="22" t="s">
        <v>207</v>
      </c>
      <c r="M660" s="22" t="str">
        <f>HYPERLINK("https://ceds.ed.gov/cedselementdetails.aspx?termid=21069")</f>
        <v>https://ceds.ed.gov/cedselementdetails.aspx?termid=21069</v>
      </c>
    </row>
    <row r="661" spans="1:13" x14ac:dyDescent="0.3">
      <c r="A661" s="22" t="s">
        <v>2924</v>
      </c>
      <c r="B661" s="22" t="s">
        <v>7474</v>
      </c>
      <c r="C661" s="23" t="s">
        <v>32</v>
      </c>
      <c r="D661" s="22" t="s">
        <v>2799</v>
      </c>
      <c r="E661" s="22"/>
      <c r="F661" s="22" t="s">
        <v>50</v>
      </c>
      <c r="G661" s="22"/>
      <c r="H661" s="22" t="s">
        <v>2925</v>
      </c>
      <c r="I661" s="25" t="s">
        <v>2926</v>
      </c>
      <c r="J661" s="22"/>
      <c r="K661" s="22" t="s">
        <v>2927</v>
      </c>
      <c r="L661" s="22"/>
      <c r="M661" s="22" t="str">
        <f>HYPERLINK("https://ceds.ed.gov/cedselementdetails.aspx?termid=21894")</f>
        <v>https://ceds.ed.gov/cedselementdetails.aspx?termid=21894</v>
      </c>
    </row>
    <row r="662" spans="1:13" ht="43.2" x14ac:dyDescent="0.3">
      <c r="A662" s="22" t="s">
        <v>2928</v>
      </c>
      <c r="B662" s="22" t="s">
        <v>2929</v>
      </c>
      <c r="C662" s="23" t="s">
        <v>32</v>
      </c>
      <c r="D662" s="24" t="s">
        <v>8772</v>
      </c>
      <c r="E662" s="22"/>
      <c r="F662" s="22" t="s">
        <v>118</v>
      </c>
      <c r="G662" s="22"/>
      <c r="H662" s="22"/>
      <c r="I662" s="25" t="s">
        <v>2930</v>
      </c>
      <c r="J662" s="22"/>
      <c r="K662" s="22" t="s">
        <v>2931</v>
      </c>
      <c r="L662" s="22" t="s">
        <v>207</v>
      </c>
      <c r="M662" s="22" t="str">
        <f>HYPERLINK("https://ceds.ed.gov/cedselementdetails.aspx?termid=21070")</f>
        <v>https://ceds.ed.gov/cedselementdetails.aspx?termid=21070</v>
      </c>
    </row>
    <row r="663" spans="1:13" x14ac:dyDescent="0.3">
      <c r="A663" s="22" t="s">
        <v>2932</v>
      </c>
      <c r="B663" s="22" t="s">
        <v>2933</v>
      </c>
      <c r="C663" s="23" t="s">
        <v>32</v>
      </c>
      <c r="D663" s="22" t="s">
        <v>2756</v>
      </c>
      <c r="E663" s="22"/>
      <c r="F663" s="22" t="s">
        <v>50</v>
      </c>
      <c r="G663" s="22"/>
      <c r="H663" s="22" t="s">
        <v>8071</v>
      </c>
      <c r="I663" s="25" t="s">
        <v>2934</v>
      </c>
      <c r="J663" s="22"/>
      <c r="K663" s="22" t="s">
        <v>2935</v>
      </c>
      <c r="L663" s="22"/>
      <c r="M663" s="22" t="str">
        <f>HYPERLINK("https://ceds.ed.gov/cedselementdetails.aspx?termid=22643")</f>
        <v>https://ceds.ed.gov/cedselementdetails.aspx?termid=22643</v>
      </c>
    </row>
    <row r="664" spans="1:13" x14ac:dyDescent="0.3">
      <c r="A664" s="22" t="s">
        <v>2936</v>
      </c>
      <c r="B664" s="22" t="s">
        <v>2937</v>
      </c>
      <c r="C664" s="23" t="s">
        <v>32</v>
      </c>
      <c r="D664" s="22" t="s">
        <v>2938</v>
      </c>
      <c r="E664" s="22"/>
      <c r="F664" s="22" t="s">
        <v>118</v>
      </c>
      <c r="G664" s="22"/>
      <c r="H664" s="22" t="s">
        <v>143</v>
      </c>
      <c r="I664" s="25" t="s">
        <v>2939</v>
      </c>
      <c r="J664" s="22"/>
      <c r="K664" s="22" t="s">
        <v>2940</v>
      </c>
      <c r="L664" s="22"/>
      <c r="M664" s="22" t="str">
        <f>HYPERLINK("https://ceds.ed.gov/cedselementdetails.aspx?termid=22893")</f>
        <v>https://ceds.ed.gov/cedselementdetails.aspx?termid=22893</v>
      </c>
    </row>
    <row r="665" spans="1:13" x14ac:dyDescent="0.3">
      <c r="A665" s="22" t="s">
        <v>2941</v>
      </c>
      <c r="B665" s="22" t="s">
        <v>2942</v>
      </c>
      <c r="C665" s="23" t="s">
        <v>32</v>
      </c>
      <c r="D665" s="22" t="s">
        <v>2938</v>
      </c>
      <c r="E665" s="22"/>
      <c r="F665" s="22" t="s">
        <v>118</v>
      </c>
      <c r="G665" s="22"/>
      <c r="H665" s="22"/>
      <c r="I665" s="25" t="s">
        <v>2943</v>
      </c>
      <c r="J665" s="22"/>
      <c r="K665" s="22" t="s">
        <v>2944</v>
      </c>
      <c r="L665" s="22"/>
      <c r="M665" s="22" t="str">
        <f>HYPERLINK("https://ceds.ed.gov/cedselementdetails.aspx?termid=22892")</f>
        <v>https://ceds.ed.gov/cedselementdetails.aspx?termid=22892</v>
      </c>
    </row>
    <row r="666" spans="1:13" ht="72" x14ac:dyDescent="0.3">
      <c r="A666" s="22" t="s">
        <v>2945</v>
      </c>
      <c r="B666" s="22" t="s">
        <v>2946</v>
      </c>
      <c r="C666" s="23" t="s">
        <v>32</v>
      </c>
      <c r="D666" s="24" t="s">
        <v>8773</v>
      </c>
      <c r="E666" s="22"/>
      <c r="F666" s="22" t="s">
        <v>157</v>
      </c>
      <c r="G666" s="22"/>
      <c r="H666" s="22"/>
      <c r="I666" s="25" t="s">
        <v>2947</v>
      </c>
      <c r="J666" s="22"/>
      <c r="K666" s="22" t="s">
        <v>2948</v>
      </c>
      <c r="L666" s="22"/>
      <c r="M666" s="22" t="str">
        <f>HYPERLINK("https://ceds.ed.gov/cedselementdetails.aspx?termid=22566")</f>
        <v>https://ceds.ed.gov/cedselementdetails.aspx?termid=22566</v>
      </c>
    </row>
    <row r="667" spans="1:13" x14ac:dyDescent="0.3">
      <c r="A667" s="22" t="s">
        <v>2949</v>
      </c>
      <c r="B667" s="22" t="s">
        <v>7475</v>
      </c>
      <c r="C667" s="23" t="s">
        <v>32</v>
      </c>
      <c r="D667" s="22" t="s">
        <v>2756</v>
      </c>
      <c r="E667" s="22"/>
      <c r="F667" s="22" t="s">
        <v>118</v>
      </c>
      <c r="G667" s="22"/>
      <c r="H667" s="22" t="s">
        <v>2950</v>
      </c>
      <c r="I667" s="25" t="s">
        <v>2951</v>
      </c>
      <c r="J667" s="22"/>
      <c r="K667" s="22" t="s">
        <v>2952</v>
      </c>
      <c r="L667" s="22"/>
      <c r="M667" s="22" t="str">
        <f>HYPERLINK("https://ceds.ed.gov/cedselementdetails.aspx?termid=22641")</f>
        <v>https://ceds.ed.gov/cedselementdetails.aspx?termid=22641</v>
      </c>
    </row>
    <row r="668" spans="1:13" ht="43.2" x14ac:dyDescent="0.3">
      <c r="A668" s="22" t="s">
        <v>2953</v>
      </c>
      <c r="B668" s="22" t="s">
        <v>2954</v>
      </c>
      <c r="C668" s="26" t="s">
        <v>22</v>
      </c>
      <c r="D668" s="22" t="s">
        <v>2756</v>
      </c>
      <c r="E668" s="22"/>
      <c r="F668" s="22"/>
      <c r="G668" s="22"/>
      <c r="H668" s="22"/>
      <c r="I668" s="25" t="s">
        <v>2955</v>
      </c>
      <c r="J668" s="22"/>
      <c r="K668" s="22" t="s">
        <v>2956</v>
      </c>
      <c r="L668" s="22"/>
      <c r="M668" s="22" t="str">
        <f>HYPERLINK("https://ceds.ed.gov/cedselementdetails.aspx?termid=22732")</f>
        <v>https://ceds.ed.gov/cedselementdetails.aspx?termid=22732</v>
      </c>
    </row>
    <row r="669" spans="1:13" x14ac:dyDescent="0.3">
      <c r="A669" s="22" t="s">
        <v>2957</v>
      </c>
      <c r="B669" s="22" t="s">
        <v>2958</v>
      </c>
      <c r="C669" s="23" t="s">
        <v>32</v>
      </c>
      <c r="D669" s="22" t="s">
        <v>2756</v>
      </c>
      <c r="E669" s="22"/>
      <c r="F669" s="22" t="s">
        <v>328</v>
      </c>
      <c r="G669" s="22"/>
      <c r="H669" s="22"/>
      <c r="I669" s="25" t="s">
        <v>2959</v>
      </c>
      <c r="J669" s="22"/>
      <c r="K669" s="22" t="s">
        <v>2960</v>
      </c>
      <c r="L669" s="22"/>
      <c r="M669" s="22" t="str">
        <f>HYPERLINK("https://ceds.ed.gov/cedselementdetails.aspx?termid=22642")</f>
        <v>https://ceds.ed.gov/cedselementdetails.aspx?termid=22642</v>
      </c>
    </row>
    <row r="670" spans="1:13" ht="86.4" x14ac:dyDescent="0.3">
      <c r="A670" s="22" t="s">
        <v>2961</v>
      </c>
      <c r="B670" s="22" t="s">
        <v>2962</v>
      </c>
      <c r="C670" s="26" t="s">
        <v>8774</v>
      </c>
      <c r="D670" s="24" t="s">
        <v>8775</v>
      </c>
      <c r="E670" s="22"/>
      <c r="F670" s="22"/>
      <c r="G670" s="22"/>
      <c r="H670" s="22"/>
      <c r="I670" s="25" t="s">
        <v>2963</v>
      </c>
      <c r="J670" s="22"/>
      <c r="K670" s="22" t="s">
        <v>2964</v>
      </c>
      <c r="L670" s="22"/>
      <c r="M670" s="22" t="str">
        <f>HYPERLINK("https://ceds.ed.gov/cedselementdetails.aspx?termid=21071")</f>
        <v>https://ceds.ed.gov/cedselementdetails.aspx?termid=21071</v>
      </c>
    </row>
    <row r="671" spans="1:13" ht="259.2" x14ac:dyDescent="0.3">
      <c r="A671" s="22" t="s">
        <v>2965</v>
      </c>
      <c r="B671" s="22" t="s">
        <v>2966</v>
      </c>
      <c r="C671" s="26" t="s">
        <v>8776</v>
      </c>
      <c r="D671" s="24" t="s">
        <v>2967</v>
      </c>
      <c r="E671" s="22"/>
      <c r="F671" s="22"/>
      <c r="G671" s="22"/>
      <c r="H671" s="22"/>
      <c r="I671" s="25" t="s">
        <v>2968</v>
      </c>
      <c r="J671" s="22"/>
      <c r="K671" s="22" t="s">
        <v>2969</v>
      </c>
      <c r="L671" s="22"/>
      <c r="M671" s="22" t="str">
        <f>HYPERLINK("https://ceds.ed.gov/cedselementdetails.aspx?termid=22283")</f>
        <v>https://ceds.ed.gov/cedselementdetails.aspx?termid=22283</v>
      </c>
    </row>
    <row r="672" spans="1:13" ht="331.2" x14ac:dyDescent="0.3">
      <c r="A672" s="22" t="s">
        <v>2970</v>
      </c>
      <c r="B672" s="22" t="s">
        <v>2971</v>
      </c>
      <c r="C672" s="26" t="s">
        <v>8777</v>
      </c>
      <c r="D672" s="24" t="s">
        <v>2972</v>
      </c>
      <c r="E672" s="22"/>
      <c r="F672" s="22"/>
      <c r="G672" s="22"/>
      <c r="H672" s="22"/>
      <c r="I672" s="25" t="s">
        <v>2973</v>
      </c>
      <c r="J672" s="22"/>
      <c r="K672" s="22" t="s">
        <v>2974</v>
      </c>
      <c r="L672" s="24" t="s">
        <v>64</v>
      </c>
      <c r="M672" s="22" t="str">
        <f>HYPERLINK("https://ceds.ed.gov/cedselementdetails.aspx?termid=21072")</f>
        <v>https://ceds.ed.gov/cedselementdetails.aspx?termid=21072</v>
      </c>
    </row>
    <row r="673" spans="1:13" ht="158.4" x14ac:dyDescent="0.3">
      <c r="A673" s="22" t="s">
        <v>2975</v>
      </c>
      <c r="B673" s="22" t="s">
        <v>2976</v>
      </c>
      <c r="C673" s="23" t="s">
        <v>32</v>
      </c>
      <c r="D673" s="24" t="s">
        <v>2977</v>
      </c>
      <c r="E673" s="22"/>
      <c r="F673" s="22" t="s">
        <v>1518</v>
      </c>
      <c r="G673" s="22"/>
      <c r="H673" s="22" t="s">
        <v>8072</v>
      </c>
      <c r="I673" s="25" t="s">
        <v>2978</v>
      </c>
      <c r="J673" s="22"/>
      <c r="K673" s="22" t="s">
        <v>2979</v>
      </c>
      <c r="L673" s="22" t="s">
        <v>58</v>
      </c>
      <c r="M673" s="22" t="str">
        <f>HYPERLINK("https://ceds.ed.gov/cedselementdetails.aspx?termid=21058")</f>
        <v>https://ceds.ed.gov/cedselementdetails.aspx?termid=21058</v>
      </c>
    </row>
    <row r="674" spans="1:13" ht="72" x14ac:dyDescent="0.3">
      <c r="A674" s="22" t="s">
        <v>2980</v>
      </c>
      <c r="B674" s="22" t="s">
        <v>7476</v>
      </c>
      <c r="C674" s="23" t="s">
        <v>32</v>
      </c>
      <c r="D674" s="24" t="s">
        <v>8778</v>
      </c>
      <c r="E674" s="22"/>
      <c r="F674" s="22" t="s">
        <v>1518</v>
      </c>
      <c r="G674" s="22"/>
      <c r="H674" s="22"/>
      <c r="I674" s="25" t="s">
        <v>2981</v>
      </c>
      <c r="J674" s="22"/>
      <c r="K674" s="22" t="s">
        <v>2982</v>
      </c>
      <c r="L674" s="24" t="s">
        <v>64</v>
      </c>
      <c r="M674" s="22" t="str">
        <f>HYPERLINK("https://ceds.ed.gov/cedselementdetails.aspx?termid=21073")</f>
        <v>https://ceds.ed.gov/cedselementdetails.aspx?termid=21073</v>
      </c>
    </row>
    <row r="675" spans="1:13" ht="72" x14ac:dyDescent="0.3">
      <c r="A675" s="22" t="s">
        <v>2983</v>
      </c>
      <c r="B675" s="22" t="s">
        <v>7477</v>
      </c>
      <c r="C675" s="23" t="s">
        <v>32</v>
      </c>
      <c r="D675" s="24" t="s">
        <v>8778</v>
      </c>
      <c r="E675" s="22"/>
      <c r="F675" s="22" t="s">
        <v>1518</v>
      </c>
      <c r="G675" s="22"/>
      <c r="H675" s="22"/>
      <c r="I675" s="25" t="s">
        <v>2984</v>
      </c>
      <c r="J675" s="22"/>
      <c r="K675" s="22" t="s">
        <v>2985</v>
      </c>
      <c r="L675" s="24" t="s">
        <v>64</v>
      </c>
      <c r="M675" s="22" t="str">
        <f>HYPERLINK("https://ceds.ed.gov/cedselementdetails.aspx?termid=21074")</f>
        <v>https://ceds.ed.gov/cedselementdetails.aspx?termid=21074</v>
      </c>
    </row>
    <row r="676" spans="1:13" ht="100.8" x14ac:dyDescent="0.3">
      <c r="A676" s="22" t="s">
        <v>2986</v>
      </c>
      <c r="B676" s="22" t="s">
        <v>2987</v>
      </c>
      <c r="C676" s="23" t="s">
        <v>32</v>
      </c>
      <c r="D676" s="24" t="s">
        <v>2988</v>
      </c>
      <c r="E676" s="22"/>
      <c r="F676" s="22" t="s">
        <v>1518</v>
      </c>
      <c r="G676" s="22"/>
      <c r="H676" s="22" t="s">
        <v>2989</v>
      </c>
      <c r="I676" s="25" t="s">
        <v>2990</v>
      </c>
      <c r="J676" s="22"/>
      <c r="K676" s="22" t="s">
        <v>2991</v>
      </c>
      <c r="L676" s="22"/>
      <c r="M676" s="22" t="str">
        <f>HYPERLINK("https://ceds.ed.gov/cedselementdetails.aspx?termid=22553")</f>
        <v>https://ceds.ed.gov/cedselementdetails.aspx?termid=22553</v>
      </c>
    </row>
    <row r="677" spans="1:13" x14ac:dyDescent="0.3">
      <c r="A677" s="22" t="s">
        <v>2992</v>
      </c>
      <c r="B677" s="22" t="s">
        <v>2993</v>
      </c>
      <c r="C677" s="23" t="s">
        <v>32</v>
      </c>
      <c r="D677" s="22" t="s">
        <v>2994</v>
      </c>
      <c r="E677" s="22"/>
      <c r="F677" s="22" t="s">
        <v>85</v>
      </c>
      <c r="G677" s="22"/>
      <c r="H677" s="22"/>
      <c r="I677" s="25" t="s">
        <v>2995</v>
      </c>
      <c r="J677" s="22"/>
      <c r="K677" s="22" t="s">
        <v>2996</v>
      </c>
      <c r="L677" s="22"/>
      <c r="M677" s="22" t="str">
        <f>HYPERLINK("https://ceds.ed.gov/cedselementdetails.aspx?termid=21604")</f>
        <v>https://ceds.ed.gov/cedselementdetails.aspx?termid=21604</v>
      </c>
    </row>
    <row r="678" spans="1:13" x14ac:dyDescent="0.3">
      <c r="A678" s="22" t="s">
        <v>2997</v>
      </c>
      <c r="B678" s="22" t="s">
        <v>2998</v>
      </c>
      <c r="C678" s="23" t="s">
        <v>32</v>
      </c>
      <c r="D678" s="22" t="s">
        <v>2994</v>
      </c>
      <c r="E678" s="22"/>
      <c r="F678" s="22" t="s">
        <v>113</v>
      </c>
      <c r="G678" s="22"/>
      <c r="H678" s="22"/>
      <c r="I678" s="25" t="s">
        <v>2999</v>
      </c>
      <c r="J678" s="22"/>
      <c r="K678" s="22" t="s">
        <v>3000</v>
      </c>
      <c r="L678" s="22"/>
      <c r="M678" s="22" t="str">
        <f>HYPERLINK("https://ceds.ed.gov/cedselementdetails.aspx?termid=22526")</f>
        <v>https://ceds.ed.gov/cedselementdetails.aspx?termid=22526</v>
      </c>
    </row>
    <row r="679" spans="1:13" x14ac:dyDescent="0.3">
      <c r="A679" s="22" t="s">
        <v>3001</v>
      </c>
      <c r="B679" s="22" t="s">
        <v>3002</v>
      </c>
      <c r="C679" s="23" t="s">
        <v>32</v>
      </c>
      <c r="D679" s="22" t="s">
        <v>2994</v>
      </c>
      <c r="E679" s="22"/>
      <c r="F679" s="22" t="s">
        <v>118</v>
      </c>
      <c r="G679" s="22"/>
      <c r="H679" s="22" t="s">
        <v>143</v>
      </c>
      <c r="I679" s="25" t="s">
        <v>3003</v>
      </c>
      <c r="J679" s="22"/>
      <c r="K679" s="22" t="s">
        <v>3004</v>
      </c>
      <c r="L679" s="22"/>
      <c r="M679" s="22" t="str">
        <f>HYPERLINK("https://ceds.ed.gov/cedselementdetails.aspx?termid=22528")</f>
        <v>https://ceds.ed.gov/cedselementdetails.aspx?termid=22528</v>
      </c>
    </row>
    <row r="680" spans="1:13" x14ac:dyDescent="0.3">
      <c r="A680" s="22" t="s">
        <v>3005</v>
      </c>
      <c r="B680" s="22" t="s">
        <v>3006</v>
      </c>
      <c r="C680" s="23" t="s">
        <v>32</v>
      </c>
      <c r="D680" s="22" t="s">
        <v>2994</v>
      </c>
      <c r="E680" s="22"/>
      <c r="F680" s="22" t="s">
        <v>1339</v>
      </c>
      <c r="G680" s="22"/>
      <c r="H680" s="22"/>
      <c r="I680" s="25" t="s">
        <v>3007</v>
      </c>
      <c r="J680" s="22"/>
      <c r="K680" s="22" t="s">
        <v>3008</v>
      </c>
      <c r="L680" s="22"/>
      <c r="M680" s="22" t="str">
        <f>HYPERLINK("https://ceds.ed.gov/cedselementdetails.aspx?termid=21605")</f>
        <v>https://ceds.ed.gov/cedselementdetails.aspx?termid=21605</v>
      </c>
    </row>
    <row r="681" spans="1:13" x14ac:dyDescent="0.3">
      <c r="A681" s="22" t="s">
        <v>3009</v>
      </c>
      <c r="B681" s="22" t="s">
        <v>3010</v>
      </c>
      <c r="C681" s="23" t="s">
        <v>32</v>
      </c>
      <c r="D681" s="22" t="s">
        <v>2994</v>
      </c>
      <c r="E681" s="22"/>
      <c r="F681" s="22" t="s">
        <v>118</v>
      </c>
      <c r="G681" s="22"/>
      <c r="H681" s="22"/>
      <c r="I681" s="25" t="s">
        <v>3011</v>
      </c>
      <c r="J681" s="22"/>
      <c r="K681" s="22" t="s">
        <v>3012</v>
      </c>
      <c r="L681" s="22"/>
      <c r="M681" s="22" t="str">
        <f>HYPERLINK("https://ceds.ed.gov/cedselementdetails.aspx?termid=21607")</f>
        <v>https://ceds.ed.gov/cedselementdetails.aspx?termid=21607</v>
      </c>
    </row>
    <row r="682" spans="1:13" x14ac:dyDescent="0.3">
      <c r="A682" s="22" t="s">
        <v>3013</v>
      </c>
      <c r="B682" s="22" t="s">
        <v>3014</v>
      </c>
      <c r="C682" s="23" t="s">
        <v>32</v>
      </c>
      <c r="D682" s="22" t="s">
        <v>2994</v>
      </c>
      <c r="E682" s="22"/>
      <c r="F682" s="22" t="s">
        <v>1339</v>
      </c>
      <c r="G682" s="22"/>
      <c r="H682" s="22"/>
      <c r="I682" s="25" t="s">
        <v>3015</v>
      </c>
      <c r="J682" s="22"/>
      <c r="K682" s="22" t="s">
        <v>3016</v>
      </c>
      <c r="L682" s="22"/>
      <c r="M682" s="22" t="str">
        <f>HYPERLINK("https://ceds.ed.gov/cedselementdetails.aspx?termid=21606")</f>
        <v>https://ceds.ed.gov/cedselementdetails.aspx?termid=21606</v>
      </c>
    </row>
    <row r="683" spans="1:13" ht="57.6" x14ac:dyDescent="0.3">
      <c r="A683" s="22" t="s">
        <v>3017</v>
      </c>
      <c r="B683" s="22" t="s">
        <v>3018</v>
      </c>
      <c r="C683" s="26" t="s">
        <v>8599</v>
      </c>
      <c r="D683" s="22" t="s">
        <v>352</v>
      </c>
      <c r="E683" s="22"/>
      <c r="F683" s="22"/>
      <c r="G683" s="22"/>
      <c r="H683" s="22" t="s">
        <v>3019</v>
      </c>
      <c r="I683" s="25" t="s">
        <v>3020</v>
      </c>
      <c r="J683" s="22"/>
      <c r="K683" s="22" t="s">
        <v>3021</v>
      </c>
      <c r="L683" s="22" t="s">
        <v>355</v>
      </c>
      <c r="M683" s="22" t="str">
        <f>HYPERLINK("https://ceds.ed.gov/cedselementdetails.aspx?termid=21753")</f>
        <v>https://ceds.ed.gov/cedselementdetails.aspx?termid=21753</v>
      </c>
    </row>
    <row r="684" spans="1:13" ht="409.6" x14ac:dyDescent="0.3">
      <c r="A684" s="22" t="s">
        <v>3022</v>
      </c>
      <c r="B684" s="22" t="s">
        <v>3023</v>
      </c>
      <c r="C684" s="26" t="s">
        <v>8779</v>
      </c>
      <c r="D684" s="22" t="s">
        <v>2799</v>
      </c>
      <c r="E684" s="22"/>
      <c r="F684" s="22"/>
      <c r="G684" s="22"/>
      <c r="H684" s="22" t="s">
        <v>8073</v>
      </c>
      <c r="I684" s="25" t="s">
        <v>3024</v>
      </c>
      <c r="J684" s="22" t="s">
        <v>3025</v>
      </c>
      <c r="K684" s="22" t="s">
        <v>3026</v>
      </c>
      <c r="L684" s="22"/>
      <c r="M684" s="22" t="str">
        <f>HYPERLINK("https://ceds.ed.gov/cedselementdetails.aspx?termid=22894")</f>
        <v>https://ceds.ed.gov/cedselementdetails.aspx?termid=22894</v>
      </c>
    </row>
    <row r="685" spans="1:13" ht="388.8" x14ac:dyDescent="0.3">
      <c r="A685" s="22" t="s">
        <v>3027</v>
      </c>
      <c r="B685" s="22" t="s">
        <v>3028</v>
      </c>
      <c r="C685" s="26" t="s">
        <v>8780</v>
      </c>
      <c r="D685" s="24" t="s">
        <v>3029</v>
      </c>
      <c r="E685" s="22"/>
      <c r="F685" s="22"/>
      <c r="G685" s="22"/>
      <c r="H685" s="22" t="s">
        <v>3030</v>
      </c>
      <c r="I685" s="25" t="s">
        <v>3031</v>
      </c>
      <c r="J685" s="22"/>
      <c r="K685" s="22" t="s">
        <v>3032</v>
      </c>
      <c r="L685" s="22"/>
      <c r="M685" s="22" t="str">
        <f>HYPERLINK("https://ceds.ed.gov/cedselementdetails.aspx?termid=22736")</f>
        <v>https://ceds.ed.gov/cedselementdetails.aspx?termid=22736</v>
      </c>
    </row>
    <row r="686" spans="1:13" ht="144" x14ac:dyDescent="0.3">
      <c r="A686" s="22" t="s">
        <v>3033</v>
      </c>
      <c r="B686" s="22" t="s">
        <v>3034</v>
      </c>
      <c r="C686" s="26" t="s">
        <v>8781</v>
      </c>
      <c r="D686" s="24" t="s">
        <v>2504</v>
      </c>
      <c r="E686" s="22"/>
      <c r="F686" s="22"/>
      <c r="G686" s="22"/>
      <c r="H686" s="22"/>
      <c r="I686" s="25" t="s">
        <v>3035</v>
      </c>
      <c r="J686" s="22"/>
      <c r="K686" s="22" t="s">
        <v>3036</v>
      </c>
      <c r="L686" s="22"/>
      <c r="M686" s="22" t="str">
        <f>HYPERLINK("https://ceds.ed.gov/cedselementdetails.aspx?termid=21688")</f>
        <v>https://ceds.ed.gov/cedselementdetails.aspx?termid=21688</v>
      </c>
    </row>
    <row r="687" spans="1:13" ht="100.8" x14ac:dyDescent="0.3">
      <c r="A687" s="22" t="s">
        <v>3037</v>
      </c>
      <c r="B687" s="22" t="s">
        <v>3038</v>
      </c>
      <c r="C687" s="26" t="s">
        <v>3039</v>
      </c>
      <c r="D687" s="24" t="s">
        <v>7478</v>
      </c>
      <c r="E687" s="22"/>
      <c r="F687" s="22"/>
      <c r="G687" s="22"/>
      <c r="H687" s="22"/>
      <c r="I687" s="25" t="s">
        <v>3040</v>
      </c>
      <c r="J687" s="22"/>
      <c r="K687" s="22" t="s">
        <v>3041</v>
      </c>
      <c r="L687" s="24" t="s">
        <v>399</v>
      </c>
      <c r="M687" s="22" t="str">
        <f>HYPERLINK("https://ceds.ed.gov/cedselementdetails.aspx?termid=21328")</f>
        <v>https://ceds.ed.gov/cedselementdetails.aspx?termid=21328</v>
      </c>
    </row>
    <row r="688" spans="1:13" x14ac:dyDescent="0.3">
      <c r="A688" s="22" t="s">
        <v>7479</v>
      </c>
      <c r="B688" s="22" t="s">
        <v>7480</v>
      </c>
      <c r="C688" s="23" t="s">
        <v>32</v>
      </c>
      <c r="D688" s="22" t="s">
        <v>8074</v>
      </c>
      <c r="E688" s="22"/>
      <c r="F688" s="22" t="s">
        <v>1844</v>
      </c>
      <c r="G688" s="22"/>
      <c r="H688" s="22"/>
      <c r="I688" s="25" t="s">
        <v>7481</v>
      </c>
      <c r="J688" s="22"/>
      <c r="K688" s="22" t="s">
        <v>7482</v>
      </c>
      <c r="L688" s="22"/>
      <c r="M688" s="22" t="str">
        <f>HYPERLINK("https://ceds.ed.gov/cedselementdetails.aspx?termid=22920")</f>
        <v>https://ceds.ed.gov/cedselementdetails.aspx?termid=22920</v>
      </c>
    </row>
    <row r="689" spans="1:13" x14ac:dyDescent="0.3">
      <c r="A689" s="22" t="s">
        <v>7483</v>
      </c>
      <c r="B689" s="22" t="s">
        <v>7484</v>
      </c>
      <c r="C689" s="23" t="s">
        <v>32</v>
      </c>
      <c r="D689" s="22" t="s">
        <v>8074</v>
      </c>
      <c r="E689" s="22"/>
      <c r="F689" s="22" t="s">
        <v>118</v>
      </c>
      <c r="G689" s="22"/>
      <c r="H689" s="22"/>
      <c r="I689" s="25" t="s">
        <v>7485</v>
      </c>
      <c r="J689" s="22"/>
      <c r="K689" s="22" t="s">
        <v>7486</v>
      </c>
      <c r="L689" s="22"/>
      <c r="M689" s="22" t="str">
        <f>HYPERLINK("https://ceds.ed.gov/cedselementdetails.aspx?termid=22921")</f>
        <v>https://ceds.ed.gov/cedselementdetails.aspx?termid=22921</v>
      </c>
    </row>
    <row r="690" spans="1:13" x14ac:dyDescent="0.3">
      <c r="A690" s="22" t="s">
        <v>7487</v>
      </c>
      <c r="B690" s="22" t="s">
        <v>7488</v>
      </c>
      <c r="C690" s="23" t="s">
        <v>32</v>
      </c>
      <c r="D690" s="22" t="s">
        <v>8074</v>
      </c>
      <c r="E690" s="22"/>
      <c r="F690" s="22" t="s">
        <v>328</v>
      </c>
      <c r="G690" s="22"/>
      <c r="H690" s="22"/>
      <c r="I690" s="25" t="s">
        <v>7489</v>
      </c>
      <c r="J690" s="22"/>
      <c r="K690" s="22" t="s">
        <v>7490</v>
      </c>
      <c r="L690" s="22"/>
      <c r="M690" s="22" t="str">
        <f>HYPERLINK("https://ceds.ed.gov/cedselementdetails.aspx?termid=22922")</f>
        <v>https://ceds.ed.gov/cedselementdetails.aspx?termid=22922</v>
      </c>
    </row>
    <row r="691" spans="1:13" x14ac:dyDescent="0.3">
      <c r="A691" s="22" t="s">
        <v>7491</v>
      </c>
      <c r="B691" s="22" t="s">
        <v>7492</v>
      </c>
      <c r="C691" s="23" t="s">
        <v>32</v>
      </c>
      <c r="D691" s="22" t="s">
        <v>8074</v>
      </c>
      <c r="E691" s="22"/>
      <c r="F691" s="22" t="s">
        <v>328</v>
      </c>
      <c r="G691" s="22"/>
      <c r="H691" s="22"/>
      <c r="I691" s="25" t="s">
        <v>7493</v>
      </c>
      <c r="J691" s="22"/>
      <c r="K691" s="22" t="s">
        <v>7494</v>
      </c>
      <c r="L691" s="22"/>
      <c r="M691" s="22" t="str">
        <f>HYPERLINK("https://ceds.ed.gov/cedselementdetails.aspx?termid=22923")</f>
        <v>https://ceds.ed.gov/cedselementdetails.aspx?termid=22923</v>
      </c>
    </row>
    <row r="692" spans="1:13" x14ac:dyDescent="0.3">
      <c r="A692" s="22" t="s">
        <v>7495</v>
      </c>
      <c r="B692" s="22" t="s">
        <v>7496</v>
      </c>
      <c r="C692" s="23" t="s">
        <v>32</v>
      </c>
      <c r="D692" s="22" t="s">
        <v>8074</v>
      </c>
      <c r="E692" s="22"/>
      <c r="F692" s="22" t="s">
        <v>118</v>
      </c>
      <c r="G692" s="22"/>
      <c r="H692" s="22"/>
      <c r="I692" s="25" t="s">
        <v>7497</v>
      </c>
      <c r="J692" s="22"/>
      <c r="K692" s="22" t="s">
        <v>7498</v>
      </c>
      <c r="L692" s="22"/>
      <c r="M692" s="22" t="str">
        <f>HYPERLINK("https://ceds.ed.gov/cedselementdetails.aspx?termid=22924")</f>
        <v>https://ceds.ed.gov/cedselementdetails.aspx?termid=22924</v>
      </c>
    </row>
    <row r="693" spans="1:13" x14ac:dyDescent="0.3">
      <c r="A693" s="22" t="s">
        <v>7499</v>
      </c>
      <c r="B693" s="22" t="s">
        <v>7500</v>
      </c>
      <c r="C693" s="23" t="s">
        <v>32</v>
      </c>
      <c r="D693" s="22" t="s">
        <v>8074</v>
      </c>
      <c r="E693" s="22"/>
      <c r="F693" s="22" t="s">
        <v>1844</v>
      </c>
      <c r="G693" s="22"/>
      <c r="H693" s="22"/>
      <c r="I693" s="25" t="s">
        <v>7501</v>
      </c>
      <c r="J693" s="22"/>
      <c r="K693" s="22" t="s">
        <v>7502</v>
      </c>
      <c r="L693" s="22"/>
      <c r="M693" s="22" t="str">
        <f>HYPERLINK("https://ceds.ed.gov/cedselementdetails.aspx?termid=22925")</f>
        <v>https://ceds.ed.gov/cedselementdetails.aspx?termid=22925</v>
      </c>
    </row>
    <row r="694" spans="1:13" ht="115.2" x14ac:dyDescent="0.3">
      <c r="A694" s="22" t="s">
        <v>7503</v>
      </c>
      <c r="B694" s="22" t="s">
        <v>7504</v>
      </c>
      <c r="C694" s="26" t="s">
        <v>8782</v>
      </c>
      <c r="D694" s="22" t="s">
        <v>8074</v>
      </c>
      <c r="E694" s="22"/>
      <c r="F694" s="22"/>
      <c r="G694" s="22"/>
      <c r="H694" s="22"/>
      <c r="I694" s="25" t="s">
        <v>7505</v>
      </c>
      <c r="J694" s="22"/>
      <c r="K694" s="22" t="s">
        <v>7506</v>
      </c>
      <c r="L694" s="22"/>
      <c r="M694" s="22" t="str">
        <f>HYPERLINK("https://ceds.ed.gov/cedselementdetails.aspx?termid=22926")</f>
        <v>https://ceds.ed.gov/cedselementdetails.aspx?termid=22926</v>
      </c>
    </row>
    <row r="695" spans="1:13" x14ac:dyDescent="0.3">
      <c r="A695" s="22" t="s">
        <v>3042</v>
      </c>
      <c r="B695" s="22" t="s">
        <v>3043</v>
      </c>
      <c r="C695" s="23" t="s">
        <v>32</v>
      </c>
      <c r="D695" s="22" t="s">
        <v>8075</v>
      </c>
      <c r="E695" s="22"/>
      <c r="F695" s="22" t="s">
        <v>118</v>
      </c>
      <c r="G695" s="22"/>
      <c r="H695" s="22"/>
      <c r="I695" s="25" t="s">
        <v>3044</v>
      </c>
      <c r="J695" s="22"/>
      <c r="K695" s="22" t="s">
        <v>3045</v>
      </c>
      <c r="L695" s="22"/>
      <c r="M695" s="22" t="str">
        <f>HYPERLINK("https://ceds.ed.gov/cedselementdetails.aspx?termid=22335")</f>
        <v>https://ceds.ed.gov/cedselementdetails.aspx?termid=22335</v>
      </c>
    </row>
    <row r="696" spans="1:13" x14ac:dyDescent="0.3">
      <c r="A696" s="22" t="s">
        <v>3046</v>
      </c>
      <c r="B696" s="22" t="s">
        <v>3047</v>
      </c>
      <c r="C696" s="23" t="s">
        <v>32</v>
      </c>
      <c r="D696" s="22" t="s">
        <v>3048</v>
      </c>
      <c r="E696" s="22"/>
      <c r="F696" s="22" t="s">
        <v>118</v>
      </c>
      <c r="G696" s="22"/>
      <c r="H696" s="22"/>
      <c r="I696" s="25" t="s">
        <v>3049</v>
      </c>
      <c r="J696" s="22"/>
      <c r="K696" s="22" t="s">
        <v>3050</v>
      </c>
      <c r="L696" s="22" t="s">
        <v>214</v>
      </c>
      <c r="M696" s="22" t="str">
        <f>HYPERLINK("https://ceds.ed.gov/cedselementdetails.aspx?termid=21445")</f>
        <v>https://ceds.ed.gov/cedselementdetails.aspx?termid=21445</v>
      </c>
    </row>
    <row r="697" spans="1:13" x14ac:dyDescent="0.3">
      <c r="A697" s="22" t="s">
        <v>3051</v>
      </c>
      <c r="B697" s="22" t="s">
        <v>3052</v>
      </c>
      <c r="C697" s="23" t="s">
        <v>32</v>
      </c>
      <c r="D697" s="22" t="s">
        <v>3048</v>
      </c>
      <c r="E697" s="22"/>
      <c r="F697" s="22" t="s">
        <v>118</v>
      </c>
      <c r="G697" s="22"/>
      <c r="H697" s="22"/>
      <c r="I697" s="25" t="s">
        <v>3053</v>
      </c>
      <c r="J697" s="22"/>
      <c r="K697" s="22" t="s">
        <v>3054</v>
      </c>
      <c r="L697" s="22" t="s">
        <v>214</v>
      </c>
      <c r="M697" s="22" t="str">
        <f>HYPERLINK("https://ceds.ed.gov/cedselementdetails.aspx?termid=21446")</f>
        <v>https://ceds.ed.gov/cedselementdetails.aspx?termid=21446</v>
      </c>
    </row>
    <row r="698" spans="1:13" ht="57.6" x14ac:dyDescent="0.3">
      <c r="A698" s="22" t="s">
        <v>3055</v>
      </c>
      <c r="B698" s="22" t="s">
        <v>3056</v>
      </c>
      <c r="C698" s="23" t="s">
        <v>32</v>
      </c>
      <c r="D698" s="24" t="s">
        <v>8783</v>
      </c>
      <c r="E698" s="22"/>
      <c r="F698" s="22" t="s">
        <v>317</v>
      </c>
      <c r="G698" s="22"/>
      <c r="H698" s="22"/>
      <c r="I698" s="25" t="s">
        <v>3057</v>
      </c>
      <c r="J698" s="22"/>
      <c r="K698" s="22" t="s">
        <v>3058</v>
      </c>
      <c r="L698" s="24" t="s">
        <v>3059</v>
      </c>
      <c r="M698" s="22" t="str">
        <f>HYPERLINK("https://ceds.ed.gov/cedselementdetails.aspx?termid=21354")</f>
        <v>https://ceds.ed.gov/cedselementdetails.aspx?termid=21354</v>
      </c>
    </row>
    <row r="699" spans="1:13" x14ac:dyDescent="0.3">
      <c r="A699" s="22" t="s">
        <v>3060</v>
      </c>
      <c r="B699" s="22" t="s">
        <v>3061</v>
      </c>
      <c r="C699" s="23" t="s">
        <v>32</v>
      </c>
      <c r="D699" s="22" t="s">
        <v>3062</v>
      </c>
      <c r="E699" s="22"/>
      <c r="F699" s="22" t="s">
        <v>317</v>
      </c>
      <c r="G699" s="22"/>
      <c r="H699" s="22"/>
      <c r="I699" s="25" t="s">
        <v>3063</v>
      </c>
      <c r="J699" s="22"/>
      <c r="K699" s="22" t="s">
        <v>3064</v>
      </c>
      <c r="L699" s="22"/>
      <c r="M699" s="22" t="str">
        <f>HYPERLINK("https://ceds.ed.gov/cedselementdetails.aspx?termid=21487")</f>
        <v>https://ceds.ed.gov/cedselementdetails.aspx?termid=21487</v>
      </c>
    </row>
    <row r="700" spans="1:13" x14ac:dyDescent="0.3">
      <c r="A700" s="22" t="s">
        <v>3065</v>
      </c>
      <c r="B700" s="22" t="s">
        <v>3066</v>
      </c>
      <c r="C700" s="23" t="s">
        <v>32</v>
      </c>
      <c r="D700" s="22" t="s">
        <v>3067</v>
      </c>
      <c r="E700" s="22"/>
      <c r="F700" s="22" t="s">
        <v>118</v>
      </c>
      <c r="G700" s="22"/>
      <c r="H700" s="22"/>
      <c r="I700" s="25" t="s">
        <v>3068</v>
      </c>
      <c r="J700" s="22"/>
      <c r="K700" s="22" t="s">
        <v>3069</v>
      </c>
      <c r="L700" s="22"/>
      <c r="M700" s="22" t="str">
        <f>HYPERLINK("https://ceds.ed.gov/cedselementdetails.aspx?termid=22693")</f>
        <v>https://ceds.ed.gov/cedselementdetails.aspx?termid=22693</v>
      </c>
    </row>
    <row r="701" spans="1:13" ht="72" x14ac:dyDescent="0.3">
      <c r="A701" s="22" t="s">
        <v>3070</v>
      </c>
      <c r="B701" s="22" t="s">
        <v>8076</v>
      </c>
      <c r="C701" s="26" t="s">
        <v>22</v>
      </c>
      <c r="D701" s="24" t="s">
        <v>2542</v>
      </c>
      <c r="E701" s="22"/>
      <c r="F701" s="22"/>
      <c r="G701" s="22"/>
      <c r="H701" s="22"/>
      <c r="I701" s="25" t="s">
        <v>3071</v>
      </c>
      <c r="J701" s="22"/>
      <c r="K701" s="22" t="s">
        <v>3072</v>
      </c>
      <c r="L701" s="22" t="s">
        <v>58</v>
      </c>
      <c r="M701" s="22" t="str">
        <f>HYPERLINK("https://ceds.ed.gov/cedselementdetails.aspx?termid=21077")</f>
        <v>https://ceds.ed.gov/cedselementdetails.aspx?termid=21077</v>
      </c>
    </row>
    <row r="702" spans="1:13" ht="129.6" x14ac:dyDescent="0.3">
      <c r="A702" s="22" t="s">
        <v>3073</v>
      </c>
      <c r="B702" s="22" t="s">
        <v>3074</v>
      </c>
      <c r="C702" s="23" t="s">
        <v>32</v>
      </c>
      <c r="D702" s="24" t="s">
        <v>8784</v>
      </c>
      <c r="E702" s="22"/>
      <c r="F702" s="22" t="s">
        <v>118</v>
      </c>
      <c r="G702" s="22"/>
      <c r="H702" s="22"/>
      <c r="I702" s="25" t="s">
        <v>3075</v>
      </c>
      <c r="J702" s="22"/>
      <c r="K702" s="22" t="s">
        <v>3076</v>
      </c>
      <c r="L702" s="24" t="s">
        <v>3077</v>
      </c>
      <c r="M702" s="22" t="str">
        <f>HYPERLINK("https://ceds.ed.gov/cedselementdetails.aspx?termid=21343")</f>
        <v>https://ceds.ed.gov/cedselementdetails.aspx?termid=21343</v>
      </c>
    </row>
    <row r="703" spans="1:13" ht="72" x14ac:dyDescent="0.3">
      <c r="A703" s="22" t="s">
        <v>3078</v>
      </c>
      <c r="B703" s="22" t="s">
        <v>3079</v>
      </c>
      <c r="C703" s="26" t="s">
        <v>22</v>
      </c>
      <c r="D703" s="22" t="s">
        <v>2114</v>
      </c>
      <c r="E703" s="22"/>
      <c r="F703" s="22"/>
      <c r="G703" s="22"/>
      <c r="H703" s="22"/>
      <c r="I703" s="25" t="s">
        <v>3080</v>
      </c>
      <c r="J703" s="22"/>
      <c r="K703" s="22" t="s">
        <v>3081</v>
      </c>
      <c r="L703" s="24" t="s">
        <v>42</v>
      </c>
      <c r="M703" s="22" t="str">
        <f>HYPERLINK("https://ceds.ed.gov/cedselementdetails.aspx?termid=21078")</f>
        <v>https://ceds.ed.gov/cedselementdetails.aspx?termid=21078</v>
      </c>
    </row>
    <row r="704" spans="1:13" ht="129.6" x14ac:dyDescent="0.3">
      <c r="A704" s="22" t="s">
        <v>3082</v>
      </c>
      <c r="B704" s="22" t="s">
        <v>3083</v>
      </c>
      <c r="C704" s="23" t="s">
        <v>32</v>
      </c>
      <c r="D704" s="24" t="s">
        <v>8784</v>
      </c>
      <c r="E704" s="22"/>
      <c r="F704" s="22" t="s">
        <v>1339</v>
      </c>
      <c r="G704" s="22"/>
      <c r="H704" s="22"/>
      <c r="I704" s="25" t="s">
        <v>3084</v>
      </c>
      <c r="J704" s="22"/>
      <c r="K704" s="22" t="s">
        <v>3085</v>
      </c>
      <c r="L704" s="24" t="s">
        <v>3077</v>
      </c>
      <c r="M704" s="22" t="str">
        <f>HYPERLINK("https://ceds.ed.gov/cedselementdetails.aspx?termid=21341")</f>
        <v>https://ceds.ed.gov/cedselementdetails.aspx?termid=21341</v>
      </c>
    </row>
    <row r="705" spans="1:13" ht="345.6" x14ac:dyDescent="0.3">
      <c r="A705" s="22" t="s">
        <v>3086</v>
      </c>
      <c r="B705" s="22" t="s">
        <v>3087</v>
      </c>
      <c r="C705" s="26" t="s">
        <v>8785</v>
      </c>
      <c r="D705" s="24" t="s">
        <v>8784</v>
      </c>
      <c r="E705" s="22"/>
      <c r="F705" s="22"/>
      <c r="G705" s="22"/>
      <c r="H705" s="22"/>
      <c r="I705" s="25" t="s">
        <v>3088</v>
      </c>
      <c r="J705" s="22"/>
      <c r="K705" s="22" t="s">
        <v>3089</v>
      </c>
      <c r="L705" s="24" t="s">
        <v>3077</v>
      </c>
      <c r="M705" s="22" t="str">
        <f>HYPERLINK("https://ceds.ed.gov/cedselementdetails.aspx?termid=21342")</f>
        <v>https://ceds.ed.gov/cedselementdetails.aspx?termid=21342</v>
      </c>
    </row>
    <row r="706" spans="1:13" ht="244.8" x14ac:dyDescent="0.3">
      <c r="A706" s="22" t="s">
        <v>3090</v>
      </c>
      <c r="B706" s="22" t="s">
        <v>3091</v>
      </c>
      <c r="C706" s="26" t="s">
        <v>22</v>
      </c>
      <c r="D706" s="24" t="s">
        <v>8602</v>
      </c>
      <c r="E706" s="22"/>
      <c r="F706" s="22"/>
      <c r="G706" s="22"/>
      <c r="H706" s="22" t="s">
        <v>3092</v>
      </c>
      <c r="I706" s="25" t="s">
        <v>3093</v>
      </c>
      <c r="J706" s="22"/>
      <c r="K706" s="22" t="s">
        <v>3094</v>
      </c>
      <c r="L706" s="22"/>
      <c r="M706" s="22" t="str">
        <f>HYPERLINK("https://ceds.ed.gov/cedselementdetails.aspx?termid=21974")</f>
        <v>https://ceds.ed.gov/cedselementdetails.aspx?termid=21974</v>
      </c>
    </row>
    <row r="707" spans="1:13" ht="187.2" x14ac:dyDescent="0.3">
      <c r="A707" s="22" t="s">
        <v>3095</v>
      </c>
      <c r="B707" s="22" t="s">
        <v>3096</v>
      </c>
      <c r="C707" s="26" t="s">
        <v>8786</v>
      </c>
      <c r="D707" s="24" t="s">
        <v>8787</v>
      </c>
      <c r="E707" s="22"/>
      <c r="F707" s="22"/>
      <c r="G707" s="22"/>
      <c r="H707" s="22" t="s">
        <v>8077</v>
      </c>
      <c r="I707" s="25" t="s">
        <v>3097</v>
      </c>
      <c r="J707" s="22"/>
      <c r="K707" s="22" t="s">
        <v>3098</v>
      </c>
      <c r="L707" s="22" t="s">
        <v>3099</v>
      </c>
      <c r="M707" s="22" t="str">
        <f>HYPERLINK("https://ceds.ed.gov/cedselementdetails.aspx?termid=21335")</f>
        <v>https://ceds.ed.gov/cedselementdetails.aspx?termid=21335</v>
      </c>
    </row>
    <row r="708" spans="1:13" ht="43.2" x14ac:dyDescent="0.3">
      <c r="A708" s="22" t="s">
        <v>3100</v>
      </c>
      <c r="B708" s="22" t="s">
        <v>3101</v>
      </c>
      <c r="C708" s="23" t="s">
        <v>32</v>
      </c>
      <c r="D708" s="24" t="s">
        <v>8788</v>
      </c>
      <c r="E708" s="22"/>
      <c r="F708" s="22" t="s">
        <v>118</v>
      </c>
      <c r="G708" s="22"/>
      <c r="H708" s="22"/>
      <c r="I708" s="25" t="s">
        <v>3102</v>
      </c>
      <c r="J708" s="22"/>
      <c r="K708" s="22" t="s">
        <v>3103</v>
      </c>
      <c r="L708" s="22"/>
      <c r="M708" s="22" t="str">
        <f>HYPERLINK("https://ceds.ed.gov/cedselementdetails.aspx?termid=21682")</f>
        <v>https://ceds.ed.gov/cedselementdetails.aspx?termid=21682</v>
      </c>
    </row>
    <row r="709" spans="1:13" ht="72" x14ac:dyDescent="0.3">
      <c r="A709" s="22" t="s">
        <v>3104</v>
      </c>
      <c r="B709" s="22" t="s">
        <v>3105</v>
      </c>
      <c r="C709" s="26" t="s">
        <v>8789</v>
      </c>
      <c r="D709" s="24" t="s">
        <v>8788</v>
      </c>
      <c r="E709" s="22"/>
      <c r="F709" s="22"/>
      <c r="G709" s="22"/>
      <c r="H709" s="22"/>
      <c r="I709" s="25" t="s">
        <v>3106</v>
      </c>
      <c r="J709" s="22"/>
      <c r="K709" s="22" t="s">
        <v>3107</v>
      </c>
      <c r="L709" s="22" t="s">
        <v>2015</v>
      </c>
      <c r="M709" s="22" t="str">
        <f>HYPERLINK("https://ceds.ed.gov/cedselementdetails.aspx?termid=21310")</f>
        <v>https://ceds.ed.gov/cedselementdetails.aspx?termid=21310</v>
      </c>
    </row>
    <row r="710" spans="1:13" ht="57.6" x14ac:dyDescent="0.3">
      <c r="A710" s="22" t="s">
        <v>3108</v>
      </c>
      <c r="B710" s="22" t="s">
        <v>3109</v>
      </c>
      <c r="C710" s="26" t="s">
        <v>8790</v>
      </c>
      <c r="D710" s="22" t="s">
        <v>1874</v>
      </c>
      <c r="E710" s="22"/>
      <c r="F710" s="22"/>
      <c r="G710" s="22"/>
      <c r="H710" s="22"/>
      <c r="I710" s="25" t="s">
        <v>3110</v>
      </c>
      <c r="J710" s="22"/>
      <c r="K710" s="22" t="s">
        <v>3111</v>
      </c>
      <c r="L710" s="24" t="s">
        <v>3112</v>
      </c>
      <c r="M710" s="22" t="str">
        <f>HYPERLINK("https://ceds.ed.gov/cedselementdetails.aspx?termid=21079")</f>
        <v>https://ceds.ed.gov/cedselementdetails.aspx?termid=21079</v>
      </c>
    </row>
    <row r="711" spans="1:13" ht="43.2" x14ac:dyDescent="0.3">
      <c r="A711" s="22" t="s">
        <v>3113</v>
      </c>
      <c r="B711" s="22" t="s">
        <v>3114</v>
      </c>
      <c r="C711" s="26" t="s">
        <v>22</v>
      </c>
      <c r="D711" s="22" t="s">
        <v>1536</v>
      </c>
      <c r="E711" s="22"/>
      <c r="F711" s="22"/>
      <c r="G711" s="22"/>
      <c r="H711" s="22"/>
      <c r="I711" s="25" t="s">
        <v>3115</v>
      </c>
      <c r="J711" s="22"/>
      <c r="K711" s="22" t="s">
        <v>3116</v>
      </c>
      <c r="L711" s="22" t="s">
        <v>25</v>
      </c>
      <c r="M711" s="22" t="str">
        <f>HYPERLINK("https://ceds.ed.gov/cedselementdetails.aspx?termid=21080")</f>
        <v>https://ceds.ed.gov/cedselementdetails.aspx?termid=21080</v>
      </c>
    </row>
    <row r="712" spans="1:13" x14ac:dyDescent="0.3">
      <c r="A712" s="22" t="s">
        <v>3117</v>
      </c>
      <c r="B712" s="22" t="s">
        <v>3118</v>
      </c>
      <c r="C712" s="23" t="s">
        <v>32</v>
      </c>
      <c r="D712" s="22" t="s">
        <v>2480</v>
      </c>
      <c r="E712" s="22"/>
      <c r="F712" s="22" t="s">
        <v>132</v>
      </c>
      <c r="G712" s="22"/>
      <c r="H712" s="22" t="s">
        <v>7945</v>
      </c>
      <c r="I712" s="25" t="s">
        <v>3119</v>
      </c>
      <c r="J712" s="22"/>
      <c r="K712" s="22" t="s">
        <v>3120</v>
      </c>
      <c r="L712" s="22" t="s">
        <v>1553</v>
      </c>
      <c r="M712" s="22" t="str">
        <f>HYPERLINK("https://ceds.ed.gov/cedselementdetails.aspx?termid=21426")</f>
        <v>https://ceds.ed.gov/cedselementdetails.aspx?termid=21426</v>
      </c>
    </row>
    <row r="713" spans="1:13" ht="43.2" x14ac:dyDescent="0.3">
      <c r="A713" s="22" t="s">
        <v>3121</v>
      </c>
      <c r="B713" s="22" t="s">
        <v>8078</v>
      </c>
      <c r="C713" s="26" t="s">
        <v>8791</v>
      </c>
      <c r="D713" s="22" t="s">
        <v>2114</v>
      </c>
      <c r="E713" s="22"/>
      <c r="F713" s="22"/>
      <c r="G713" s="22"/>
      <c r="H713" s="22"/>
      <c r="I713" s="25" t="s">
        <v>3122</v>
      </c>
      <c r="J713" s="22"/>
      <c r="K713" s="22" t="s">
        <v>3123</v>
      </c>
      <c r="L713" s="22" t="s">
        <v>3124</v>
      </c>
      <c r="M713" s="22" t="str">
        <f>HYPERLINK("https://ceds.ed.gov/cedselementdetails.aspx?termid=22567")</f>
        <v>https://ceds.ed.gov/cedselementdetails.aspx?termid=22567</v>
      </c>
    </row>
    <row r="714" spans="1:13" ht="158.4" x14ac:dyDescent="0.3">
      <c r="A714" s="22" t="s">
        <v>3125</v>
      </c>
      <c r="B714" s="22" t="s">
        <v>3126</v>
      </c>
      <c r="C714" s="26" t="s">
        <v>8792</v>
      </c>
      <c r="D714" s="24" t="s">
        <v>3127</v>
      </c>
      <c r="E714" s="22"/>
      <c r="F714" s="22"/>
      <c r="G714" s="22"/>
      <c r="H714" s="22"/>
      <c r="I714" s="25" t="s">
        <v>3128</v>
      </c>
      <c r="J714" s="22"/>
      <c r="K714" s="22" t="s">
        <v>3129</v>
      </c>
      <c r="L714" s="22" t="s">
        <v>3124</v>
      </c>
      <c r="M714" s="22" t="str">
        <f>HYPERLINK("https://ceds.ed.gov/cedselementdetails.aspx?termid=22568")</f>
        <v>https://ceds.ed.gov/cedselementdetails.aspx?termid=22568</v>
      </c>
    </row>
    <row r="715" spans="1:13" ht="216" x14ac:dyDescent="0.3">
      <c r="A715" s="22" t="s">
        <v>3130</v>
      </c>
      <c r="B715" s="22" t="s">
        <v>3131</v>
      </c>
      <c r="C715" s="26" t="s">
        <v>8793</v>
      </c>
      <c r="D715" s="22" t="s">
        <v>8037</v>
      </c>
      <c r="E715" s="22"/>
      <c r="F715" s="22"/>
      <c r="G715" s="22"/>
      <c r="H715" s="22"/>
      <c r="I715" s="25" t="s">
        <v>3132</v>
      </c>
      <c r="J715" s="22"/>
      <c r="K715" s="22" t="s">
        <v>3133</v>
      </c>
      <c r="L715" s="22" t="s">
        <v>2015</v>
      </c>
      <c r="M715" s="22" t="str">
        <f>HYPERLINK("https://ceds.ed.gov/cedselementdetails.aspx?termid=21315")</f>
        <v>https://ceds.ed.gov/cedselementdetails.aspx?termid=21315</v>
      </c>
    </row>
    <row r="716" spans="1:13" x14ac:dyDescent="0.3">
      <c r="A716" s="22" t="s">
        <v>3134</v>
      </c>
      <c r="B716" s="22" t="s">
        <v>3135</v>
      </c>
      <c r="C716" s="23" t="s">
        <v>32</v>
      </c>
      <c r="D716" s="22" t="s">
        <v>1252</v>
      </c>
      <c r="E716" s="22"/>
      <c r="F716" s="22" t="s">
        <v>113</v>
      </c>
      <c r="G716" s="22"/>
      <c r="H716" s="22"/>
      <c r="I716" s="25" t="s">
        <v>3136</v>
      </c>
      <c r="J716" s="22"/>
      <c r="K716" s="22" t="s">
        <v>3137</v>
      </c>
      <c r="L716" s="22"/>
      <c r="M716" s="22" t="str">
        <f>HYPERLINK("https://ceds.ed.gov/cedselementdetails.aspx?termid=22011")</f>
        <v>https://ceds.ed.gov/cedselementdetails.aspx?termid=22011</v>
      </c>
    </row>
    <row r="717" spans="1:13" ht="57.6" x14ac:dyDescent="0.3">
      <c r="A717" s="22" t="s">
        <v>3138</v>
      </c>
      <c r="B717" s="22" t="s">
        <v>3139</v>
      </c>
      <c r="C717" s="26" t="s">
        <v>8599</v>
      </c>
      <c r="D717" s="22" t="s">
        <v>8079</v>
      </c>
      <c r="E717" s="22"/>
      <c r="F717" s="22"/>
      <c r="G717" s="22"/>
      <c r="H717" s="22"/>
      <c r="I717" s="25" t="s">
        <v>3140</v>
      </c>
      <c r="J717" s="22"/>
      <c r="K717" s="22" t="s">
        <v>3141</v>
      </c>
      <c r="L717" s="22" t="s">
        <v>207</v>
      </c>
      <c r="M717" s="22" t="str">
        <f>HYPERLINK("https://ceds.ed.gov/cedselementdetails.aspx?termid=21868")</f>
        <v>https://ceds.ed.gov/cedselementdetails.aspx?termid=21868</v>
      </c>
    </row>
    <row r="718" spans="1:13" ht="187.2" x14ac:dyDescent="0.3">
      <c r="A718" s="22" t="s">
        <v>3142</v>
      </c>
      <c r="B718" s="22" t="s">
        <v>3143</v>
      </c>
      <c r="C718" s="23" t="s">
        <v>32</v>
      </c>
      <c r="D718" s="24" t="s">
        <v>3144</v>
      </c>
      <c r="E718" s="22"/>
      <c r="F718" s="22" t="s">
        <v>3145</v>
      </c>
      <c r="G718" s="22"/>
      <c r="H718" s="22"/>
      <c r="I718" s="25" t="s">
        <v>3146</v>
      </c>
      <c r="J718" s="22"/>
      <c r="K718" s="22" t="s">
        <v>3147</v>
      </c>
      <c r="L718" s="24" t="s">
        <v>3148</v>
      </c>
      <c r="M718" s="22" t="str">
        <f>HYPERLINK("https://ceds.ed.gov/cedselementdetails.aspx?termid=21081")</f>
        <v>https://ceds.ed.gov/cedselementdetails.aspx?termid=21081</v>
      </c>
    </row>
    <row r="719" spans="1:13" ht="57.6" x14ac:dyDescent="0.3">
      <c r="A719" s="22" t="s">
        <v>3149</v>
      </c>
      <c r="B719" s="22" t="s">
        <v>3150</v>
      </c>
      <c r="C719" s="26" t="s">
        <v>8794</v>
      </c>
      <c r="D719" s="24" t="s">
        <v>3151</v>
      </c>
      <c r="E719" s="22"/>
      <c r="F719" s="22"/>
      <c r="G719" s="22"/>
      <c r="H719" s="22"/>
      <c r="I719" s="25" t="s">
        <v>3152</v>
      </c>
      <c r="J719" s="22"/>
      <c r="K719" s="22" t="s">
        <v>3153</v>
      </c>
      <c r="L719" s="24" t="s">
        <v>3154</v>
      </c>
      <c r="M719" s="22" t="str">
        <f>HYPERLINK("https://ceds.ed.gov/cedselementdetails.aspx?termid=22569")</f>
        <v>https://ceds.ed.gov/cedselementdetails.aspx?termid=22569</v>
      </c>
    </row>
    <row r="720" spans="1:13" ht="72" x14ac:dyDescent="0.3">
      <c r="A720" s="22" t="s">
        <v>3155</v>
      </c>
      <c r="B720" s="22" t="s">
        <v>3156</v>
      </c>
      <c r="C720" s="26" t="s">
        <v>8795</v>
      </c>
      <c r="D720" s="22" t="s">
        <v>96</v>
      </c>
      <c r="E720" s="22"/>
      <c r="F720" s="22"/>
      <c r="G720" s="22"/>
      <c r="H720" s="22"/>
      <c r="I720" s="25" t="s">
        <v>3157</v>
      </c>
      <c r="J720" s="22" t="s">
        <v>3158</v>
      </c>
      <c r="K720" s="22" t="s">
        <v>3159</v>
      </c>
      <c r="L720" s="22"/>
      <c r="M720" s="22" t="str">
        <f>HYPERLINK("https://ceds.ed.gov/cedselementdetails.aspx?termid=22285")</f>
        <v>https://ceds.ed.gov/cedselementdetails.aspx?termid=22285</v>
      </c>
    </row>
    <row r="721" spans="1:13" ht="230.4" x14ac:dyDescent="0.3">
      <c r="A721" s="22" t="s">
        <v>3160</v>
      </c>
      <c r="B721" s="22" t="s">
        <v>3161</v>
      </c>
      <c r="C721" s="26" t="s">
        <v>8796</v>
      </c>
      <c r="D721" s="24" t="s">
        <v>8797</v>
      </c>
      <c r="E721" s="22"/>
      <c r="F721" s="22"/>
      <c r="G721" s="22"/>
      <c r="H721" s="22" t="s">
        <v>3162</v>
      </c>
      <c r="I721" s="25" t="s">
        <v>3163</v>
      </c>
      <c r="J721" s="22"/>
      <c r="K721" s="22" t="s">
        <v>3164</v>
      </c>
      <c r="L721" s="22"/>
      <c r="M721" s="22" t="str">
        <f>HYPERLINK("https://ceds.ed.gov/cedselementdetails.aspx?termid=22286")</f>
        <v>https://ceds.ed.gov/cedselementdetails.aspx?termid=22286</v>
      </c>
    </row>
    <row r="722" spans="1:13" ht="172.8" x14ac:dyDescent="0.3">
      <c r="A722" s="22" t="s">
        <v>3165</v>
      </c>
      <c r="B722" s="22" t="s">
        <v>3166</v>
      </c>
      <c r="C722" s="26" t="s">
        <v>8798</v>
      </c>
      <c r="D722" s="24" t="s">
        <v>8799</v>
      </c>
      <c r="E722" s="22"/>
      <c r="F722" s="22"/>
      <c r="G722" s="22"/>
      <c r="H722" s="22" t="s">
        <v>3162</v>
      </c>
      <c r="I722" s="25" t="s">
        <v>3167</v>
      </c>
      <c r="J722" s="22"/>
      <c r="K722" s="22" t="s">
        <v>3168</v>
      </c>
      <c r="L722" s="22"/>
      <c r="M722" s="22" t="str">
        <f>HYPERLINK("https://ceds.ed.gov/cedselementdetails.aspx?termid=22287")</f>
        <v>https://ceds.ed.gov/cedselementdetails.aspx?termid=22287</v>
      </c>
    </row>
    <row r="723" spans="1:13" ht="158.4" x14ac:dyDescent="0.3">
      <c r="A723" s="22" t="s">
        <v>3169</v>
      </c>
      <c r="B723" s="22" t="s">
        <v>3170</v>
      </c>
      <c r="C723" s="26" t="s">
        <v>22</v>
      </c>
      <c r="D723" s="24" t="s">
        <v>8800</v>
      </c>
      <c r="E723" s="22"/>
      <c r="F723" s="22"/>
      <c r="G723" s="22"/>
      <c r="H723" s="22"/>
      <c r="I723" s="25" t="s">
        <v>3171</v>
      </c>
      <c r="J723" s="22"/>
      <c r="K723" s="22" t="s">
        <v>3172</v>
      </c>
      <c r="L723" s="22" t="s">
        <v>226</v>
      </c>
      <c r="M723" s="22" t="str">
        <f>HYPERLINK("https://ceds.ed.gov/cedselementdetails.aspx?termid=21569")</f>
        <v>https://ceds.ed.gov/cedselementdetails.aspx?termid=21569</v>
      </c>
    </row>
    <row r="724" spans="1:13" ht="43.2" x14ac:dyDescent="0.3">
      <c r="A724" s="22" t="s">
        <v>3173</v>
      </c>
      <c r="B724" s="22" t="s">
        <v>3174</v>
      </c>
      <c r="C724" s="23" t="s">
        <v>32</v>
      </c>
      <c r="D724" s="24" t="s">
        <v>3175</v>
      </c>
      <c r="E724" s="22"/>
      <c r="F724" s="22" t="s">
        <v>118</v>
      </c>
      <c r="G724" s="22"/>
      <c r="H724" s="22" t="s">
        <v>143</v>
      </c>
      <c r="I724" s="25" t="s">
        <v>3176</v>
      </c>
      <c r="J724" s="22"/>
      <c r="K724" s="22" t="s">
        <v>3177</v>
      </c>
      <c r="L724" s="22" t="s">
        <v>25</v>
      </c>
      <c r="M724" s="22" t="str">
        <f>HYPERLINK("https://ceds.ed.gov/cedselementdetails.aspx?termid=21082")</f>
        <v>https://ceds.ed.gov/cedselementdetails.aspx?termid=21082</v>
      </c>
    </row>
    <row r="725" spans="1:13" ht="43.2" x14ac:dyDescent="0.3">
      <c r="A725" s="22" t="s">
        <v>3178</v>
      </c>
      <c r="B725" s="22" t="s">
        <v>3179</v>
      </c>
      <c r="C725" s="26" t="s">
        <v>22</v>
      </c>
      <c r="D725" s="22" t="s">
        <v>3180</v>
      </c>
      <c r="E725" s="22"/>
      <c r="F725" s="22"/>
      <c r="G725" s="22"/>
      <c r="H725" s="22"/>
      <c r="I725" s="25" t="s">
        <v>3181</v>
      </c>
      <c r="J725" s="22"/>
      <c r="K725" s="22" t="s">
        <v>3182</v>
      </c>
      <c r="L725" s="22"/>
      <c r="M725" s="22" t="str">
        <f>HYPERLINK("https://ceds.ed.gov/cedselementdetails.aspx?termid=22288")</f>
        <v>https://ceds.ed.gov/cedselementdetails.aspx?termid=22288</v>
      </c>
    </row>
    <row r="726" spans="1:13" ht="43.2" x14ac:dyDescent="0.3">
      <c r="A726" s="22" t="s">
        <v>3183</v>
      </c>
      <c r="B726" s="22" t="s">
        <v>3184</v>
      </c>
      <c r="C726" s="23" t="s">
        <v>32</v>
      </c>
      <c r="D726" s="24" t="s">
        <v>3175</v>
      </c>
      <c r="E726" s="22"/>
      <c r="F726" s="22" t="s">
        <v>118</v>
      </c>
      <c r="G726" s="22"/>
      <c r="H726" s="22"/>
      <c r="I726" s="25" t="s">
        <v>3185</v>
      </c>
      <c r="J726" s="22"/>
      <c r="K726" s="22" t="s">
        <v>3186</v>
      </c>
      <c r="L726" s="22" t="s">
        <v>25</v>
      </c>
      <c r="M726" s="22" t="str">
        <f>HYPERLINK("https://ceds.ed.gov/cedselementdetails.aspx?termid=21083")</f>
        <v>https://ceds.ed.gov/cedselementdetails.aspx?termid=21083</v>
      </c>
    </row>
    <row r="727" spans="1:13" ht="409.6" x14ac:dyDescent="0.3">
      <c r="A727" s="22" t="s">
        <v>3187</v>
      </c>
      <c r="B727" s="22" t="s">
        <v>3188</v>
      </c>
      <c r="C727" s="26" t="s">
        <v>8801</v>
      </c>
      <c r="D727" s="24" t="s">
        <v>3175</v>
      </c>
      <c r="E727" s="22"/>
      <c r="F727" s="22"/>
      <c r="G727" s="22"/>
      <c r="H727" s="22"/>
      <c r="I727" s="25" t="s">
        <v>3189</v>
      </c>
      <c r="J727" s="22"/>
      <c r="K727" s="22" t="s">
        <v>3190</v>
      </c>
      <c r="L727" s="22" t="s">
        <v>25</v>
      </c>
      <c r="M727" s="22" t="str">
        <f>HYPERLINK("https://ceds.ed.gov/cedselementdetails.aspx?termid=21479")</f>
        <v>https://ceds.ed.gov/cedselementdetails.aspx?termid=21479</v>
      </c>
    </row>
    <row r="728" spans="1:13" ht="259.2" x14ac:dyDescent="0.3">
      <c r="A728" s="22" t="s">
        <v>3191</v>
      </c>
      <c r="B728" s="22" t="s">
        <v>3192</v>
      </c>
      <c r="C728" s="26" t="s">
        <v>8802</v>
      </c>
      <c r="D728" s="24" t="s">
        <v>3175</v>
      </c>
      <c r="E728" s="22"/>
      <c r="F728" s="22"/>
      <c r="G728" s="22"/>
      <c r="H728" s="22"/>
      <c r="I728" s="25" t="s">
        <v>3193</v>
      </c>
      <c r="J728" s="22"/>
      <c r="K728" s="22" t="s">
        <v>3194</v>
      </c>
      <c r="L728" s="22"/>
      <c r="M728" s="22" t="str">
        <f>HYPERLINK("https://ceds.ed.gov/cedselementdetails.aspx?termid=21602")</f>
        <v>https://ceds.ed.gov/cedselementdetails.aspx?termid=21602</v>
      </c>
    </row>
    <row r="729" spans="1:13" ht="216" x14ac:dyDescent="0.3">
      <c r="A729" s="22" t="s">
        <v>3195</v>
      </c>
      <c r="B729" s="22" t="s">
        <v>3196</v>
      </c>
      <c r="C729" s="26" t="s">
        <v>8803</v>
      </c>
      <c r="D729" s="22" t="s">
        <v>3180</v>
      </c>
      <c r="E729" s="22"/>
      <c r="F729" s="22"/>
      <c r="G729" s="22"/>
      <c r="H729" s="22"/>
      <c r="I729" s="25" t="s">
        <v>3197</v>
      </c>
      <c r="J729" s="22"/>
      <c r="K729" s="22" t="s">
        <v>3198</v>
      </c>
      <c r="L729" s="22" t="s">
        <v>226</v>
      </c>
      <c r="M729" s="22" t="str">
        <f>HYPERLINK("https://ceds.ed.gov/cedselementdetails.aspx?termid=21546")</f>
        <v>https://ceds.ed.gov/cedselementdetails.aspx?termid=21546</v>
      </c>
    </row>
    <row r="730" spans="1:13" ht="57.6" x14ac:dyDescent="0.3">
      <c r="A730" s="22" t="s">
        <v>3199</v>
      </c>
      <c r="B730" s="22" t="s">
        <v>3200</v>
      </c>
      <c r="C730" s="26" t="s">
        <v>8804</v>
      </c>
      <c r="D730" s="22" t="s">
        <v>3180</v>
      </c>
      <c r="E730" s="22"/>
      <c r="F730" s="22"/>
      <c r="G730" s="22"/>
      <c r="H730" s="22"/>
      <c r="I730" s="25" t="s">
        <v>3201</v>
      </c>
      <c r="J730" s="22"/>
      <c r="K730" s="22" t="s">
        <v>3202</v>
      </c>
      <c r="L730" s="22" t="s">
        <v>226</v>
      </c>
      <c r="M730" s="22" t="str">
        <f>HYPERLINK("https://ceds.ed.gov/cedselementdetails.aspx?termid=21529")</f>
        <v>https://ceds.ed.gov/cedselementdetails.aspx?termid=21529</v>
      </c>
    </row>
    <row r="731" spans="1:13" ht="158.4" x14ac:dyDescent="0.3">
      <c r="A731" s="22" t="s">
        <v>3203</v>
      </c>
      <c r="B731" s="22" t="s">
        <v>3204</v>
      </c>
      <c r="C731" s="26" t="s">
        <v>8805</v>
      </c>
      <c r="D731" s="24" t="s">
        <v>3175</v>
      </c>
      <c r="E731" s="22"/>
      <c r="F731" s="22"/>
      <c r="G731" s="22"/>
      <c r="H731" s="22"/>
      <c r="I731" s="25" t="s">
        <v>3205</v>
      </c>
      <c r="J731" s="22"/>
      <c r="K731" s="22" t="s">
        <v>3206</v>
      </c>
      <c r="L731" s="22" t="s">
        <v>226</v>
      </c>
      <c r="M731" s="22" t="str">
        <f>HYPERLINK("https://ceds.ed.gov/cedselementdetails.aspx?termid=21536")</f>
        <v>https://ceds.ed.gov/cedselementdetails.aspx?termid=21536</v>
      </c>
    </row>
    <row r="732" spans="1:13" ht="43.2" x14ac:dyDescent="0.3">
      <c r="A732" s="22" t="s">
        <v>3207</v>
      </c>
      <c r="B732" s="22" t="s">
        <v>3208</v>
      </c>
      <c r="C732" s="26" t="s">
        <v>22</v>
      </c>
      <c r="D732" s="22" t="s">
        <v>3209</v>
      </c>
      <c r="E732" s="22"/>
      <c r="F732" s="22"/>
      <c r="G732" s="22"/>
      <c r="H732" s="22"/>
      <c r="I732" s="25" t="s">
        <v>3210</v>
      </c>
      <c r="J732" s="22"/>
      <c r="K732" s="22" t="s">
        <v>3211</v>
      </c>
      <c r="L732" s="22"/>
      <c r="M732" s="22" t="str">
        <f>HYPERLINK("https://ceds.ed.gov/cedselementdetails.aspx?termid=21759")</f>
        <v>https://ceds.ed.gov/cedselementdetails.aspx?termid=21759</v>
      </c>
    </row>
    <row r="733" spans="1:13" ht="43.2" x14ac:dyDescent="0.3">
      <c r="A733" s="22" t="s">
        <v>3212</v>
      </c>
      <c r="B733" s="22" t="s">
        <v>3213</v>
      </c>
      <c r="C733" s="26" t="s">
        <v>22</v>
      </c>
      <c r="D733" s="24" t="s">
        <v>3151</v>
      </c>
      <c r="E733" s="22"/>
      <c r="F733" s="22"/>
      <c r="G733" s="22"/>
      <c r="H733" s="22"/>
      <c r="I733" s="25" t="s">
        <v>3215</v>
      </c>
      <c r="J733" s="22"/>
      <c r="K733" s="22" t="s">
        <v>3216</v>
      </c>
      <c r="L733" s="22"/>
      <c r="M733" s="22" t="str">
        <f>HYPERLINK("https://ceds.ed.gov/cedselementdetails.aspx?termid=21603")</f>
        <v>https://ceds.ed.gov/cedselementdetails.aspx?termid=21603</v>
      </c>
    </row>
    <row r="734" spans="1:13" ht="100.8" x14ac:dyDescent="0.3">
      <c r="A734" s="22" t="s">
        <v>3217</v>
      </c>
      <c r="B734" s="22" t="s">
        <v>8080</v>
      </c>
      <c r="C734" s="26" t="s">
        <v>8806</v>
      </c>
      <c r="D734" s="22" t="s">
        <v>3218</v>
      </c>
      <c r="E734" s="22"/>
      <c r="F734" s="22"/>
      <c r="G734" s="22"/>
      <c r="H734" s="22" t="s">
        <v>3219</v>
      </c>
      <c r="I734" s="25" t="s">
        <v>3220</v>
      </c>
      <c r="J734" s="22"/>
      <c r="K734" s="22" t="s">
        <v>3221</v>
      </c>
      <c r="L734" s="22" t="s">
        <v>3222</v>
      </c>
      <c r="M734" s="22" t="str">
        <f>HYPERLINK("https://ceds.ed.gov/cedselementdetails.aspx?termid=21704")</f>
        <v>https://ceds.ed.gov/cedselementdetails.aspx?termid=21704</v>
      </c>
    </row>
    <row r="735" spans="1:13" ht="43.2" x14ac:dyDescent="0.3">
      <c r="A735" s="22" t="s">
        <v>3223</v>
      </c>
      <c r="B735" s="22" t="s">
        <v>3224</v>
      </c>
      <c r="C735" s="26" t="s">
        <v>22</v>
      </c>
      <c r="D735" s="24" t="s">
        <v>3225</v>
      </c>
      <c r="E735" s="22"/>
      <c r="F735" s="22"/>
      <c r="G735" s="22"/>
      <c r="H735" s="22" t="s">
        <v>3219</v>
      </c>
      <c r="I735" s="25" t="s">
        <v>3226</v>
      </c>
      <c r="J735" s="22"/>
      <c r="K735" s="22" t="s">
        <v>3227</v>
      </c>
      <c r="L735" s="22"/>
      <c r="M735" s="22" t="str">
        <f>HYPERLINK("https://ceds.ed.gov/cedselementdetails.aspx?termid=22289")</f>
        <v>https://ceds.ed.gov/cedselementdetails.aspx?termid=22289</v>
      </c>
    </row>
    <row r="736" spans="1:13" ht="409.6" x14ac:dyDescent="0.3">
      <c r="A736" s="22" t="s">
        <v>3228</v>
      </c>
      <c r="B736" s="22" t="s">
        <v>3229</v>
      </c>
      <c r="C736" s="26" t="s">
        <v>3039</v>
      </c>
      <c r="D736" s="24" t="s">
        <v>8425</v>
      </c>
      <c r="E736" s="22" t="s">
        <v>172</v>
      </c>
      <c r="F736" s="22"/>
      <c r="G736" s="22" t="s">
        <v>7946</v>
      </c>
      <c r="H736" s="22"/>
      <c r="I736" s="25" t="s">
        <v>3230</v>
      </c>
      <c r="J736" s="22"/>
      <c r="K736" s="22" t="s">
        <v>3231</v>
      </c>
      <c r="L736" s="22"/>
      <c r="M736" s="22" t="str">
        <f>HYPERLINK("https://ceds.ed.gov/cedselementdetails.aspx?termid=22905")</f>
        <v>https://ceds.ed.gov/cedselementdetails.aspx?termid=22905</v>
      </c>
    </row>
    <row r="737" spans="1:13" ht="72" x14ac:dyDescent="0.3">
      <c r="A737" s="22" t="s">
        <v>3232</v>
      </c>
      <c r="B737" s="22" t="s">
        <v>3233</v>
      </c>
      <c r="C737" s="26" t="s">
        <v>8807</v>
      </c>
      <c r="D737" s="22" t="s">
        <v>3234</v>
      </c>
      <c r="E737" s="22"/>
      <c r="F737" s="22"/>
      <c r="G737" s="22"/>
      <c r="H737" s="22"/>
      <c r="I737" s="25" t="s">
        <v>3235</v>
      </c>
      <c r="J737" s="22"/>
      <c r="K737" s="22" t="s">
        <v>3236</v>
      </c>
      <c r="L737" s="22"/>
      <c r="M737" s="22" t="str">
        <f>HYPERLINK("https://ceds.ed.gov/cedselementdetails.aspx?termid=22290")</f>
        <v>https://ceds.ed.gov/cedselementdetails.aspx?termid=22290</v>
      </c>
    </row>
    <row r="738" spans="1:13" x14ac:dyDescent="0.3">
      <c r="A738" s="22" t="s">
        <v>3237</v>
      </c>
      <c r="B738" s="22" t="s">
        <v>3238</v>
      </c>
      <c r="C738" s="23" t="s">
        <v>32</v>
      </c>
      <c r="D738" s="22" t="s">
        <v>3234</v>
      </c>
      <c r="E738" s="22"/>
      <c r="F738" s="22" t="s">
        <v>118</v>
      </c>
      <c r="G738" s="22"/>
      <c r="H738" s="22"/>
      <c r="I738" s="25" t="s">
        <v>3239</v>
      </c>
      <c r="J738" s="22"/>
      <c r="K738" s="22" t="s">
        <v>3240</v>
      </c>
      <c r="L738" s="22"/>
      <c r="M738" s="22" t="str">
        <f>HYPERLINK("https://ceds.ed.gov/cedselementdetails.aspx?termid=22291")</f>
        <v>https://ceds.ed.gov/cedselementdetails.aspx?termid=22291</v>
      </c>
    </row>
    <row r="739" spans="1:13" x14ac:dyDescent="0.3">
      <c r="A739" s="22" t="s">
        <v>3241</v>
      </c>
      <c r="B739" s="22" t="s">
        <v>3242</v>
      </c>
      <c r="C739" s="23" t="s">
        <v>32</v>
      </c>
      <c r="D739" s="22" t="s">
        <v>3234</v>
      </c>
      <c r="E739" s="22"/>
      <c r="F739" s="22" t="s">
        <v>118</v>
      </c>
      <c r="G739" s="22"/>
      <c r="H739" s="22"/>
      <c r="I739" s="25" t="s">
        <v>3243</v>
      </c>
      <c r="J739" s="22"/>
      <c r="K739" s="22" t="s">
        <v>3244</v>
      </c>
      <c r="L739" s="22"/>
      <c r="M739" s="22" t="str">
        <f>HYPERLINK("https://ceds.ed.gov/cedselementdetails.aspx?termid=22292")</f>
        <v>https://ceds.ed.gov/cedselementdetails.aspx?termid=22292</v>
      </c>
    </row>
    <row r="740" spans="1:13" ht="129.6" x14ac:dyDescent="0.3">
      <c r="A740" s="22" t="s">
        <v>3245</v>
      </c>
      <c r="B740" s="22" t="s">
        <v>3246</v>
      </c>
      <c r="C740" s="26" t="s">
        <v>8808</v>
      </c>
      <c r="D740" s="22" t="s">
        <v>3234</v>
      </c>
      <c r="E740" s="22"/>
      <c r="F740" s="22"/>
      <c r="G740" s="22"/>
      <c r="H740" s="22"/>
      <c r="I740" s="25" t="s">
        <v>3247</v>
      </c>
      <c r="J740" s="22"/>
      <c r="K740" s="22" t="s">
        <v>3248</v>
      </c>
      <c r="L740" s="22"/>
      <c r="M740" s="22" t="str">
        <f>HYPERLINK("https://ceds.ed.gov/cedselementdetails.aspx?termid=22293")</f>
        <v>https://ceds.ed.gov/cedselementdetails.aspx?termid=22293</v>
      </c>
    </row>
    <row r="741" spans="1:13" ht="144" x14ac:dyDescent="0.3">
      <c r="A741" s="22" t="s">
        <v>3249</v>
      </c>
      <c r="B741" s="22" t="s">
        <v>3250</v>
      </c>
      <c r="C741" s="26" t="s">
        <v>8809</v>
      </c>
      <c r="D741" s="24" t="s">
        <v>3251</v>
      </c>
      <c r="E741" s="22"/>
      <c r="F741" s="22"/>
      <c r="G741" s="22"/>
      <c r="H741" s="22" t="s">
        <v>8081</v>
      </c>
      <c r="I741" s="25" t="s">
        <v>3252</v>
      </c>
      <c r="J741" s="22"/>
      <c r="K741" s="22" t="s">
        <v>3253</v>
      </c>
      <c r="L741" s="22"/>
      <c r="M741" s="22" t="str">
        <f>HYPERLINK("https://ceds.ed.gov/cedselementdetails.aspx?termid=22622")</f>
        <v>https://ceds.ed.gov/cedselementdetails.aspx?termid=22622</v>
      </c>
    </row>
    <row r="742" spans="1:13" x14ac:dyDescent="0.3">
      <c r="A742" s="22" t="s">
        <v>3254</v>
      </c>
      <c r="B742" s="22" t="s">
        <v>8082</v>
      </c>
      <c r="C742" s="23" t="s">
        <v>32</v>
      </c>
      <c r="D742" s="22" t="s">
        <v>316</v>
      </c>
      <c r="E742" s="22"/>
      <c r="F742" s="22" t="s">
        <v>1518</v>
      </c>
      <c r="G742" s="22"/>
      <c r="H742" s="22"/>
      <c r="I742" s="25" t="s">
        <v>3255</v>
      </c>
      <c r="J742" s="22"/>
      <c r="K742" s="22" t="s">
        <v>3256</v>
      </c>
      <c r="L742" s="22" t="s">
        <v>58</v>
      </c>
      <c r="M742" s="22" t="str">
        <f>HYPERLINK("https://ceds.ed.gov/cedselementdetails.aspx?termid=21085")</f>
        <v>https://ceds.ed.gov/cedselementdetails.aspx?termid=21085</v>
      </c>
    </row>
    <row r="743" spans="1:13" ht="43.2" x14ac:dyDescent="0.3">
      <c r="A743" s="22" t="s">
        <v>3257</v>
      </c>
      <c r="B743" s="22" t="s">
        <v>3258</v>
      </c>
      <c r="C743" s="23" t="s">
        <v>32</v>
      </c>
      <c r="D743" s="24" t="s">
        <v>8426</v>
      </c>
      <c r="E743" s="22" t="s">
        <v>172</v>
      </c>
      <c r="F743" s="22" t="s">
        <v>1699</v>
      </c>
      <c r="G743" s="22" t="s">
        <v>8050</v>
      </c>
      <c r="H743" s="22"/>
      <c r="I743" s="25" t="s">
        <v>3259</v>
      </c>
      <c r="J743" s="22"/>
      <c r="K743" s="22" t="s">
        <v>3260</v>
      </c>
      <c r="L743" s="22"/>
      <c r="M743" s="22" t="str">
        <f>HYPERLINK("https://ceds.ed.gov/cedselementdetails.aspx?termid=22697")</f>
        <v>https://ceds.ed.gov/cedselementdetails.aspx?termid=22697</v>
      </c>
    </row>
    <row r="744" spans="1:13" ht="43.2" x14ac:dyDescent="0.3">
      <c r="A744" s="22" t="s">
        <v>3261</v>
      </c>
      <c r="B744" s="22" t="s">
        <v>3262</v>
      </c>
      <c r="C744" s="23" t="s">
        <v>32</v>
      </c>
      <c r="D744" s="24" t="s">
        <v>3175</v>
      </c>
      <c r="E744" s="22"/>
      <c r="F744" s="22" t="s">
        <v>1518</v>
      </c>
      <c r="G744" s="22"/>
      <c r="H744" s="22"/>
      <c r="I744" s="25" t="s">
        <v>3263</v>
      </c>
      <c r="J744" s="22"/>
      <c r="K744" s="22" t="s">
        <v>3264</v>
      </c>
      <c r="L744" s="22"/>
      <c r="M744" s="22" t="str">
        <f>HYPERLINK("https://ceds.ed.gov/cedselementdetails.aspx?termid=21502")</f>
        <v>https://ceds.ed.gov/cedselementdetails.aspx?termid=21502</v>
      </c>
    </row>
    <row r="745" spans="1:13" ht="172.8" x14ac:dyDescent="0.3">
      <c r="A745" s="22" t="s">
        <v>3265</v>
      </c>
      <c r="B745" s="22" t="s">
        <v>3266</v>
      </c>
      <c r="C745" s="26" t="s">
        <v>8810</v>
      </c>
      <c r="D745" s="22" t="s">
        <v>8036</v>
      </c>
      <c r="E745" s="22"/>
      <c r="F745" s="22"/>
      <c r="G745" s="22"/>
      <c r="H745" s="22"/>
      <c r="I745" s="25" t="s">
        <v>3267</v>
      </c>
      <c r="J745" s="22"/>
      <c r="K745" s="22" t="s">
        <v>3268</v>
      </c>
      <c r="L745" s="24" t="s">
        <v>3077</v>
      </c>
      <c r="M745" s="22" t="str">
        <f>HYPERLINK("https://ceds.ed.gov/cedselementdetails.aspx?termid=21344")</f>
        <v>https://ceds.ed.gov/cedselementdetails.aspx?termid=21344</v>
      </c>
    </row>
    <row r="746" spans="1:13" ht="43.2" x14ac:dyDescent="0.3">
      <c r="A746" s="22" t="s">
        <v>3269</v>
      </c>
      <c r="B746" s="22" t="s">
        <v>3270</v>
      </c>
      <c r="C746" s="26" t="s">
        <v>22</v>
      </c>
      <c r="D746" s="22" t="s">
        <v>8083</v>
      </c>
      <c r="E746" s="22"/>
      <c r="F746" s="22"/>
      <c r="G746" s="22"/>
      <c r="H746" s="22"/>
      <c r="I746" s="25" t="s">
        <v>3271</v>
      </c>
      <c r="J746" s="22"/>
      <c r="K746" s="22" t="s">
        <v>3272</v>
      </c>
      <c r="L746" s="22" t="s">
        <v>207</v>
      </c>
      <c r="M746" s="22" t="str">
        <f>HYPERLINK("https://ceds.ed.gov/cedselementdetails.aspx?termid=21786")</f>
        <v>https://ceds.ed.gov/cedselementdetails.aspx?termid=21786</v>
      </c>
    </row>
    <row r="747" spans="1:13" ht="43.2" x14ac:dyDescent="0.3">
      <c r="A747" s="22" t="s">
        <v>3273</v>
      </c>
      <c r="B747" s="22" t="s">
        <v>3274</v>
      </c>
      <c r="C747" s="26" t="s">
        <v>22</v>
      </c>
      <c r="D747" s="22" t="s">
        <v>8084</v>
      </c>
      <c r="E747" s="22"/>
      <c r="F747" s="22"/>
      <c r="G747" s="22"/>
      <c r="H747" s="22"/>
      <c r="I747" s="25" t="s">
        <v>3275</v>
      </c>
      <c r="J747" s="22"/>
      <c r="K747" s="22" t="s">
        <v>3276</v>
      </c>
      <c r="L747" s="22"/>
      <c r="M747" s="22" t="str">
        <f>HYPERLINK("https://ceds.ed.gov/cedselementdetails.aspx?termid=22570")</f>
        <v>https://ceds.ed.gov/cedselementdetails.aspx?termid=22570</v>
      </c>
    </row>
    <row r="748" spans="1:13" ht="201.6" x14ac:dyDescent="0.3">
      <c r="A748" s="22" t="s">
        <v>3277</v>
      </c>
      <c r="B748" s="22" t="s">
        <v>3278</v>
      </c>
      <c r="C748" s="26" t="s">
        <v>8811</v>
      </c>
      <c r="D748" s="24" t="s">
        <v>8731</v>
      </c>
      <c r="E748" s="22"/>
      <c r="F748" s="22"/>
      <c r="G748" s="22"/>
      <c r="H748" s="22"/>
      <c r="I748" s="25" t="s">
        <v>3279</v>
      </c>
      <c r="J748" s="22"/>
      <c r="K748" s="22" t="s">
        <v>3280</v>
      </c>
      <c r="L748" s="22" t="s">
        <v>109</v>
      </c>
      <c r="M748" s="22" t="str">
        <f>HYPERLINK("https://ceds.ed.gov/cedselementdetails.aspx?termid=21829")</f>
        <v>https://ceds.ed.gov/cedselementdetails.aspx?termid=21829</v>
      </c>
    </row>
    <row r="749" spans="1:13" ht="316.8" x14ac:dyDescent="0.3">
      <c r="A749" s="22" t="s">
        <v>3281</v>
      </c>
      <c r="B749" s="22" t="s">
        <v>3282</v>
      </c>
      <c r="C749" s="26" t="s">
        <v>8812</v>
      </c>
      <c r="D749" s="22" t="s">
        <v>8084</v>
      </c>
      <c r="E749" s="22"/>
      <c r="F749" s="22"/>
      <c r="G749" s="22"/>
      <c r="H749" s="22"/>
      <c r="I749" s="25" t="s">
        <v>3283</v>
      </c>
      <c r="J749" s="22"/>
      <c r="K749" s="22" t="s">
        <v>3284</v>
      </c>
      <c r="L749" s="22"/>
      <c r="M749" s="22" t="str">
        <f>HYPERLINK("https://ceds.ed.gov/cedselementdetails.aspx?termid=22529")</f>
        <v>https://ceds.ed.gov/cedselementdetails.aspx?termid=22529</v>
      </c>
    </row>
    <row r="750" spans="1:13" ht="316.8" x14ac:dyDescent="0.3">
      <c r="A750" s="22" t="s">
        <v>3285</v>
      </c>
      <c r="B750" s="22" t="s">
        <v>3286</v>
      </c>
      <c r="C750" s="26" t="s">
        <v>8812</v>
      </c>
      <c r="D750" s="22" t="s">
        <v>8084</v>
      </c>
      <c r="E750" s="22"/>
      <c r="F750" s="22"/>
      <c r="G750" s="22"/>
      <c r="H750" s="22"/>
      <c r="I750" s="25" t="s">
        <v>3287</v>
      </c>
      <c r="J750" s="22"/>
      <c r="K750" s="22" t="s">
        <v>3288</v>
      </c>
      <c r="L750" s="22" t="s">
        <v>2015</v>
      </c>
      <c r="M750" s="22" t="str">
        <f>HYPERLINK("https://ceds.ed.gov/cedselementdetails.aspx?termid=21321")</f>
        <v>https://ceds.ed.gov/cedselementdetails.aspx?termid=21321</v>
      </c>
    </row>
    <row r="751" spans="1:13" ht="172.8" x14ac:dyDescent="0.3">
      <c r="A751" s="22" t="s">
        <v>3289</v>
      </c>
      <c r="B751" s="22" t="s">
        <v>8085</v>
      </c>
      <c r="C751" s="26" t="s">
        <v>8813</v>
      </c>
      <c r="D751" s="24" t="s">
        <v>8783</v>
      </c>
      <c r="E751" s="22"/>
      <c r="F751" s="22"/>
      <c r="G751" s="22"/>
      <c r="H751" s="22"/>
      <c r="I751" s="25" t="s">
        <v>3290</v>
      </c>
      <c r="J751" s="22"/>
      <c r="K751" s="22" t="s">
        <v>3291</v>
      </c>
      <c r="L751" s="24" t="s">
        <v>3059</v>
      </c>
      <c r="M751" s="22" t="str">
        <f>HYPERLINK("https://ceds.ed.gov/cedselementdetails.aspx?termid=21355")</f>
        <v>https://ceds.ed.gov/cedselementdetails.aspx?termid=21355</v>
      </c>
    </row>
    <row r="752" spans="1:13" ht="43.2" x14ac:dyDescent="0.3">
      <c r="A752" s="22" t="s">
        <v>8086</v>
      </c>
      <c r="B752" s="22" t="s">
        <v>8087</v>
      </c>
      <c r="C752" s="23" t="s">
        <v>32</v>
      </c>
      <c r="D752" s="24" t="s">
        <v>8386</v>
      </c>
      <c r="E752" s="22" t="s">
        <v>167</v>
      </c>
      <c r="F752" s="22" t="s">
        <v>148</v>
      </c>
      <c r="G752" s="22" t="s">
        <v>7949</v>
      </c>
      <c r="H752" s="22"/>
      <c r="I752" s="25" t="s">
        <v>8355</v>
      </c>
      <c r="J752" s="22"/>
      <c r="K752" s="22" t="s">
        <v>8088</v>
      </c>
      <c r="L752" s="22"/>
      <c r="M752" s="22" t="str">
        <f>HYPERLINK("https://ceds.ed.gov/cedselementdetails.aspx?termid=22976")</f>
        <v>https://ceds.ed.gov/cedselementdetails.aspx?termid=22976</v>
      </c>
    </row>
    <row r="753" spans="1:13" ht="43.2" x14ac:dyDescent="0.3">
      <c r="A753" s="22" t="s">
        <v>8089</v>
      </c>
      <c r="B753" s="22" t="s">
        <v>8090</v>
      </c>
      <c r="C753" s="23" t="s">
        <v>32</v>
      </c>
      <c r="D753" s="24" t="s">
        <v>8386</v>
      </c>
      <c r="E753" s="22" t="s">
        <v>167</v>
      </c>
      <c r="F753" s="22" t="s">
        <v>148</v>
      </c>
      <c r="G753" s="22" t="s">
        <v>7949</v>
      </c>
      <c r="H753" s="22"/>
      <c r="I753" s="25" t="s">
        <v>8356</v>
      </c>
      <c r="J753" s="22"/>
      <c r="K753" s="22" t="s">
        <v>8091</v>
      </c>
      <c r="L753" s="22"/>
      <c r="M753" s="22" t="str">
        <f>HYPERLINK("https://ceds.ed.gov/cedselementdetails.aspx?termid=22977")</f>
        <v>https://ceds.ed.gov/cedselementdetails.aspx?termid=22977</v>
      </c>
    </row>
    <row r="754" spans="1:13" x14ac:dyDescent="0.3">
      <c r="A754" s="22" t="s">
        <v>3292</v>
      </c>
      <c r="B754" s="22" t="s">
        <v>3293</v>
      </c>
      <c r="C754" s="23" t="s">
        <v>32</v>
      </c>
      <c r="D754" s="22" t="s">
        <v>8092</v>
      </c>
      <c r="E754" s="22"/>
      <c r="F754" s="22" t="s">
        <v>132</v>
      </c>
      <c r="G754" s="22"/>
      <c r="H754" s="22" t="s">
        <v>7945</v>
      </c>
      <c r="I754" s="25" t="s">
        <v>3294</v>
      </c>
      <c r="J754" s="22"/>
      <c r="K754" s="22" t="s">
        <v>3295</v>
      </c>
      <c r="L754" s="22"/>
      <c r="M754" s="22" t="str">
        <f>HYPERLINK("https://ceds.ed.gov/cedselementdetails.aspx?termid=22576")</f>
        <v>https://ceds.ed.gov/cedselementdetails.aspx?termid=22576</v>
      </c>
    </row>
    <row r="755" spans="1:13" ht="43.2" x14ac:dyDescent="0.3">
      <c r="A755" s="22" t="s">
        <v>3296</v>
      </c>
      <c r="B755" s="22" t="s">
        <v>3297</v>
      </c>
      <c r="C755" s="26" t="s">
        <v>22</v>
      </c>
      <c r="D755" s="22" t="s">
        <v>8092</v>
      </c>
      <c r="E755" s="22"/>
      <c r="F755" s="22"/>
      <c r="G755" s="22"/>
      <c r="H755" s="22"/>
      <c r="I755" s="25" t="s">
        <v>3298</v>
      </c>
      <c r="J755" s="22"/>
      <c r="K755" s="22" t="s">
        <v>3299</v>
      </c>
      <c r="L755" s="22"/>
      <c r="M755" s="22" t="str">
        <f>HYPERLINK("https://ceds.ed.gov/cedselementdetails.aspx?termid=22578")</f>
        <v>https://ceds.ed.gov/cedselementdetails.aspx?termid=22578</v>
      </c>
    </row>
    <row r="756" spans="1:13" ht="144" x14ac:dyDescent="0.3">
      <c r="A756" s="22" t="s">
        <v>3300</v>
      </c>
      <c r="B756" s="22" t="s">
        <v>3301</v>
      </c>
      <c r="C756" s="26" t="s">
        <v>8814</v>
      </c>
      <c r="D756" s="22" t="s">
        <v>8093</v>
      </c>
      <c r="E756" s="22"/>
      <c r="F756" s="22" t="s">
        <v>157</v>
      </c>
      <c r="G756" s="22"/>
      <c r="H756" s="22"/>
      <c r="I756" s="25" t="s">
        <v>3302</v>
      </c>
      <c r="J756" s="22"/>
      <c r="K756" s="22" t="s">
        <v>3303</v>
      </c>
      <c r="L756" s="22" t="s">
        <v>109</v>
      </c>
      <c r="M756" s="22" t="str">
        <f>HYPERLINK("https://ceds.ed.gov/cedselementdetails.aspx?termid=21822")</f>
        <v>https://ceds.ed.gov/cedselementdetails.aspx?termid=21822</v>
      </c>
    </row>
    <row r="757" spans="1:13" ht="57.6" x14ac:dyDescent="0.3">
      <c r="A757" s="22" t="s">
        <v>3304</v>
      </c>
      <c r="B757" s="22" t="s">
        <v>3305</v>
      </c>
      <c r="C757" s="23" t="s">
        <v>32</v>
      </c>
      <c r="D757" s="22" t="s">
        <v>8093</v>
      </c>
      <c r="E757" s="22"/>
      <c r="F757" s="22" t="s">
        <v>132</v>
      </c>
      <c r="G757" s="22"/>
      <c r="H757" s="22" t="s">
        <v>7945</v>
      </c>
      <c r="I757" s="25" t="s">
        <v>3306</v>
      </c>
      <c r="J757" s="22"/>
      <c r="K757" s="22" t="s">
        <v>3307</v>
      </c>
      <c r="L757" s="24" t="s">
        <v>2020</v>
      </c>
      <c r="M757" s="22" t="str">
        <f>HYPERLINK("https://ceds.ed.gov/cedselementdetails.aspx?termid=21819")</f>
        <v>https://ceds.ed.gov/cedselementdetails.aspx?termid=21819</v>
      </c>
    </row>
    <row r="758" spans="1:13" ht="57.6" x14ac:dyDescent="0.3">
      <c r="A758" s="22" t="s">
        <v>3308</v>
      </c>
      <c r="B758" s="22" t="s">
        <v>3309</v>
      </c>
      <c r="C758" s="23" t="s">
        <v>32</v>
      </c>
      <c r="D758" s="22" t="s">
        <v>8093</v>
      </c>
      <c r="E758" s="22"/>
      <c r="F758" s="22" t="s">
        <v>157</v>
      </c>
      <c r="G758" s="22"/>
      <c r="H758" s="22"/>
      <c r="I758" s="25" t="s">
        <v>3310</v>
      </c>
      <c r="J758" s="22"/>
      <c r="K758" s="22" t="s">
        <v>3311</v>
      </c>
      <c r="L758" s="24" t="s">
        <v>2020</v>
      </c>
      <c r="M758" s="22" t="str">
        <f>HYPERLINK("https://ceds.ed.gov/cedselementdetails.aspx?termid=21820")</f>
        <v>https://ceds.ed.gov/cedselementdetails.aspx?termid=21820</v>
      </c>
    </row>
    <row r="759" spans="1:13" ht="129.6" x14ac:dyDescent="0.3">
      <c r="A759" s="22" t="s">
        <v>3312</v>
      </c>
      <c r="B759" s="22" t="s">
        <v>3313</v>
      </c>
      <c r="C759" s="26" t="s">
        <v>8815</v>
      </c>
      <c r="D759" s="22" t="s">
        <v>8033</v>
      </c>
      <c r="E759" s="22"/>
      <c r="F759" s="22"/>
      <c r="G759" s="22"/>
      <c r="H759" s="22"/>
      <c r="I759" s="25" t="s">
        <v>3314</v>
      </c>
      <c r="J759" s="22"/>
      <c r="K759" s="22" t="s">
        <v>3315</v>
      </c>
      <c r="L759" s="22" t="s">
        <v>207</v>
      </c>
      <c r="M759" s="22" t="str">
        <f>HYPERLINK("https://ceds.ed.gov/cedselementdetails.aspx?termid=21812")</f>
        <v>https://ceds.ed.gov/cedselementdetails.aspx?termid=21812</v>
      </c>
    </row>
    <row r="760" spans="1:13" ht="409.6" x14ac:dyDescent="0.3">
      <c r="A760" s="22" t="s">
        <v>3316</v>
      </c>
      <c r="B760" s="22" t="s">
        <v>3317</v>
      </c>
      <c r="C760" s="26" t="s">
        <v>8816</v>
      </c>
      <c r="D760" s="22" t="s">
        <v>8094</v>
      </c>
      <c r="E760" s="22"/>
      <c r="F760" s="22"/>
      <c r="G760" s="22"/>
      <c r="H760" s="22"/>
      <c r="I760" s="25" t="s">
        <v>3318</v>
      </c>
      <c r="J760" s="22"/>
      <c r="K760" s="22" t="s">
        <v>3319</v>
      </c>
      <c r="L760" s="22"/>
      <c r="M760" s="22" t="str">
        <f>HYPERLINK("https://ceds.ed.gov/cedselementdetails.aspx?termid=22581")</f>
        <v>https://ceds.ed.gov/cedselementdetails.aspx?termid=22581</v>
      </c>
    </row>
    <row r="761" spans="1:13" ht="360" x14ac:dyDescent="0.3">
      <c r="A761" s="22" t="s">
        <v>3320</v>
      </c>
      <c r="B761" s="22" t="s">
        <v>3321</v>
      </c>
      <c r="C761" s="26" t="s">
        <v>8817</v>
      </c>
      <c r="D761" s="22" t="s">
        <v>8094</v>
      </c>
      <c r="E761" s="22"/>
      <c r="F761" s="22"/>
      <c r="G761" s="22"/>
      <c r="H761" s="22"/>
      <c r="I761" s="25" t="s">
        <v>3322</v>
      </c>
      <c r="J761" s="22"/>
      <c r="K761" s="22" t="s">
        <v>3323</v>
      </c>
      <c r="L761" s="22"/>
      <c r="M761" s="22" t="str">
        <f>HYPERLINK("https://ceds.ed.gov/cedselementdetails.aspx?termid=22613")</f>
        <v>https://ceds.ed.gov/cedselementdetails.aspx?termid=22613</v>
      </c>
    </row>
    <row r="762" spans="1:13" x14ac:dyDescent="0.3">
      <c r="A762" s="22" t="s">
        <v>3324</v>
      </c>
      <c r="B762" s="22" t="s">
        <v>3325</v>
      </c>
      <c r="C762" s="23" t="s">
        <v>32</v>
      </c>
      <c r="D762" s="22" t="s">
        <v>8092</v>
      </c>
      <c r="E762" s="22"/>
      <c r="F762" s="22" t="s">
        <v>132</v>
      </c>
      <c r="G762" s="22"/>
      <c r="H762" s="22" t="s">
        <v>7945</v>
      </c>
      <c r="I762" s="25" t="s">
        <v>3326</v>
      </c>
      <c r="J762" s="22"/>
      <c r="K762" s="22" t="s">
        <v>3327</v>
      </c>
      <c r="L762" s="22"/>
      <c r="M762" s="22" t="str">
        <f>HYPERLINK("https://ceds.ed.gov/cedselementdetails.aspx?termid=22572")</f>
        <v>https://ceds.ed.gov/cedselementdetails.aspx?termid=22572</v>
      </c>
    </row>
    <row r="763" spans="1:13" x14ac:dyDescent="0.3">
      <c r="A763" s="22" t="s">
        <v>3328</v>
      </c>
      <c r="B763" s="22" t="s">
        <v>3329</v>
      </c>
      <c r="C763" s="23" t="s">
        <v>32</v>
      </c>
      <c r="D763" s="22" t="s">
        <v>8092</v>
      </c>
      <c r="E763" s="22"/>
      <c r="F763" s="22" t="s">
        <v>157</v>
      </c>
      <c r="G763" s="22"/>
      <c r="H763" s="22"/>
      <c r="I763" s="25" t="s">
        <v>3330</v>
      </c>
      <c r="J763" s="22"/>
      <c r="K763" s="22" t="s">
        <v>3331</v>
      </c>
      <c r="L763" s="22"/>
      <c r="M763" s="22" t="str">
        <f>HYPERLINK("https://ceds.ed.gov/cedselementdetails.aspx?termid=22573")</f>
        <v>https://ceds.ed.gov/cedselementdetails.aspx?termid=22573</v>
      </c>
    </row>
    <row r="764" spans="1:13" x14ac:dyDescent="0.3">
      <c r="A764" s="22" t="s">
        <v>3332</v>
      </c>
      <c r="B764" s="22" t="s">
        <v>3333</v>
      </c>
      <c r="C764" s="23" t="s">
        <v>32</v>
      </c>
      <c r="D764" s="22" t="s">
        <v>8092</v>
      </c>
      <c r="E764" s="22"/>
      <c r="F764" s="22" t="s">
        <v>780</v>
      </c>
      <c r="G764" s="22"/>
      <c r="H764" s="22"/>
      <c r="I764" s="25" t="s">
        <v>3334</v>
      </c>
      <c r="J764" s="22"/>
      <c r="K764" s="22" t="s">
        <v>3335</v>
      </c>
      <c r="L764" s="22"/>
      <c r="M764" s="22" t="str">
        <f>HYPERLINK("https://ceds.ed.gov/cedselementdetails.aspx?termid=22574")</f>
        <v>https://ceds.ed.gov/cedselementdetails.aspx?termid=22574</v>
      </c>
    </row>
    <row r="765" spans="1:13" x14ac:dyDescent="0.3">
      <c r="A765" s="22" t="s">
        <v>3336</v>
      </c>
      <c r="B765" s="22" t="s">
        <v>3337</v>
      </c>
      <c r="C765" s="23" t="s">
        <v>32</v>
      </c>
      <c r="D765" s="22" t="s">
        <v>8092</v>
      </c>
      <c r="E765" s="22"/>
      <c r="F765" s="22" t="s">
        <v>118</v>
      </c>
      <c r="G765" s="22"/>
      <c r="H765" s="22"/>
      <c r="I765" s="25" t="s">
        <v>3338</v>
      </c>
      <c r="J765" s="22"/>
      <c r="K765" s="22" t="s">
        <v>3339</v>
      </c>
      <c r="L765" s="22"/>
      <c r="M765" s="22" t="str">
        <f>HYPERLINK("https://ceds.ed.gov/cedselementdetails.aspx?termid=22571")</f>
        <v>https://ceds.ed.gov/cedselementdetails.aspx?termid=22571</v>
      </c>
    </row>
    <row r="766" spans="1:13" x14ac:dyDescent="0.3">
      <c r="A766" s="22" t="s">
        <v>3340</v>
      </c>
      <c r="B766" s="22" t="s">
        <v>3341</v>
      </c>
      <c r="C766" s="23" t="s">
        <v>32</v>
      </c>
      <c r="D766" s="22" t="s">
        <v>8092</v>
      </c>
      <c r="E766" s="22"/>
      <c r="F766" s="22" t="s">
        <v>780</v>
      </c>
      <c r="G766" s="22"/>
      <c r="H766" s="22"/>
      <c r="I766" s="25" t="s">
        <v>3342</v>
      </c>
      <c r="J766" s="22"/>
      <c r="K766" s="22" t="s">
        <v>3343</v>
      </c>
      <c r="L766" s="22"/>
      <c r="M766" s="22" t="str">
        <f>HYPERLINK("https://ceds.ed.gov/cedselementdetails.aspx?termid=22579")</f>
        <v>https://ceds.ed.gov/cedselementdetails.aspx?termid=22579</v>
      </c>
    </row>
    <row r="767" spans="1:13" ht="409.6" x14ac:dyDescent="0.3">
      <c r="A767" s="22" t="s">
        <v>3344</v>
      </c>
      <c r="B767" s="22" t="s">
        <v>3345</v>
      </c>
      <c r="C767" s="26" t="s">
        <v>8427</v>
      </c>
      <c r="D767" s="24" t="s">
        <v>8428</v>
      </c>
      <c r="E767" s="22" t="s">
        <v>172</v>
      </c>
      <c r="F767" s="22"/>
      <c r="G767" s="22" t="s">
        <v>7995</v>
      </c>
      <c r="H767" s="22"/>
      <c r="I767" s="25" t="s">
        <v>3346</v>
      </c>
      <c r="J767" s="22"/>
      <c r="K767" s="22" t="s">
        <v>3347</v>
      </c>
      <c r="L767" s="22"/>
      <c r="M767" s="22" t="str">
        <f>HYPERLINK("https://ceds.ed.gov/cedselementdetails.aspx?termid=22294")</f>
        <v>https://ceds.ed.gov/cedselementdetails.aspx?termid=22294</v>
      </c>
    </row>
    <row r="768" spans="1:13" x14ac:dyDescent="0.3">
      <c r="A768" s="22" t="s">
        <v>3348</v>
      </c>
      <c r="B768" s="22" t="s">
        <v>3349</v>
      </c>
      <c r="C768" s="23" t="s">
        <v>32</v>
      </c>
      <c r="D768" s="22" t="s">
        <v>8093</v>
      </c>
      <c r="E768" s="22"/>
      <c r="F768" s="22" t="s">
        <v>317</v>
      </c>
      <c r="G768" s="22"/>
      <c r="H768" s="22"/>
      <c r="I768" s="25" t="s">
        <v>3350</v>
      </c>
      <c r="J768" s="22"/>
      <c r="K768" s="22" t="s">
        <v>3351</v>
      </c>
      <c r="L768" s="22"/>
      <c r="M768" s="22" t="str">
        <f>HYPERLINK("https://ceds.ed.gov/cedselementdetails.aspx?termid=22295")</f>
        <v>https://ceds.ed.gov/cedselementdetails.aspx?termid=22295</v>
      </c>
    </row>
    <row r="769" spans="1:13" ht="129.6" x14ac:dyDescent="0.3">
      <c r="A769" s="22" t="s">
        <v>3352</v>
      </c>
      <c r="B769" s="22" t="s">
        <v>3353</v>
      </c>
      <c r="C769" s="26" t="s">
        <v>8818</v>
      </c>
      <c r="D769" s="22" t="s">
        <v>8093</v>
      </c>
      <c r="E769" s="22"/>
      <c r="F769" s="22"/>
      <c r="G769" s="22"/>
      <c r="H769" s="22"/>
      <c r="I769" s="25" t="s">
        <v>3354</v>
      </c>
      <c r="J769" s="22"/>
      <c r="K769" s="22" t="s">
        <v>3355</v>
      </c>
      <c r="L769" s="22" t="s">
        <v>109</v>
      </c>
      <c r="M769" s="22" t="str">
        <f>HYPERLINK("https://ceds.ed.gov/cedselementdetails.aspx?termid=21823")</f>
        <v>https://ceds.ed.gov/cedselementdetails.aspx?termid=21823</v>
      </c>
    </row>
    <row r="770" spans="1:13" ht="158.4" x14ac:dyDescent="0.3">
      <c r="A770" s="22" t="s">
        <v>3356</v>
      </c>
      <c r="B770" s="22" t="s">
        <v>3357</v>
      </c>
      <c r="C770" s="26" t="s">
        <v>8819</v>
      </c>
      <c r="D770" s="22" t="s">
        <v>1541</v>
      </c>
      <c r="E770" s="22"/>
      <c r="F770" s="22"/>
      <c r="G770" s="22"/>
      <c r="H770" s="22"/>
      <c r="I770" s="25" t="s">
        <v>3358</v>
      </c>
      <c r="J770" s="22"/>
      <c r="K770" s="22" t="s">
        <v>3359</v>
      </c>
      <c r="L770" s="22"/>
      <c r="M770" s="22" t="str">
        <f>HYPERLINK("https://ceds.ed.gov/cedselementdetails.aspx?termid=22582")</f>
        <v>https://ceds.ed.gov/cedselementdetails.aspx?termid=22582</v>
      </c>
    </row>
    <row r="771" spans="1:13" ht="57.6" x14ac:dyDescent="0.3">
      <c r="A771" s="22" t="s">
        <v>3360</v>
      </c>
      <c r="B771" s="22" t="s">
        <v>8095</v>
      </c>
      <c r="C771" s="23" t="s">
        <v>32</v>
      </c>
      <c r="D771" s="24" t="s">
        <v>8783</v>
      </c>
      <c r="E771" s="22"/>
      <c r="F771" s="22" t="s">
        <v>317</v>
      </c>
      <c r="G771" s="22"/>
      <c r="H771" s="22"/>
      <c r="I771" s="25" t="s">
        <v>3361</v>
      </c>
      <c r="J771" s="22"/>
      <c r="K771" s="22" t="s">
        <v>3362</v>
      </c>
      <c r="L771" s="24" t="s">
        <v>3363</v>
      </c>
      <c r="M771" s="22" t="str">
        <f>HYPERLINK("https://ceds.ed.gov/cedselementdetails.aspx?termid=22189")</f>
        <v>https://ceds.ed.gov/cedselementdetails.aspx?termid=22189</v>
      </c>
    </row>
    <row r="772" spans="1:13" ht="115.2" x14ac:dyDescent="0.3">
      <c r="A772" s="22" t="s">
        <v>3364</v>
      </c>
      <c r="B772" s="22" t="s">
        <v>3365</v>
      </c>
      <c r="C772" s="26" t="s">
        <v>8820</v>
      </c>
      <c r="D772" s="24" t="s">
        <v>8428</v>
      </c>
      <c r="E772" s="22"/>
      <c r="F772" s="22"/>
      <c r="G772" s="22"/>
      <c r="H772" s="22"/>
      <c r="I772" s="25" t="s">
        <v>3366</v>
      </c>
      <c r="J772" s="22"/>
      <c r="K772" s="22" t="s">
        <v>3367</v>
      </c>
      <c r="L772" s="22"/>
      <c r="M772" s="22" t="str">
        <f>HYPERLINK("https://ceds.ed.gov/cedselementdetails.aspx?termid=22302")</f>
        <v>https://ceds.ed.gov/cedselementdetails.aspx?termid=22302</v>
      </c>
    </row>
    <row r="773" spans="1:13" ht="72" x14ac:dyDescent="0.3">
      <c r="A773" s="22" t="s">
        <v>3368</v>
      </c>
      <c r="B773" s="22" t="s">
        <v>3369</v>
      </c>
      <c r="C773" s="26" t="s">
        <v>8821</v>
      </c>
      <c r="D773" s="22" t="s">
        <v>8038</v>
      </c>
      <c r="E773" s="22"/>
      <c r="F773" s="22"/>
      <c r="G773" s="22"/>
      <c r="H773" s="22"/>
      <c r="I773" s="25" t="s">
        <v>3370</v>
      </c>
      <c r="J773" s="22"/>
      <c r="K773" s="22" t="s">
        <v>3371</v>
      </c>
      <c r="L773" s="22"/>
      <c r="M773" s="22" t="str">
        <f>HYPERLINK("https://ceds.ed.gov/cedselementdetails.aspx?termid=22303")</f>
        <v>https://ceds.ed.gov/cedselementdetails.aspx?termid=22303</v>
      </c>
    </row>
    <row r="774" spans="1:13" ht="72" x14ac:dyDescent="0.3">
      <c r="A774" s="22" t="s">
        <v>3372</v>
      </c>
      <c r="B774" s="22" t="s">
        <v>3373</v>
      </c>
      <c r="C774" s="26" t="s">
        <v>8822</v>
      </c>
      <c r="D774" s="22" t="s">
        <v>8038</v>
      </c>
      <c r="E774" s="22"/>
      <c r="F774" s="22"/>
      <c r="G774" s="22"/>
      <c r="H774" s="22"/>
      <c r="I774" s="25" t="s">
        <v>3374</v>
      </c>
      <c r="J774" s="22"/>
      <c r="K774" s="22" t="s">
        <v>3375</v>
      </c>
      <c r="L774" s="22"/>
      <c r="M774" s="22" t="str">
        <f>HYPERLINK("https://ceds.ed.gov/cedselementdetails.aspx?termid=22475")</f>
        <v>https://ceds.ed.gov/cedselementdetails.aspx?termid=22475</v>
      </c>
    </row>
    <row r="775" spans="1:13" ht="172.8" x14ac:dyDescent="0.3">
      <c r="A775" s="22" t="s">
        <v>3376</v>
      </c>
      <c r="B775" s="22" t="s">
        <v>3377</v>
      </c>
      <c r="C775" s="26" t="s">
        <v>8823</v>
      </c>
      <c r="D775" s="22" t="s">
        <v>8033</v>
      </c>
      <c r="E775" s="22"/>
      <c r="F775" s="22"/>
      <c r="G775" s="22"/>
      <c r="H775" s="22"/>
      <c r="I775" s="25" t="s">
        <v>3378</v>
      </c>
      <c r="J775" s="22"/>
      <c r="K775" s="22" t="s">
        <v>3379</v>
      </c>
      <c r="L775" s="22"/>
      <c r="M775" s="22" t="str">
        <f>HYPERLINK("https://ceds.ed.gov/cedselementdetails.aspx?termid=22304")</f>
        <v>https://ceds.ed.gov/cedselementdetails.aspx?termid=22304</v>
      </c>
    </row>
    <row r="776" spans="1:13" ht="43.2" x14ac:dyDescent="0.3">
      <c r="A776" s="22" t="s">
        <v>3380</v>
      </c>
      <c r="B776" s="22" t="s">
        <v>3381</v>
      </c>
      <c r="C776" s="23" t="s">
        <v>32</v>
      </c>
      <c r="D776" s="24" t="s">
        <v>8824</v>
      </c>
      <c r="E776" s="22"/>
      <c r="F776" s="22" t="s">
        <v>3382</v>
      </c>
      <c r="G776" s="22"/>
      <c r="H776" s="22"/>
      <c r="I776" s="25" t="s">
        <v>3383</v>
      </c>
      <c r="J776" s="22"/>
      <c r="K776" s="22" t="s">
        <v>3384</v>
      </c>
      <c r="L776" s="24" t="s">
        <v>2063</v>
      </c>
      <c r="M776" s="22" t="str">
        <f>HYPERLINK("https://ceds.ed.gov/cedselementdetails.aspx?termid=21824")</f>
        <v>https://ceds.ed.gov/cedselementdetails.aspx?termid=21824</v>
      </c>
    </row>
    <row r="777" spans="1:13" ht="43.2" x14ac:dyDescent="0.3">
      <c r="A777" s="22" t="s">
        <v>3385</v>
      </c>
      <c r="B777" s="22" t="s">
        <v>3386</v>
      </c>
      <c r="C777" s="26" t="s">
        <v>22</v>
      </c>
      <c r="D777" s="22" t="s">
        <v>8096</v>
      </c>
      <c r="E777" s="22"/>
      <c r="F777" s="22"/>
      <c r="G777" s="22"/>
      <c r="H777" s="22"/>
      <c r="I777" s="25" t="s">
        <v>3387</v>
      </c>
      <c r="J777" s="22"/>
      <c r="K777" s="22" t="s">
        <v>3388</v>
      </c>
      <c r="L777" s="22" t="s">
        <v>109</v>
      </c>
      <c r="M777" s="22" t="str">
        <f>HYPERLINK("https://ceds.ed.gov/cedselementdetails.aspx?termid=21848")</f>
        <v>https://ceds.ed.gov/cedselementdetails.aspx?termid=21848</v>
      </c>
    </row>
    <row r="778" spans="1:13" ht="259.2" x14ac:dyDescent="0.3">
      <c r="A778" s="22" t="s">
        <v>3389</v>
      </c>
      <c r="B778" s="22" t="s">
        <v>3390</v>
      </c>
      <c r="C778" s="26" t="s">
        <v>8825</v>
      </c>
      <c r="D778" s="22" t="s">
        <v>8097</v>
      </c>
      <c r="E778" s="22"/>
      <c r="F778" s="22"/>
      <c r="G778" s="22"/>
      <c r="H778" s="22"/>
      <c r="I778" s="25" t="s">
        <v>3391</v>
      </c>
      <c r="J778" s="22"/>
      <c r="K778" s="22" t="s">
        <v>3392</v>
      </c>
      <c r="L778" s="22" t="s">
        <v>3099</v>
      </c>
      <c r="M778" s="22" t="str">
        <f>HYPERLINK("https://ceds.ed.gov/cedselementdetails.aspx?termid=21304")</f>
        <v>https://ceds.ed.gov/cedselementdetails.aspx?termid=21304</v>
      </c>
    </row>
    <row r="779" spans="1:13" x14ac:dyDescent="0.3">
      <c r="A779" s="22" t="s">
        <v>3393</v>
      </c>
      <c r="B779" s="22" t="s">
        <v>8098</v>
      </c>
      <c r="C779" s="23" t="s">
        <v>32</v>
      </c>
      <c r="D779" s="22" t="s">
        <v>8097</v>
      </c>
      <c r="E779" s="22"/>
      <c r="F779" s="22" t="s">
        <v>118</v>
      </c>
      <c r="G779" s="22"/>
      <c r="H779" s="22"/>
      <c r="I779" s="25" t="s">
        <v>3394</v>
      </c>
      <c r="J779" s="22"/>
      <c r="K779" s="22" t="s">
        <v>3395</v>
      </c>
      <c r="L779" s="22"/>
      <c r="M779" s="22" t="str">
        <f>HYPERLINK("https://ceds.ed.gov/cedselementdetails.aspx?termid=22305")</f>
        <v>https://ceds.ed.gov/cedselementdetails.aspx?termid=22305</v>
      </c>
    </row>
    <row r="780" spans="1:13" ht="72" x14ac:dyDescent="0.3">
      <c r="A780" s="22" t="s">
        <v>3396</v>
      </c>
      <c r="B780" s="22" t="s">
        <v>3397</v>
      </c>
      <c r="C780" s="26" t="s">
        <v>8826</v>
      </c>
      <c r="D780" s="22" t="s">
        <v>8097</v>
      </c>
      <c r="E780" s="22"/>
      <c r="F780" s="22"/>
      <c r="G780" s="22"/>
      <c r="H780" s="22"/>
      <c r="I780" s="25" t="s">
        <v>3398</v>
      </c>
      <c r="J780" s="22"/>
      <c r="K780" s="22" t="s">
        <v>3399</v>
      </c>
      <c r="L780" s="22"/>
      <c r="M780" s="22" t="str">
        <f>HYPERLINK("https://ceds.ed.gov/cedselementdetails.aspx?termid=22306")</f>
        <v>https://ceds.ed.gov/cedselementdetails.aspx?termid=22306</v>
      </c>
    </row>
    <row r="781" spans="1:13" x14ac:dyDescent="0.3">
      <c r="A781" s="22" t="s">
        <v>3400</v>
      </c>
      <c r="B781" s="22" t="s">
        <v>3401</v>
      </c>
      <c r="C781" s="23" t="s">
        <v>32</v>
      </c>
      <c r="D781" s="22" t="s">
        <v>8097</v>
      </c>
      <c r="E781" s="22"/>
      <c r="F781" s="22" t="s">
        <v>118</v>
      </c>
      <c r="G781" s="22"/>
      <c r="H781" s="22"/>
      <c r="I781" s="25" t="s">
        <v>3402</v>
      </c>
      <c r="J781" s="22"/>
      <c r="K781" s="22" t="s">
        <v>3403</v>
      </c>
      <c r="L781" s="22"/>
      <c r="M781" s="22" t="str">
        <f>HYPERLINK("https://ceds.ed.gov/cedselementdetails.aspx?termid=22307")</f>
        <v>https://ceds.ed.gov/cedselementdetails.aspx?termid=22307</v>
      </c>
    </row>
    <row r="782" spans="1:13" ht="43.2" x14ac:dyDescent="0.3">
      <c r="A782" s="22" t="s">
        <v>3404</v>
      </c>
      <c r="B782" s="22" t="s">
        <v>3405</v>
      </c>
      <c r="C782" s="26" t="s">
        <v>22</v>
      </c>
      <c r="D782" s="22" t="s">
        <v>8053</v>
      </c>
      <c r="E782" s="22"/>
      <c r="F782" s="22"/>
      <c r="G782" s="22"/>
      <c r="H782" s="22"/>
      <c r="I782" s="25" t="s">
        <v>3406</v>
      </c>
      <c r="J782" s="22"/>
      <c r="K782" s="22" t="s">
        <v>3407</v>
      </c>
      <c r="L782" s="22" t="s">
        <v>109</v>
      </c>
      <c r="M782" s="22" t="str">
        <f>HYPERLINK("https://ceds.ed.gov/cedselementdetails.aspx?termid=21838")</f>
        <v>https://ceds.ed.gov/cedselementdetails.aspx?termid=21838</v>
      </c>
    </row>
    <row r="783" spans="1:13" ht="43.2" x14ac:dyDescent="0.3">
      <c r="A783" s="22" t="s">
        <v>3408</v>
      </c>
      <c r="B783" s="22" t="s">
        <v>3409</v>
      </c>
      <c r="C783" s="26" t="s">
        <v>22</v>
      </c>
      <c r="D783" s="22" t="s">
        <v>8053</v>
      </c>
      <c r="E783" s="22"/>
      <c r="F783" s="22"/>
      <c r="G783" s="22"/>
      <c r="H783" s="22"/>
      <c r="I783" s="25" t="s">
        <v>3410</v>
      </c>
      <c r="J783" s="22"/>
      <c r="K783" s="22" t="s">
        <v>3411</v>
      </c>
      <c r="L783" s="22" t="s">
        <v>109</v>
      </c>
      <c r="M783" s="22" t="str">
        <f>HYPERLINK("https://ceds.ed.gov/cedselementdetails.aspx?termid=21837")</f>
        <v>https://ceds.ed.gov/cedselementdetails.aspx?termid=21837</v>
      </c>
    </row>
    <row r="784" spans="1:13" ht="86.4" x14ac:dyDescent="0.3">
      <c r="A784" s="22" t="s">
        <v>3412</v>
      </c>
      <c r="B784" s="22" t="s">
        <v>3413</v>
      </c>
      <c r="C784" s="26" t="s">
        <v>8827</v>
      </c>
      <c r="D784" s="22" t="s">
        <v>8053</v>
      </c>
      <c r="E784" s="22"/>
      <c r="F784" s="22"/>
      <c r="G784" s="22"/>
      <c r="H784" s="22"/>
      <c r="I784" s="25" t="s">
        <v>3414</v>
      </c>
      <c r="J784" s="22"/>
      <c r="K784" s="22" t="s">
        <v>3415</v>
      </c>
      <c r="L784" s="22" t="s">
        <v>109</v>
      </c>
      <c r="M784" s="22" t="str">
        <f>HYPERLINK("https://ceds.ed.gov/cedselementdetails.aspx?termid=21828")</f>
        <v>https://ceds.ed.gov/cedselementdetails.aspx?termid=21828</v>
      </c>
    </row>
    <row r="785" spans="1:13" ht="28.8" x14ac:dyDescent="0.3">
      <c r="A785" s="22" t="s">
        <v>3416</v>
      </c>
      <c r="B785" s="22" t="s">
        <v>3417</v>
      </c>
      <c r="C785" s="23" t="s">
        <v>32</v>
      </c>
      <c r="D785" s="22" t="s">
        <v>8079</v>
      </c>
      <c r="E785" s="22"/>
      <c r="F785" s="22" t="s">
        <v>1844</v>
      </c>
      <c r="G785" s="22"/>
      <c r="H785" s="22"/>
      <c r="I785" s="25" t="s">
        <v>3418</v>
      </c>
      <c r="J785" s="22"/>
      <c r="K785" s="22" t="s">
        <v>3419</v>
      </c>
      <c r="L785" s="24" t="s">
        <v>2063</v>
      </c>
      <c r="M785" s="22" t="str">
        <f>HYPERLINK("https://ceds.ed.gov/cedselementdetails.aspx?termid=21864")</f>
        <v>https://ceds.ed.gov/cedselementdetails.aspx?termid=21864</v>
      </c>
    </row>
    <row r="786" spans="1:13" ht="409.6" x14ac:dyDescent="0.3">
      <c r="A786" s="22" t="s">
        <v>3420</v>
      </c>
      <c r="B786" s="22" t="s">
        <v>3421</v>
      </c>
      <c r="C786" s="26" t="s">
        <v>8828</v>
      </c>
      <c r="D786" s="22" t="s">
        <v>8094</v>
      </c>
      <c r="E786" s="22"/>
      <c r="F786" s="22"/>
      <c r="G786" s="22"/>
      <c r="H786" s="22"/>
      <c r="I786" s="25" t="s">
        <v>3422</v>
      </c>
      <c r="J786" s="22"/>
      <c r="K786" s="22" t="s">
        <v>3423</v>
      </c>
      <c r="L786" s="22"/>
      <c r="M786" s="22" t="str">
        <f>HYPERLINK("https://ceds.ed.gov/cedselementdetails.aspx?termid=22617")</f>
        <v>https://ceds.ed.gov/cedselementdetails.aspx?termid=22617</v>
      </c>
    </row>
    <row r="787" spans="1:13" ht="115.2" x14ac:dyDescent="0.3">
      <c r="A787" s="22" t="s">
        <v>3424</v>
      </c>
      <c r="B787" s="22" t="s">
        <v>3425</v>
      </c>
      <c r="C787" s="26" t="s">
        <v>8829</v>
      </c>
      <c r="D787" s="22" t="s">
        <v>8084</v>
      </c>
      <c r="E787" s="22"/>
      <c r="F787" s="22"/>
      <c r="G787" s="22"/>
      <c r="H787" s="22"/>
      <c r="I787" s="25" t="s">
        <v>3426</v>
      </c>
      <c r="J787" s="22"/>
      <c r="K787" s="22" t="s">
        <v>3427</v>
      </c>
      <c r="L787" s="22"/>
      <c r="M787" s="22" t="str">
        <f>HYPERLINK("https://ceds.ed.gov/cedselementdetails.aspx?termid=22583")</f>
        <v>https://ceds.ed.gov/cedselementdetails.aspx?termid=22583</v>
      </c>
    </row>
    <row r="788" spans="1:13" x14ac:dyDescent="0.3">
      <c r="A788" s="22" t="s">
        <v>3428</v>
      </c>
      <c r="B788" s="22" t="s">
        <v>3429</v>
      </c>
      <c r="C788" s="23" t="s">
        <v>32</v>
      </c>
      <c r="D788" s="22" t="s">
        <v>8083</v>
      </c>
      <c r="E788" s="22"/>
      <c r="F788" s="22" t="s">
        <v>1518</v>
      </c>
      <c r="G788" s="22"/>
      <c r="H788" s="22"/>
      <c r="I788" s="25" t="s">
        <v>3430</v>
      </c>
      <c r="J788" s="22"/>
      <c r="K788" s="22" t="s">
        <v>3431</v>
      </c>
      <c r="L788" s="22" t="s">
        <v>207</v>
      </c>
      <c r="M788" s="22" t="str">
        <f>HYPERLINK("https://ceds.ed.gov/cedselementdetails.aspx?termid=21791")</f>
        <v>https://ceds.ed.gov/cedselementdetails.aspx?termid=21791</v>
      </c>
    </row>
    <row r="789" spans="1:13" ht="374.4" x14ac:dyDescent="0.3">
      <c r="A789" s="22" t="s">
        <v>3432</v>
      </c>
      <c r="B789" s="22" t="s">
        <v>8099</v>
      </c>
      <c r="C789" s="26" t="s">
        <v>8830</v>
      </c>
      <c r="D789" s="22" t="s">
        <v>1541</v>
      </c>
      <c r="E789" s="22"/>
      <c r="F789" s="22"/>
      <c r="G789" s="22"/>
      <c r="H789" s="22"/>
      <c r="I789" s="25" t="s">
        <v>3433</v>
      </c>
      <c r="J789" s="22"/>
      <c r="K789" s="22" t="s">
        <v>3434</v>
      </c>
      <c r="L789" s="22"/>
      <c r="M789" s="22" t="str">
        <f>HYPERLINK("https://ceds.ed.gov/cedselementdetails.aspx?termid=22584")</f>
        <v>https://ceds.ed.gov/cedselementdetails.aspx?termid=22584</v>
      </c>
    </row>
    <row r="790" spans="1:13" ht="144" x14ac:dyDescent="0.3">
      <c r="A790" s="22" t="s">
        <v>3435</v>
      </c>
      <c r="B790" s="22" t="s">
        <v>3436</v>
      </c>
      <c r="C790" s="26" t="s">
        <v>8831</v>
      </c>
      <c r="D790" s="24" t="s">
        <v>8832</v>
      </c>
      <c r="E790" s="22"/>
      <c r="F790" s="22"/>
      <c r="G790" s="22"/>
      <c r="H790" s="22"/>
      <c r="I790" s="25" t="s">
        <v>3437</v>
      </c>
      <c r="J790" s="22"/>
      <c r="K790" s="22" t="s">
        <v>3438</v>
      </c>
      <c r="L790" s="22"/>
      <c r="M790" s="22" t="str">
        <f>HYPERLINK("https://ceds.ed.gov/cedselementdetails.aspx?termid=22585")</f>
        <v>https://ceds.ed.gov/cedselementdetails.aspx?termid=22585</v>
      </c>
    </row>
    <row r="791" spans="1:13" ht="57.6" x14ac:dyDescent="0.3">
      <c r="A791" s="22" t="s">
        <v>3439</v>
      </c>
      <c r="B791" s="22" t="s">
        <v>8100</v>
      </c>
      <c r="C791" s="23" t="s">
        <v>32</v>
      </c>
      <c r="D791" s="24" t="s">
        <v>8783</v>
      </c>
      <c r="E791" s="22"/>
      <c r="F791" s="22" t="s">
        <v>317</v>
      </c>
      <c r="G791" s="22"/>
      <c r="H791" s="22"/>
      <c r="I791" s="25" t="s">
        <v>3440</v>
      </c>
      <c r="J791" s="22"/>
      <c r="K791" s="22" t="s">
        <v>3441</v>
      </c>
      <c r="L791" s="24" t="s">
        <v>3363</v>
      </c>
      <c r="M791" s="22" t="str">
        <f>HYPERLINK("https://ceds.ed.gov/cedselementdetails.aspx?termid=21626")</f>
        <v>https://ceds.ed.gov/cedselementdetails.aspx?termid=21626</v>
      </c>
    </row>
    <row r="792" spans="1:13" ht="86.4" x14ac:dyDescent="0.3">
      <c r="A792" s="22" t="s">
        <v>3442</v>
      </c>
      <c r="B792" s="22" t="s">
        <v>3443</v>
      </c>
      <c r="C792" s="26" t="s">
        <v>22</v>
      </c>
      <c r="D792" s="24" t="s">
        <v>8833</v>
      </c>
      <c r="E792" s="22"/>
      <c r="F792" s="22"/>
      <c r="G792" s="22"/>
      <c r="H792" s="22"/>
      <c r="I792" s="25" t="s">
        <v>3445</v>
      </c>
      <c r="J792" s="22"/>
      <c r="K792" s="22" t="s">
        <v>3446</v>
      </c>
      <c r="L792" s="24" t="s">
        <v>1901</v>
      </c>
      <c r="M792" s="22" t="str">
        <f>HYPERLINK("https://ceds.ed.gov/cedselementdetails.aspx?termid=21086")</f>
        <v>https://ceds.ed.gov/cedselementdetails.aspx?termid=21086</v>
      </c>
    </row>
    <row r="793" spans="1:13" ht="302.39999999999998" x14ac:dyDescent="0.3">
      <c r="A793" s="22" t="s">
        <v>3447</v>
      </c>
      <c r="B793" s="22" t="s">
        <v>3448</v>
      </c>
      <c r="C793" s="26" t="s">
        <v>8834</v>
      </c>
      <c r="D793" s="22" t="s">
        <v>8101</v>
      </c>
      <c r="E793" s="22"/>
      <c r="F793" s="22"/>
      <c r="G793" s="22"/>
      <c r="H793" s="22"/>
      <c r="I793" s="25" t="s">
        <v>3449</v>
      </c>
      <c r="J793" s="22" t="s">
        <v>3450</v>
      </c>
      <c r="K793" s="22" t="s">
        <v>3451</v>
      </c>
      <c r="L793" s="24" t="s">
        <v>3452</v>
      </c>
      <c r="M793" s="22" t="str">
        <f>HYPERLINK("https://ceds.ed.gov/cedselementdetails.aspx?termid=21862")</f>
        <v>https://ceds.ed.gov/cedselementdetails.aspx?termid=21862</v>
      </c>
    </row>
    <row r="794" spans="1:13" ht="187.2" x14ac:dyDescent="0.3">
      <c r="A794" s="22" t="s">
        <v>7507</v>
      </c>
      <c r="B794" s="22" t="s">
        <v>7508</v>
      </c>
      <c r="C794" s="26" t="s">
        <v>8835</v>
      </c>
      <c r="D794" s="22" t="s">
        <v>5560</v>
      </c>
      <c r="E794" s="22"/>
      <c r="F794" s="22"/>
      <c r="G794" s="22"/>
      <c r="H794" s="22"/>
      <c r="I794" s="25" t="s">
        <v>7509</v>
      </c>
      <c r="J794" s="22"/>
      <c r="K794" s="22" t="s">
        <v>7510</v>
      </c>
      <c r="L794" s="22"/>
      <c r="M794" s="22" t="str">
        <f>HYPERLINK("https://ceds.ed.gov/cedselementdetails.aspx?termid=22927")</f>
        <v>https://ceds.ed.gov/cedselementdetails.aspx?termid=22927</v>
      </c>
    </row>
    <row r="795" spans="1:13" ht="158.4" x14ac:dyDescent="0.3">
      <c r="A795" s="22" t="s">
        <v>7511</v>
      </c>
      <c r="B795" s="22" t="s">
        <v>7512</v>
      </c>
      <c r="C795" s="26" t="s">
        <v>8836</v>
      </c>
      <c r="D795" s="22" t="s">
        <v>5560</v>
      </c>
      <c r="E795" s="22"/>
      <c r="F795" s="22"/>
      <c r="G795" s="22"/>
      <c r="H795" s="22"/>
      <c r="I795" s="25" t="s">
        <v>7513</v>
      </c>
      <c r="J795" s="22"/>
      <c r="K795" s="22" t="s">
        <v>7514</v>
      </c>
      <c r="L795" s="22"/>
      <c r="M795" s="22" t="str">
        <f>HYPERLINK("https://ceds.ed.gov/cedselementdetails.aspx?termid=22928")</f>
        <v>https://ceds.ed.gov/cedselementdetails.aspx?termid=22928</v>
      </c>
    </row>
    <row r="796" spans="1:13" ht="43.2" x14ac:dyDescent="0.3">
      <c r="A796" s="22" t="s">
        <v>8102</v>
      </c>
      <c r="B796" s="22" t="s">
        <v>8103</v>
      </c>
      <c r="C796" s="26" t="s">
        <v>8378</v>
      </c>
      <c r="D796" s="22" t="s">
        <v>8375</v>
      </c>
      <c r="E796" s="22" t="s">
        <v>167</v>
      </c>
      <c r="F796" s="22" t="s">
        <v>2</v>
      </c>
      <c r="G796" s="22" t="s">
        <v>7949</v>
      </c>
      <c r="H796" s="22"/>
      <c r="I796" s="25" t="s">
        <v>8357</v>
      </c>
      <c r="J796" s="22"/>
      <c r="K796" s="22" t="s">
        <v>8104</v>
      </c>
      <c r="L796" s="22"/>
      <c r="M796" s="22" t="str">
        <f>HYPERLINK("https://ceds.ed.gov/cedselementdetails.aspx?termid=22978")</f>
        <v>https://ceds.ed.gov/cedselementdetails.aspx?termid=22978</v>
      </c>
    </row>
    <row r="797" spans="1:13" ht="43.2" x14ac:dyDescent="0.3">
      <c r="A797" s="22" t="s">
        <v>7515</v>
      </c>
      <c r="B797" s="22" t="s">
        <v>7516</v>
      </c>
      <c r="C797" s="26" t="s">
        <v>8837</v>
      </c>
      <c r="D797" s="22" t="s">
        <v>4339</v>
      </c>
      <c r="E797" s="22"/>
      <c r="F797" s="22"/>
      <c r="G797" s="22"/>
      <c r="H797" s="22" t="s">
        <v>7517</v>
      </c>
      <c r="I797" s="25" t="s">
        <v>7518</v>
      </c>
      <c r="J797" s="22"/>
      <c r="K797" s="22" t="s">
        <v>7519</v>
      </c>
      <c r="L797" s="22"/>
      <c r="M797" s="22" t="str">
        <f>HYPERLINK("https://ceds.ed.gov/cedselementdetails.aspx?termid=22929")</f>
        <v>https://ceds.ed.gov/cedselementdetails.aspx?termid=22929</v>
      </c>
    </row>
    <row r="798" spans="1:13" ht="43.2" x14ac:dyDescent="0.3">
      <c r="A798" s="22" t="s">
        <v>7520</v>
      </c>
      <c r="B798" s="22" t="s">
        <v>7521</v>
      </c>
      <c r="C798" s="26" t="s">
        <v>8838</v>
      </c>
      <c r="D798" s="22" t="s">
        <v>4339</v>
      </c>
      <c r="E798" s="22"/>
      <c r="F798" s="22"/>
      <c r="G798" s="22"/>
      <c r="H798" s="22" t="s">
        <v>7517</v>
      </c>
      <c r="I798" s="25" t="s">
        <v>7522</v>
      </c>
      <c r="J798" s="22"/>
      <c r="K798" s="22" t="s">
        <v>7523</v>
      </c>
      <c r="L798" s="22"/>
      <c r="M798" s="22" t="str">
        <f>HYPERLINK("https://ceds.ed.gov/cedselementdetails.aspx?termid=22930")</f>
        <v>https://ceds.ed.gov/cedselementdetails.aspx?termid=22930</v>
      </c>
    </row>
    <row r="799" spans="1:13" ht="86.4" x14ac:dyDescent="0.3">
      <c r="A799" s="22" t="s">
        <v>3453</v>
      </c>
      <c r="B799" s="22" t="s">
        <v>3454</v>
      </c>
      <c r="C799" s="26" t="s">
        <v>8839</v>
      </c>
      <c r="D799" s="24" t="s">
        <v>8840</v>
      </c>
      <c r="E799" s="22"/>
      <c r="F799" s="22"/>
      <c r="G799" s="22"/>
      <c r="H799" s="22"/>
      <c r="I799" s="25" t="s">
        <v>3455</v>
      </c>
      <c r="J799" s="22"/>
      <c r="K799" s="22" t="s">
        <v>3456</v>
      </c>
      <c r="L799" s="22"/>
      <c r="M799" s="22" t="str">
        <f>HYPERLINK("https://ceds.ed.gov/cedselementdetails.aspx?termid=22586")</f>
        <v>https://ceds.ed.gov/cedselementdetails.aspx?termid=22586</v>
      </c>
    </row>
    <row r="800" spans="1:13" ht="43.2" x14ac:dyDescent="0.3">
      <c r="A800" s="22" t="s">
        <v>3457</v>
      </c>
      <c r="B800" s="22" t="s">
        <v>3458</v>
      </c>
      <c r="C800" s="26" t="s">
        <v>22</v>
      </c>
      <c r="D800" s="24" t="s">
        <v>3175</v>
      </c>
      <c r="E800" s="22"/>
      <c r="F800" s="22"/>
      <c r="G800" s="22"/>
      <c r="H800" s="22"/>
      <c r="I800" s="25" t="s">
        <v>3459</v>
      </c>
      <c r="J800" s="22"/>
      <c r="K800" s="22" t="s">
        <v>3460</v>
      </c>
      <c r="L800" s="22"/>
      <c r="M800" s="22" t="str">
        <f>HYPERLINK("https://ceds.ed.gov/cedselementdetails.aspx?termid=21570")</f>
        <v>https://ceds.ed.gov/cedselementdetails.aspx?termid=21570</v>
      </c>
    </row>
    <row r="801" spans="1:13" ht="409.6" x14ac:dyDescent="0.3">
      <c r="A801" s="22" t="s">
        <v>3461</v>
      </c>
      <c r="B801" s="22" t="s">
        <v>3462</v>
      </c>
      <c r="C801" s="23" t="s">
        <v>32</v>
      </c>
      <c r="D801" s="24" t="s">
        <v>8429</v>
      </c>
      <c r="E801" s="22" t="s">
        <v>172</v>
      </c>
      <c r="F801" s="22" t="s">
        <v>3463</v>
      </c>
      <c r="G801" s="22" t="s">
        <v>7946</v>
      </c>
      <c r="H801" s="22"/>
      <c r="I801" s="25" t="s">
        <v>3464</v>
      </c>
      <c r="J801" s="22" t="s">
        <v>3465</v>
      </c>
      <c r="K801" s="22" t="s">
        <v>3466</v>
      </c>
      <c r="L801" s="24" t="s">
        <v>64</v>
      </c>
      <c r="M801" s="22" t="str">
        <f>HYPERLINK("https://ceds.ed.gov/cedselementdetails.aspx?termid=21088")</f>
        <v>https://ceds.ed.gov/cedselementdetails.aspx?termid=21088</v>
      </c>
    </row>
    <row r="802" spans="1:13" ht="409.6" x14ac:dyDescent="0.3">
      <c r="A802" s="22" t="s">
        <v>3467</v>
      </c>
      <c r="B802" s="22" t="s">
        <v>3468</v>
      </c>
      <c r="C802" s="26" t="s">
        <v>8430</v>
      </c>
      <c r="D802" s="24" t="s">
        <v>8429</v>
      </c>
      <c r="E802" s="22" t="s">
        <v>172</v>
      </c>
      <c r="F802" s="22"/>
      <c r="G802" s="22" t="s">
        <v>7946</v>
      </c>
      <c r="H802" s="22"/>
      <c r="I802" s="25" t="s">
        <v>3469</v>
      </c>
      <c r="J802" s="22" t="s">
        <v>3470</v>
      </c>
      <c r="K802" s="22" t="s">
        <v>3471</v>
      </c>
      <c r="L802" s="24" t="s">
        <v>64</v>
      </c>
      <c r="M802" s="22" t="str">
        <f>HYPERLINK("https://ceds.ed.gov/cedselementdetails.aspx?termid=21089")</f>
        <v>https://ceds.ed.gov/cedselementdetails.aspx?termid=21089</v>
      </c>
    </row>
    <row r="803" spans="1:13" ht="100.8" x14ac:dyDescent="0.3">
      <c r="A803" s="22" t="s">
        <v>3472</v>
      </c>
      <c r="B803" s="22" t="s">
        <v>8105</v>
      </c>
      <c r="C803" s="26" t="s">
        <v>8841</v>
      </c>
      <c r="D803" s="24" t="s">
        <v>210</v>
      </c>
      <c r="E803" s="22"/>
      <c r="F803" s="22"/>
      <c r="G803" s="22"/>
      <c r="H803" s="22"/>
      <c r="I803" s="25" t="s">
        <v>3473</v>
      </c>
      <c r="J803" s="22"/>
      <c r="K803" s="22" t="s">
        <v>3474</v>
      </c>
      <c r="L803" s="22" t="s">
        <v>226</v>
      </c>
      <c r="M803" s="22" t="str">
        <f>HYPERLINK("https://ceds.ed.gov/cedselementdetails.aspx?termid=21091")</f>
        <v>https://ceds.ed.gov/cedselementdetails.aspx?termid=21091</v>
      </c>
    </row>
    <row r="804" spans="1:13" x14ac:dyDescent="0.3">
      <c r="A804" s="22" t="s">
        <v>3475</v>
      </c>
      <c r="B804" s="22" t="s">
        <v>3476</v>
      </c>
      <c r="C804" s="23" t="s">
        <v>32</v>
      </c>
      <c r="D804" s="22" t="s">
        <v>3477</v>
      </c>
      <c r="E804" s="22"/>
      <c r="F804" s="22" t="s">
        <v>118</v>
      </c>
      <c r="G804" s="22"/>
      <c r="H804" s="22"/>
      <c r="I804" s="25" t="s">
        <v>3478</v>
      </c>
      <c r="J804" s="22"/>
      <c r="K804" s="22" t="s">
        <v>3479</v>
      </c>
      <c r="L804" s="22"/>
      <c r="M804" s="22" t="str">
        <f>HYPERLINK("https://ceds.ed.gov/cedselementdetails.aspx?termid=22712")</f>
        <v>https://ceds.ed.gov/cedselementdetails.aspx?termid=22712</v>
      </c>
    </row>
    <row r="805" spans="1:13" x14ac:dyDescent="0.3">
      <c r="A805" s="22" t="s">
        <v>3480</v>
      </c>
      <c r="B805" s="22" t="s">
        <v>3481</v>
      </c>
      <c r="C805" s="23" t="s">
        <v>32</v>
      </c>
      <c r="D805" s="22" t="s">
        <v>3477</v>
      </c>
      <c r="E805" s="22"/>
      <c r="F805" s="22" t="s">
        <v>328</v>
      </c>
      <c r="G805" s="22"/>
      <c r="H805" s="22"/>
      <c r="I805" s="25" t="s">
        <v>3482</v>
      </c>
      <c r="J805" s="22"/>
      <c r="K805" s="22" t="s">
        <v>3483</v>
      </c>
      <c r="L805" s="22"/>
      <c r="M805" s="22" t="str">
        <f>HYPERLINK("https://ceds.ed.gov/cedselementdetails.aspx?termid=22711")</f>
        <v>https://ceds.ed.gov/cedselementdetails.aspx?termid=22711</v>
      </c>
    </row>
    <row r="806" spans="1:13" x14ac:dyDescent="0.3">
      <c r="A806" s="22" t="s">
        <v>3484</v>
      </c>
      <c r="B806" s="22" t="s">
        <v>3485</v>
      </c>
      <c r="C806" s="23" t="s">
        <v>32</v>
      </c>
      <c r="D806" s="22" t="s">
        <v>3477</v>
      </c>
      <c r="E806" s="22"/>
      <c r="F806" s="22" t="s">
        <v>328</v>
      </c>
      <c r="G806" s="22"/>
      <c r="H806" s="22"/>
      <c r="I806" s="25" t="s">
        <v>3486</v>
      </c>
      <c r="J806" s="22"/>
      <c r="K806" s="22" t="s">
        <v>3487</v>
      </c>
      <c r="L806" s="22"/>
      <c r="M806" s="22" t="str">
        <f>HYPERLINK("https://ceds.ed.gov/cedselementdetails.aspx?termid=22713")</f>
        <v>https://ceds.ed.gov/cedselementdetails.aspx?termid=22713</v>
      </c>
    </row>
    <row r="807" spans="1:13" x14ac:dyDescent="0.3">
      <c r="A807" s="22" t="s">
        <v>3488</v>
      </c>
      <c r="B807" s="22" t="s">
        <v>3489</v>
      </c>
      <c r="C807" s="23" t="s">
        <v>32</v>
      </c>
      <c r="D807" s="22" t="s">
        <v>8084</v>
      </c>
      <c r="E807" s="22"/>
      <c r="F807" s="22" t="s">
        <v>780</v>
      </c>
      <c r="G807" s="22"/>
      <c r="H807" s="22"/>
      <c r="I807" s="25" t="s">
        <v>3490</v>
      </c>
      <c r="J807" s="22"/>
      <c r="K807" s="22" t="s">
        <v>3491</v>
      </c>
      <c r="L807" s="22"/>
      <c r="M807" s="22" t="str">
        <f>HYPERLINK("https://ceds.ed.gov/cedselementdetails.aspx?termid=22597")</f>
        <v>https://ceds.ed.gov/cedselementdetails.aspx?termid=22597</v>
      </c>
    </row>
    <row r="808" spans="1:13" ht="72" x14ac:dyDescent="0.3">
      <c r="A808" s="22" t="s">
        <v>3492</v>
      </c>
      <c r="B808" s="22" t="s">
        <v>3493</v>
      </c>
      <c r="C808" s="26" t="s">
        <v>8842</v>
      </c>
      <c r="D808" s="22" t="s">
        <v>3444</v>
      </c>
      <c r="E808" s="22"/>
      <c r="F808" s="22"/>
      <c r="G808" s="22"/>
      <c r="H808" s="22"/>
      <c r="I808" s="25" t="s">
        <v>3494</v>
      </c>
      <c r="J808" s="22"/>
      <c r="K808" s="22" t="s">
        <v>3495</v>
      </c>
      <c r="L808" s="24" t="s">
        <v>64</v>
      </c>
      <c r="M808" s="22" t="str">
        <f>HYPERLINK("https://ceds.ed.gov/cedselementdetails.aspx?termid=21092")</f>
        <v>https://ceds.ed.gov/cedselementdetails.aspx?termid=21092</v>
      </c>
    </row>
    <row r="809" spans="1:13" ht="57.6" x14ac:dyDescent="0.3">
      <c r="A809" s="22" t="s">
        <v>7524</v>
      </c>
      <c r="B809" s="22" t="s">
        <v>7525</v>
      </c>
      <c r="C809" s="26" t="s">
        <v>8725</v>
      </c>
      <c r="D809" s="22" t="s">
        <v>1874</v>
      </c>
      <c r="E809" s="22"/>
      <c r="F809" s="22"/>
      <c r="G809" s="22"/>
      <c r="H809" s="22"/>
      <c r="I809" s="25" t="s">
        <v>7526</v>
      </c>
      <c r="J809" s="22"/>
      <c r="K809" s="22" t="s">
        <v>7527</v>
      </c>
      <c r="L809" s="22"/>
      <c r="M809" s="22" t="str">
        <f>HYPERLINK("https://ceds.ed.gov/cedselementdetails.aspx?termid=22931")</f>
        <v>https://ceds.ed.gov/cedselementdetails.aspx?termid=22931</v>
      </c>
    </row>
    <row r="810" spans="1:13" ht="43.2" x14ac:dyDescent="0.3">
      <c r="A810" s="22" t="s">
        <v>3496</v>
      </c>
      <c r="B810" s="22" t="s">
        <v>3497</v>
      </c>
      <c r="C810" s="26" t="s">
        <v>22</v>
      </c>
      <c r="D810" s="24" t="s">
        <v>3498</v>
      </c>
      <c r="E810" s="22"/>
      <c r="F810" s="22"/>
      <c r="G810" s="22"/>
      <c r="H810" s="22"/>
      <c r="I810" s="25" t="s">
        <v>3499</v>
      </c>
      <c r="J810" s="22"/>
      <c r="K810" s="22" t="s">
        <v>3500</v>
      </c>
      <c r="L810" s="22"/>
      <c r="M810" s="22" t="str">
        <f>HYPERLINK("https://ceds.ed.gov/cedselementdetails.aspx?termid=22308")</f>
        <v>https://ceds.ed.gov/cedselementdetails.aspx?termid=22308</v>
      </c>
    </row>
    <row r="811" spans="1:13" ht="129.6" x14ac:dyDescent="0.3">
      <c r="A811" s="22" t="s">
        <v>3501</v>
      </c>
      <c r="B811" s="22" t="s">
        <v>3502</v>
      </c>
      <c r="C811" s="26" t="s">
        <v>3503</v>
      </c>
      <c r="D811" s="24" t="s">
        <v>3504</v>
      </c>
      <c r="E811" s="22"/>
      <c r="F811" s="22"/>
      <c r="G811" s="22"/>
      <c r="H811" s="22" t="s">
        <v>8106</v>
      </c>
      <c r="I811" s="25" t="s">
        <v>3505</v>
      </c>
      <c r="J811" s="22"/>
      <c r="K811" s="22" t="s">
        <v>3506</v>
      </c>
      <c r="L811" s="22" t="s">
        <v>3507</v>
      </c>
      <c r="M811" s="22" t="str">
        <f>HYPERLINK("https://ceds.ed.gov/cedselementdetails.aspx?termid=21990")</f>
        <v>https://ceds.ed.gov/cedselementdetails.aspx?termid=21990</v>
      </c>
    </row>
    <row r="812" spans="1:13" ht="43.2" x14ac:dyDescent="0.3">
      <c r="A812" s="22" t="s">
        <v>3508</v>
      </c>
      <c r="B812" s="22" t="s">
        <v>3509</v>
      </c>
      <c r="C812" s="26" t="s">
        <v>3503</v>
      </c>
      <c r="D812" s="22" t="s">
        <v>3510</v>
      </c>
      <c r="E812" s="22"/>
      <c r="F812" s="22"/>
      <c r="G812" s="22"/>
      <c r="H812" s="22" t="s">
        <v>3511</v>
      </c>
      <c r="I812" s="25" t="s">
        <v>3512</v>
      </c>
      <c r="J812" s="22"/>
      <c r="K812" s="22" t="s">
        <v>3513</v>
      </c>
      <c r="L812" s="22"/>
      <c r="M812" s="22" t="str">
        <f>HYPERLINK("https://ceds.ed.gov/cedselementdetails.aspx?termid=22309")</f>
        <v>https://ceds.ed.gov/cedselementdetails.aspx?termid=22309</v>
      </c>
    </row>
    <row r="813" spans="1:13" ht="129.6" x14ac:dyDescent="0.3">
      <c r="A813" s="22" t="s">
        <v>3514</v>
      </c>
      <c r="B813" s="22" t="s">
        <v>3515</v>
      </c>
      <c r="C813" s="26" t="s">
        <v>3503</v>
      </c>
      <c r="D813" s="24" t="s">
        <v>3504</v>
      </c>
      <c r="E813" s="22"/>
      <c r="F813" s="22"/>
      <c r="G813" s="22"/>
      <c r="H813" s="22" t="s">
        <v>3516</v>
      </c>
      <c r="I813" s="25" t="s">
        <v>3517</v>
      </c>
      <c r="J813" s="22"/>
      <c r="K813" s="22" t="s">
        <v>3518</v>
      </c>
      <c r="L813" s="22" t="s">
        <v>3507</v>
      </c>
      <c r="M813" s="22" t="str">
        <f>HYPERLINK("https://ceds.ed.gov/cedselementdetails.aspx?termid=21989")</f>
        <v>https://ceds.ed.gov/cedselementdetails.aspx?termid=21989</v>
      </c>
    </row>
    <row r="814" spans="1:13" ht="216" x14ac:dyDescent="0.3">
      <c r="A814" s="22" t="s">
        <v>3519</v>
      </c>
      <c r="B814" s="22" t="s">
        <v>3520</v>
      </c>
      <c r="C814" s="23" t="s">
        <v>32</v>
      </c>
      <c r="D814" s="24" t="s">
        <v>8843</v>
      </c>
      <c r="E814" s="22"/>
      <c r="F814" s="22" t="s">
        <v>118</v>
      </c>
      <c r="G814" s="22"/>
      <c r="H814" s="22" t="s">
        <v>143</v>
      </c>
      <c r="I814" s="25" t="s">
        <v>3521</v>
      </c>
      <c r="J814" s="22"/>
      <c r="K814" s="22" t="s">
        <v>3522</v>
      </c>
      <c r="L814" s="22" t="s">
        <v>207</v>
      </c>
      <c r="M814" s="22" t="str">
        <f>HYPERLINK("https://ceds.ed.gov/cedselementdetails.aspx?termid=21794")</f>
        <v>https://ceds.ed.gov/cedselementdetails.aspx?termid=21794</v>
      </c>
    </row>
    <row r="815" spans="1:13" ht="409.6" x14ac:dyDescent="0.3">
      <c r="A815" s="22" t="s">
        <v>3523</v>
      </c>
      <c r="B815" s="22" t="s">
        <v>3524</v>
      </c>
      <c r="C815" s="26" t="s">
        <v>8844</v>
      </c>
      <c r="D815" s="22" t="s">
        <v>3510</v>
      </c>
      <c r="E815" s="22"/>
      <c r="F815" s="22"/>
      <c r="G815" s="22"/>
      <c r="H815" s="22" t="s">
        <v>3525</v>
      </c>
      <c r="I815" s="25" t="s">
        <v>3526</v>
      </c>
      <c r="J815" s="22"/>
      <c r="K815" s="22" t="s">
        <v>3527</v>
      </c>
      <c r="L815" s="22"/>
      <c r="M815" s="22" t="str">
        <f>HYPERLINK("https://ceds.ed.gov/cedselementdetails.aspx?termid=21992")</f>
        <v>https://ceds.ed.gov/cedselementdetails.aspx?termid=21992</v>
      </c>
    </row>
    <row r="816" spans="1:13" ht="158.4" x14ac:dyDescent="0.3">
      <c r="A816" s="22" t="s">
        <v>3528</v>
      </c>
      <c r="B816" s="22" t="s">
        <v>3529</v>
      </c>
      <c r="C816" s="23" t="s">
        <v>2887</v>
      </c>
      <c r="D816" s="24" t="s">
        <v>3530</v>
      </c>
      <c r="E816" s="22"/>
      <c r="F816" s="22" t="s">
        <v>2888</v>
      </c>
      <c r="G816" s="22"/>
      <c r="H816" s="22"/>
      <c r="I816" s="25" t="s">
        <v>3531</v>
      </c>
      <c r="J816" s="22"/>
      <c r="K816" s="22" t="s">
        <v>3532</v>
      </c>
      <c r="L816" s="22"/>
      <c r="M816" s="22" t="str">
        <f>HYPERLINK("https://ceds.ed.gov/cedselementdetails.aspx?termid=22070")</f>
        <v>https://ceds.ed.gov/cedselementdetails.aspx?termid=22070</v>
      </c>
    </row>
    <row r="817" spans="1:13" ht="100.8" x14ac:dyDescent="0.3">
      <c r="A817" s="22" t="s">
        <v>3533</v>
      </c>
      <c r="B817" s="22" t="s">
        <v>3534</v>
      </c>
      <c r="C817" s="26" t="s">
        <v>8845</v>
      </c>
      <c r="D817" s="22" t="s">
        <v>3510</v>
      </c>
      <c r="E817" s="22"/>
      <c r="F817" s="22"/>
      <c r="G817" s="22"/>
      <c r="H817" s="22" t="s">
        <v>3535</v>
      </c>
      <c r="I817" s="25" t="s">
        <v>3536</v>
      </c>
      <c r="J817" s="22"/>
      <c r="K817" s="22" t="s">
        <v>3537</v>
      </c>
      <c r="L817" s="22"/>
      <c r="M817" s="22" t="str">
        <f>HYPERLINK("https://ceds.ed.gov/cedselementdetails.aspx?termid=21996")</f>
        <v>https://ceds.ed.gov/cedselementdetails.aspx?termid=21996</v>
      </c>
    </row>
    <row r="818" spans="1:13" x14ac:dyDescent="0.3">
      <c r="A818" s="22" t="s">
        <v>3538</v>
      </c>
      <c r="B818" s="22" t="s">
        <v>3539</v>
      </c>
      <c r="C818" s="23" t="s">
        <v>32</v>
      </c>
      <c r="D818" s="22" t="s">
        <v>3510</v>
      </c>
      <c r="E818" s="22"/>
      <c r="F818" s="22" t="s">
        <v>118</v>
      </c>
      <c r="G818" s="22"/>
      <c r="H818" s="22" t="s">
        <v>3540</v>
      </c>
      <c r="I818" s="25" t="s">
        <v>3541</v>
      </c>
      <c r="J818" s="22"/>
      <c r="K818" s="22" t="s">
        <v>3542</v>
      </c>
      <c r="L818" s="22"/>
      <c r="M818" s="22" t="str">
        <f>HYPERLINK("https://ceds.ed.gov/cedselementdetails.aspx?termid=21995")</f>
        <v>https://ceds.ed.gov/cedselementdetails.aspx?termid=21995</v>
      </c>
    </row>
    <row r="819" spans="1:13" x14ac:dyDescent="0.3">
      <c r="A819" s="22" t="s">
        <v>3543</v>
      </c>
      <c r="B819" s="22" t="s">
        <v>3544</v>
      </c>
      <c r="C819" s="23" t="s">
        <v>32</v>
      </c>
      <c r="D819" s="22" t="s">
        <v>3510</v>
      </c>
      <c r="E819" s="22"/>
      <c r="F819" s="22" t="s">
        <v>118</v>
      </c>
      <c r="G819" s="22"/>
      <c r="H819" s="22" t="s">
        <v>3545</v>
      </c>
      <c r="I819" s="25" t="s">
        <v>3546</v>
      </c>
      <c r="J819" s="22"/>
      <c r="K819" s="22" t="s">
        <v>3547</v>
      </c>
      <c r="L819" s="22"/>
      <c r="M819" s="22" t="str">
        <f>HYPERLINK("https://ceds.ed.gov/cedselementdetails.aspx?termid=21994")</f>
        <v>https://ceds.ed.gov/cedselementdetails.aspx?termid=21994</v>
      </c>
    </row>
    <row r="820" spans="1:13" ht="409.6" x14ac:dyDescent="0.3">
      <c r="A820" s="22" t="s">
        <v>3548</v>
      </c>
      <c r="B820" s="22" t="s">
        <v>3321</v>
      </c>
      <c r="C820" s="26" t="s">
        <v>8846</v>
      </c>
      <c r="D820" s="24" t="s">
        <v>8847</v>
      </c>
      <c r="E820" s="22"/>
      <c r="F820" s="22"/>
      <c r="G820" s="22"/>
      <c r="H820" s="22"/>
      <c r="I820" s="25" t="s">
        <v>3549</v>
      </c>
      <c r="J820" s="22"/>
      <c r="K820" s="22" t="s">
        <v>3550</v>
      </c>
      <c r="L820" s="22"/>
      <c r="M820" s="22" t="str">
        <f>HYPERLINK("https://ceds.ed.gov/cedselementdetails.aspx?termid=21613")</f>
        <v>https://ceds.ed.gov/cedselementdetails.aspx?termid=21613</v>
      </c>
    </row>
    <row r="821" spans="1:13" ht="72" x14ac:dyDescent="0.3">
      <c r="A821" s="22" t="s">
        <v>3551</v>
      </c>
      <c r="B821" s="22" t="s">
        <v>3552</v>
      </c>
      <c r="C821" s="26" t="s">
        <v>8848</v>
      </c>
      <c r="D821" s="24" t="s">
        <v>8849</v>
      </c>
      <c r="E821" s="22"/>
      <c r="F821" s="22"/>
      <c r="G821" s="22"/>
      <c r="H821" s="22"/>
      <c r="I821" s="25" t="s">
        <v>3553</v>
      </c>
      <c r="J821" s="22"/>
      <c r="K821" s="22" t="s">
        <v>3554</v>
      </c>
      <c r="L821" s="22"/>
      <c r="M821" s="22" t="str">
        <f>HYPERLINK("https://ceds.ed.gov/cedselementdetails.aspx?termid=21614")</f>
        <v>https://ceds.ed.gov/cedselementdetails.aspx?termid=21614</v>
      </c>
    </row>
    <row r="822" spans="1:13" ht="216" x14ac:dyDescent="0.3">
      <c r="A822" s="22" t="s">
        <v>3555</v>
      </c>
      <c r="B822" s="22" t="s">
        <v>3556</v>
      </c>
      <c r="C822" s="23" t="s">
        <v>32</v>
      </c>
      <c r="D822" s="24" t="s">
        <v>8843</v>
      </c>
      <c r="E822" s="22"/>
      <c r="F822" s="22" t="s">
        <v>118</v>
      </c>
      <c r="G822" s="22"/>
      <c r="H822" s="22"/>
      <c r="I822" s="25" t="s">
        <v>3557</v>
      </c>
      <c r="J822" s="22"/>
      <c r="K822" s="22" t="s">
        <v>3558</v>
      </c>
      <c r="L822" s="24" t="s">
        <v>3559</v>
      </c>
      <c r="M822" s="22" t="str">
        <f>HYPERLINK("https://ceds.ed.gov/cedselementdetails.aspx?termid=21345")</f>
        <v>https://ceds.ed.gov/cedselementdetails.aspx?termid=21345</v>
      </c>
    </row>
    <row r="823" spans="1:13" ht="201.6" x14ac:dyDescent="0.3">
      <c r="A823" s="22" t="s">
        <v>3560</v>
      </c>
      <c r="B823" s="22" t="s">
        <v>294</v>
      </c>
      <c r="C823" s="26" t="s">
        <v>8850</v>
      </c>
      <c r="D823" s="24" t="s">
        <v>8849</v>
      </c>
      <c r="E823" s="22"/>
      <c r="F823" s="22"/>
      <c r="G823" s="22"/>
      <c r="H823" s="22"/>
      <c r="I823" s="25" t="s">
        <v>3561</v>
      </c>
      <c r="J823" s="22"/>
      <c r="K823" s="22" t="s">
        <v>3562</v>
      </c>
      <c r="L823" s="24" t="s">
        <v>3077</v>
      </c>
      <c r="M823" s="22" t="str">
        <f>HYPERLINK("https://ceds.ed.gov/cedselementdetails.aspx?termid=21346")</f>
        <v>https://ceds.ed.gov/cedselementdetails.aspx?termid=21346</v>
      </c>
    </row>
    <row r="824" spans="1:13" ht="72" x14ac:dyDescent="0.3">
      <c r="A824" s="22" t="s">
        <v>3563</v>
      </c>
      <c r="B824" s="22" t="s">
        <v>3564</v>
      </c>
      <c r="C824" s="26" t="s">
        <v>8851</v>
      </c>
      <c r="D824" s="22" t="s">
        <v>3565</v>
      </c>
      <c r="E824" s="22"/>
      <c r="F824" s="22"/>
      <c r="G824" s="22"/>
      <c r="H824" s="22"/>
      <c r="I824" s="25" t="s">
        <v>3566</v>
      </c>
      <c r="J824" s="22"/>
      <c r="K824" s="22" t="s">
        <v>3567</v>
      </c>
      <c r="L824" s="22"/>
      <c r="M824" s="22" t="str">
        <f>HYPERLINK("https://ceds.ed.gov/cedselementdetails.aspx?termid=22310")</f>
        <v>https://ceds.ed.gov/cedselementdetails.aspx?termid=22310</v>
      </c>
    </row>
    <row r="825" spans="1:13" ht="43.2" x14ac:dyDescent="0.3">
      <c r="A825" s="22" t="s">
        <v>3568</v>
      </c>
      <c r="B825" s="22" t="s">
        <v>3569</v>
      </c>
      <c r="C825" s="26" t="s">
        <v>8852</v>
      </c>
      <c r="D825" s="22" t="s">
        <v>61</v>
      </c>
      <c r="E825" s="22"/>
      <c r="F825" s="22"/>
      <c r="G825" s="22"/>
      <c r="H825" s="22"/>
      <c r="I825" s="25" t="s">
        <v>3570</v>
      </c>
      <c r="J825" s="22"/>
      <c r="K825" s="22" t="s">
        <v>3571</v>
      </c>
      <c r="L825" s="22" t="s">
        <v>25</v>
      </c>
      <c r="M825" s="22" t="str">
        <f>HYPERLINK("https://ceds.ed.gov/cedselementdetails.aspx?termid=21093")</f>
        <v>https://ceds.ed.gov/cedselementdetails.aspx?termid=21093</v>
      </c>
    </row>
    <row r="826" spans="1:13" ht="43.2" x14ac:dyDescent="0.3">
      <c r="A826" s="22" t="s">
        <v>3572</v>
      </c>
      <c r="B826" s="22" t="s">
        <v>3573</v>
      </c>
      <c r="C826" s="23" t="s">
        <v>32</v>
      </c>
      <c r="D826" s="24" t="s">
        <v>3574</v>
      </c>
      <c r="E826" s="22"/>
      <c r="F826" s="22"/>
      <c r="G826" s="22"/>
      <c r="H826" s="22"/>
      <c r="I826" s="25" t="s">
        <v>3575</v>
      </c>
      <c r="J826" s="22"/>
      <c r="K826" s="22" t="s">
        <v>3576</v>
      </c>
      <c r="L826" s="22"/>
      <c r="M826" s="22" t="str">
        <f>HYPERLINK("https://ceds.ed.gov/cedselementdetails.aspx?termid=22901")</f>
        <v>https://ceds.ed.gov/cedselementdetails.aspx?termid=22901</v>
      </c>
    </row>
    <row r="827" spans="1:13" ht="86.4" x14ac:dyDescent="0.3">
      <c r="A827" s="22" t="s">
        <v>3577</v>
      </c>
      <c r="B827" s="22" t="s">
        <v>8107</v>
      </c>
      <c r="C827" s="26" t="s">
        <v>22</v>
      </c>
      <c r="D827" s="24" t="s">
        <v>8431</v>
      </c>
      <c r="E827" s="22" t="s">
        <v>172</v>
      </c>
      <c r="F827" s="22"/>
      <c r="G827" s="22" t="s">
        <v>8108</v>
      </c>
      <c r="H827" s="22" t="s">
        <v>3578</v>
      </c>
      <c r="I827" s="25" t="s">
        <v>3579</v>
      </c>
      <c r="J827" s="22"/>
      <c r="K827" s="22" t="s">
        <v>3580</v>
      </c>
      <c r="L827" s="24" t="s">
        <v>1901</v>
      </c>
      <c r="M827" s="22" t="str">
        <f>HYPERLINK("https://ceds.ed.gov/cedselementdetails.aspx?termid=21180")</f>
        <v>https://ceds.ed.gov/cedselementdetails.aspx?termid=21180</v>
      </c>
    </row>
    <row r="828" spans="1:13" ht="331.2" x14ac:dyDescent="0.3">
      <c r="A828" s="22" t="s">
        <v>8109</v>
      </c>
      <c r="B828" s="22" t="s">
        <v>8110</v>
      </c>
      <c r="C828" s="23" t="s">
        <v>32</v>
      </c>
      <c r="D828" s="24" t="s">
        <v>8387</v>
      </c>
      <c r="E828" s="22" t="s">
        <v>167</v>
      </c>
      <c r="F828" s="22" t="s">
        <v>1699</v>
      </c>
      <c r="G828" s="22" t="s">
        <v>7949</v>
      </c>
      <c r="H828" s="22" t="s">
        <v>8111</v>
      </c>
      <c r="I828" s="25" t="s">
        <v>8358</v>
      </c>
      <c r="J828" s="22"/>
      <c r="K828" s="22" t="s">
        <v>8112</v>
      </c>
      <c r="L828" s="22"/>
      <c r="M828" s="22" t="str">
        <f>HYPERLINK("https://ceds.ed.gov/cedselementdetails.aspx?termid=22979")</f>
        <v>https://ceds.ed.gov/cedselementdetails.aspx?termid=22979</v>
      </c>
    </row>
    <row r="829" spans="1:13" ht="43.2" x14ac:dyDescent="0.3">
      <c r="A829" s="22" t="s">
        <v>3581</v>
      </c>
      <c r="B829" s="22" t="s">
        <v>3582</v>
      </c>
      <c r="C829" s="23" t="s">
        <v>32</v>
      </c>
      <c r="D829" s="24" t="s">
        <v>8853</v>
      </c>
      <c r="E829" s="22"/>
      <c r="F829" s="22" t="s">
        <v>118</v>
      </c>
      <c r="G829" s="22"/>
      <c r="H829" s="22"/>
      <c r="I829" s="25" t="s">
        <v>3583</v>
      </c>
      <c r="J829" s="22"/>
      <c r="K829" s="22" t="s">
        <v>3584</v>
      </c>
      <c r="L829" s="24" t="s">
        <v>399</v>
      </c>
      <c r="M829" s="22" t="str">
        <f>HYPERLINK("https://ceds.ed.gov/cedselementdetails.aspx?termid=21324")</f>
        <v>https://ceds.ed.gov/cedselementdetails.aspx?termid=21324</v>
      </c>
    </row>
    <row r="830" spans="1:13" ht="172.8" x14ac:dyDescent="0.3">
      <c r="A830" s="22" t="s">
        <v>3585</v>
      </c>
      <c r="B830" s="22" t="s">
        <v>3586</v>
      </c>
      <c r="C830" s="23" t="s">
        <v>32</v>
      </c>
      <c r="D830" s="24" t="s">
        <v>8432</v>
      </c>
      <c r="E830" s="22" t="s">
        <v>172</v>
      </c>
      <c r="F830" s="22" t="s">
        <v>118</v>
      </c>
      <c r="G830" s="22" t="s">
        <v>7946</v>
      </c>
      <c r="H830" s="22"/>
      <c r="I830" s="25" t="s">
        <v>3587</v>
      </c>
      <c r="J830" s="22"/>
      <c r="K830" s="22" t="s">
        <v>3588</v>
      </c>
      <c r="L830" s="24" t="s">
        <v>3589</v>
      </c>
      <c r="M830" s="22" t="str">
        <f>HYPERLINK("https://ceds.ed.gov/cedselementdetails.aspx?termid=21097")</f>
        <v>https://ceds.ed.gov/cedselementdetails.aspx?termid=21097</v>
      </c>
    </row>
    <row r="831" spans="1:13" ht="100.8" x14ac:dyDescent="0.3">
      <c r="A831" s="22" t="s">
        <v>3590</v>
      </c>
      <c r="B831" s="22" t="s">
        <v>3591</v>
      </c>
      <c r="C831" s="23" t="s">
        <v>32</v>
      </c>
      <c r="D831" s="24" t="s">
        <v>8854</v>
      </c>
      <c r="E831" s="22"/>
      <c r="F831" s="22" t="s">
        <v>118</v>
      </c>
      <c r="G831" s="22"/>
      <c r="H831" s="22" t="s">
        <v>143</v>
      </c>
      <c r="I831" s="25" t="s">
        <v>3592</v>
      </c>
      <c r="J831" s="22"/>
      <c r="K831" s="22" t="s">
        <v>3593</v>
      </c>
      <c r="L831" s="22" t="s">
        <v>58</v>
      </c>
      <c r="M831" s="22" t="str">
        <f>HYPERLINK("https://ceds.ed.gov/cedselementdetails.aspx?termid=21107")</f>
        <v>https://ceds.ed.gov/cedselementdetails.aspx?termid=21107</v>
      </c>
    </row>
    <row r="832" spans="1:13" ht="244.8" x14ac:dyDescent="0.3">
      <c r="A832" s="22" t="s">
        <v>3594</v>
      </c>
      <c r="B832" s="22" t="s">
        <v>3595</v>
      </c>
      <c r="C832" s="26" t="s">
        <v>8562</v>
      </c>
      <c r="D832" s="22" t="s">
        <v>3596</v>
      </c>
      <c r="E832" s="22"/>
      <c r="F832" s="22"/>
      <c r="G832" s="22"/>
      <c r="H832" s="22"/>
      <c r="I832" s="25" t="s">
        <v>3597</v>
      </c>
      <c r="J832" s="22"/>
      <c r="K832" s="22" t="s">
        <v>3598</v>
      </c>
      <c r="L832" s="24" t="s">
        <v>198</v>
      </c>
      <c r="M832" s="22" t="str">
        <f>HYPERLINK("https://ceds.ed.gov/cedselementdetails.aspx?termid=21360")</f>
        <v>https://ceds.ed.gov/cedselementdetails.aspx?termid=21360</v>
      </c>
    </row>
    <row r="833" spans="1:13" ht="72" x14ac:dyDescent="0.3">
      <c r="A833" s="22" t="s">
        <v>3599</v>
      </c>
      <c r="B833" s="22" t="s">
        <v>3600</v>
      </c>
      <c r="C833" s="26" t="s">
        <v>8855</v>
      </c>
      <c r="D833" s="22" t="s">
        <v>3214</v>
      </c>
      <c r="E833" s="22"/>
      <c r="F833" s="22"/>
      <c r="G833" s="22"/>
      <c r="H833" s="22"/>
      <c r="I833" s="25" t="s">
        <v>3601</v>
      </c>
      <c r="J833" s="22"/>
      <c r="K833" s="22" t="s">
        <v>3602</v>
      </c>
      <c r="L833" s="22" t="s">
        <v>226</v>
      </c>
      <c r="M833" s="22" t="str">
        <f>HYPERLINK("https://ceds.ed.gov/cedselementdetails.aspx?termid=21094")</f>
        <v>https://ceds.ed.gov/cedselementdetails.aspx?termid=21094</v>
      </c>
    </row>
    <row r="834" spans="1:13" ht="57.6" x14ac:dyDescent="0.3">
      <c r="A834" s="22" t="s">
        <v>3603</v>
      </c>
      <c r="B834" s="22" t="s">
        <v>8113</v>
      </c>
      <c r="C834" s="23" t="s">
        <v>32</v>
      </c>
      <c r="D834" s="22" t="s">
        <v>2114</v>
      </c>
      <c r="E834" s="22"/>
      <c r="F834" s="22" t="s">
        <v>118</v>
      </c>
      <c r="G834" s="22"/>
      <c r="H834" s="22"/>
      <c r="I834" s="25" t="s">
        <v>3604</v>
      </c>
      <c r="J834" s="22"/>
      <c r="K834" s="22" t="s">
        <v>3605</v>
      </c>
      <c r="L834" s="24" t="s">
        <v>3606</v>
      </c>
      <c r="M834" s="22" t="str">
        <f>HYPERLINK("https://ceds.ed.gov/cedselementdetails.aspx?termid=21098")</f>
        <v>https://ceds.ed.gov/cedselementdetails.aspx?termid=21098</v>
      </c>
    </row>
    <row r="835" spans="1:13" ht="331.2" x14ac:dyDescent="0.3">
      <c r="A835" s="22" t="s">
        <v>3607</v>
      </c>
      <c r="B835" s="22" t="s">
        <v>3608</v>
      </c>
      <c r="C835" s="26" t="s">
        <v>8458</v>
      </c>
      <c r="D835" s="24" t="s">
        <v>3609</v>
      </c>
      <c r="E835" s="22"/>
      <c r="F835" s="22"/>
      <c r="G835" s="22"/>
      <c r="H835" s="22"/>
      <c r="I835" s="25" t="s">
        <v>3610</v>
      </c>
      <c r="J835" s="22"/>
      <c r="K835" s="22" t="s">
        <v>3611</v>
      </c>
      <c r="L835" s="24" t="s">
        <v>1901</v>
      </c>
      <c r="M835" s="22" t="str">
        <f>HYPERLINK("https://ceds.ed.gov/cedselementdetails.aspx?termid=21100")</f>
        <v>https://ceds.ed.gov/cedselementdetails.aspx?termid=21100</v>
      </c>
    </row>
    <row r="836" spans="1:13" ht="409.6" x14ac:dyDescent="0.3">
      <c r="A836" s="22" t="s">
        <v>3612</v>
      </c>
      <c r="B836" s="22" t="s">
        <v>3613</v>
      </c>
      <c r="C836" s="26" t="s">
        <v>8856</v>
      </c>
      <c r="D836" s="22" t="s">
        <v>3214</v>
      </c>
      <c r="E836" s="22"/>
      <c r="F836" s="22"/>
      <c r="G836" s="22"/>
      <c r="H836" s="22"/>
      <c r="I836" s="25" t="s">
        <v>3614</v>
      </c>
      <c r="J836" s="22"/>
      <c r="K836" s="22" t="s">
        <v>3615</v>
      </c>
      <c r="L836" s="24" t="s">
        <v>64</v>
      </c>
      <c r="M836" s="22" t="str">
        <f>HYPERLINK("https://ceds.ed.gov/cedselementdetails.aspx?termid=21099")</f>
        <v>https://ceds.ed.gov/cedselementdetails.aspx?termid=21099</v>
      </c>
    </row>
    <row r="837" spans="1:13" ht="331.2" x14ac:dyDescent="0.3">
      <c r="A837" s="22" t="s">
        <v>3616</v>
      </c>
      <c r="B837" s="22" t="s">
        <v>3617</v>
      </c>
      <c r="C837" s="26" t="s">
        <v>8433</v>
      </c>
      <c r="D837" s="24" t="s">
        <v>3609</v>
      </c>
      <c r="E837" s="22" t="s">
        <v>172</v>
      </c>
      <c r="F837" s="22"/>
      <c r="G837" s="22" t="s">
        <v>7995</v>
      </c>
      <c r="H837" s="22"/>
      <c r="I837" s="25" t="s">
        <v>3618</v>
      </c>
      <c r="J837" s="22"/>
      <c r="K837" s="22" t="s">
        <v>3619</v>
      </c>
      <c r="L837" s="22"/>
      <c r="M837" s="22" t="str">
        <f>HYPERLINK("https://ceds.ed.gov/cedselementdetails.aspx?termid=22177")</f>
        <v>https://ceds.ed.gov/cedselementdetails.aspx?termid=22177</v>
      </c>
    </row>
    <row r="838" spans="1:13" ht="72" x14ac:dyDescent="0.3">
      <c r="A838" s="22" t="s">
        <v>3620</v>
      </c>
      <c r="B838" s="22" t="s">
        <v>3621</v>
      </c>
      <c r="C838" s="26" t="s">
        <v>8434</v>
      </c>
      <c r="D838" s="24" t="s">
        <v>8435</v>
      </c>
      <c r="E838" s="22" t="s">
        <v>172</v>
      </c>
      <c r="F838" s="22"/>
      <c r="G838" s="22" t="s">
        <v>7946</v>
      </c>
      <c r="H838" s="22"/>
      <c r="I838" s="25" t="s">
        <v>3623</v>
      </c>
      <c r="J838" s="22"/>
      <c r="K838" s="22" t="s">
        <v>3624</v>
      </c>
      <c r="L838" s="22" t="s">
        <v>2707</v>
      </c>
      <c r="M838" s="22" t="str">
        <f>HYPERLINK("https://ceds.ed.gov/cedselementdetails.aspx?termid=21108")</f>
        <v>https://ceds.ed.gov/cedselementdetails.aspx?termid=21108</v>
      </c>
    </row>
    <row r="839" spans="1:13" ht="409.6" x14ac:dyDescent="0.3">
      <c r="A839" s="22" t="s">
        <v>3625</v>
      </c>
      <c r="B839" s="22" t="s">
        <v>8114</v>
      </c>
      <c r="C839" s="26" t="s">
        <v>8857</v>
      </c>
      <c r="D839" s="22" t="s">
        <v>3214</v>
      </c>
      <c r="E839" s="22"/>
      <c r="F839" s="22"/>
      <c r="G839" s="22"/>
      <c r="H839" s="22" t="s">
        <v>8115</v>
      </c>
      <c r="I839" s="25" t="s">
        <v>3626</v>
      </c>
      <c r="J839" s="22"/>
      <c r="K839" s="22" t="s">
        <v>3627</v>
      </c>
      <c r="L839" s="24" t="s">
        <v>3628</v>
      </c>
      <c r="M839" s="22" t="str">
        <f>HYPERLINK("https://ceds.ed.gov/cedselementdetails.aspx?termid=21110")</f>
        <v>https://ceds.ed.gov/cedselementdetails.aspx?termid=21110</v>
      </c>
    </row>
    <row r="840" spans="1:13" ht="409.6" x14ac:dyDescent="0.3">
      <c r="A840" s="22" t="s">
        <v>3629</v>
      </c>
      <c r="B840" s="22" t="s">
        <v>3630</v>
      </c>
      <c r="C840" s="26" t="s">
        <v>8858</v>
      </c>
      <c r="D840" s="24" t="s">
        <v>8859</v>
      </c>
      <c r="E840" s="22"/>
      <c r="F840" s="22"/>
      <c r="G840" s="22"/>
      <c r="H840" s="22"/>
      <c r="I840" s="25" t="s">
        <v>3631</v>
      </c>
      <c r="J840" s="22"/>
      <c r="K840" s="22" t="s">
        <v>3632</v>
      </c>
      <c r="L840" s="22"/>
      <c r="M840" s="22" t="str">
        <f>HYPERLINK("https://ceds.ed.gov/cedselementdetails.aspx?termid=21222")</f>
        <v>https://ceds.ed.gov/cedselementdetails.aspx?termid=21222</v>
      </c>
    </row>
    <row r="841" spans="1:13" ht="72" x14ac:dyDescent="0.3">
      <c r="A841" s="22" t="s">
        <v>3633</v>
      </c>
      <c r="B841" s="22" t="s">
        <v>3634</v>
      </c>
      <c r="C841" s="23" t="s">
        <v>32</v>
      </c>
      <c r="D841" s="24" t="s">
        <v>8436</v>
      </c>
      <c r="E841" s="22" t="s">
        <v>172</v>
      </c>
      <c r="F841" s="22" t="s">
        <v>132</v>
      </c>
      <c r="G841" s="22" t="s">
        <v>7946</v>
      </c>
      <c r="H841" s="22" t="s">
        <v>7945</v>
      </c>
      <c r="I841" s="25" t="s">
        <v>3635</v>
      </c>
      <c r="J841" s="22"/>
      <c r="K841" s="22" t="s">
        <v>3636</v>
      </c>
      <c r="L841" s="22"/>
      <c r="M841" s="22" t="str">
        <f>HYPERLINK("https://ceds.ed.gov/cedselementdetails.aspx?termid=21495")</f>
        <v>https://ceds.ed.gov/cedselementdetails.aspx?termid=21495</v>
      </c>
    </row>
    <row r="842" spans="1:13" ht="331.2" x14ac:dyDescent="0.3">
      <c r="A842" s="22" t="s">
        <v>3637</v>
      </c>
      <c r="B842" s="22" t="s">
        <v>3638</v>
      </c>
      <c r="C842" s="26" t="s">
        <v>8860</v>
      </c>
      <c r="D842" s="22" t="s">
        <v>1626</v>
      </c>
      <c r="E842" s="22"/>
      <c r="F842" s="22"/>
      <c r="G842" s="22"/>
      <c r="H842" s="22"/>
      <c r="I842" s="25" t="s">
        <v>3639</v>
      </c>
      <c r="J842" s="22"/>
      <c r="K842" s="22" t="s">
        <v>3640</v>
      </c>
      <c r="L842" s="22"/>
      <c r="M842" s="22" t="str">
        <f>HYPERLINK("https://ceds.ed.gov/cedselementdetails.aspx?termid=22852")</f>
        <v>https://ceds.ed.gov/cedselementdetails.aspx?termid=22852</v>
      </c>
    </row>
    <row r="843" spans="1:13" ht="57.6" x14ac:dyDescent="0.3">
      <c r="A843" s="22" t="s">
        <v>3641</v>
      </c>
      <c r="B843" s="22" t="s">
        <v>3642</v>
      </c>
      <c r="C843" s="26" t="s">
        <v>8861</v>
      </c>
      <c r="D843" s="22" t="s">
        <v>1626</v>
      </c>
      <c r="E843" s="22"/>
      <c r="F843" s="22"/>
      <c r="G843" s="22"/>
      <c r="H843" s="22"/>
      <c r="I843" s="25" t="s">
        <v>3643</v>
      </c>
      <c r="J843" s="22"/>
      <c r="K843" s="22" t="s">
        <v>3644</v>
      </c>
      <c r="L843" s="22"/>
      <c r="M843" s="22" t="str">
        <f>HYPERLINK("https://ceds.ed.gov/cedselementdetails.aspx?termid=22866")</f>
        <v>https://ceds.ed.gov/cedselementdetails.aspx?termid=22866</v>
      </c>
    </row>
    <row r="844" spans="1:13" x14ac:dyDescent="0.3">
      <c r="A844" s="22" t="s">
        <v>3645</v>
      </c>
      <c r="B844" s="22" t="s">
        <v>3646</v>
      </c>
      <c r="C844" s="23" t="s">
        <v>32</v>
      </c>
      <c r="D844" s="22" t="s">
        <v>1626</v>
      </c>
      <c r="E844" s="22"/>
      <c r="F844" s="22" t="s">
        <v>55</v>
      </c>
      <c r="G844" s="22"/>
      <c r="H844" s="22"/>
      <c r="I844" s="25" t="s">
        <v>3647</v>
      </c>
      <c r="J844" s="22"/>
      <c r="K844" s="22" t="s">
        <v>3648</v>
      </c>
      <c r="L844" s="22"/>
      <c r="M844" s="22" t="str">
        <f>HYPERLINK("https://ceds.ed.gov/cedselementdetails.aspx?termid=22863")</f>
        <v>https://ceds.ed.gov/cedselementdetails.aspx?termid=22863</v>
      </c>
    </row>
    <row r="845" spans="1:13" ht="129.6" x14ac:dyDescent="0.3">
      <c r="A845" s="22" t="s">
        <v>3649</v>
      </c>
      <c r="B845" s="22" t="s">
        <v>3650</v>
      </c>
      <c r="C845" s="26" t="s">
        <v>8862</v>
      </c>
      <c r="D845" s="22" t="s">
        <v>1626</v>
      </c>
      <c r="E845" s="22"/>
      <c r="F845" s="22"/>
      <c r="G845" s="22"/>
      <c r="H845" s="22"/>
      <c r="I845" s="25" t="s">
        <v>3651</v>
      </c>
      <c r="J845" s="22"/>
      <c r="K845" s="22" t="s">
        <v>3652</v>
      </c>
      <c r="L845" s="22"/>
      <c r="M845" s="22" t="str">
        <f>HYPERLINK("https://ceds.ed.gov/cedselementdetails.aspx?termid=22864")</f>
        <v>https://ceds.ed.gov/cedselementdetails.aspx?termid=22864</v>
      </c>
    </row>
    <row r="846" spans="1:13" x14ac:dyDescent="0.3">
      <c r="A846" s="22" t="s">
        <v>3653</v>
      </c>
      <c r="B846" s="22" t="s">
        <v>3654</v>
      </c>
      <c r="C846" s="23" t="s">
        <v>32</v>
      </c>
      <c r="D846" s="22" t="s">
        <v>1575</v>
      </c>
      <c r="E846" s="22"/>
      <c r="F846" s="22" t="s">
        <v>118</v>
      </c>
      <c r="G846" s="22"/>
      <c r="H846" s="22"/>
      <c r="I846" s="25" t="s">
        <v>3655</v>
      </c>
      <c r="J846" s="22"/>
      <c r="K846" s="22" t="s">
        <v>3656</v>
      </c>
      <c r="L846" s="22"/>
      <c r="M846" s="22" t="str">
        <f>HYPERLINK("https://ceds.ed.gov/cedselementdetails.aspx?termid=22749")</f>
        <v>https://ceds.ed.gov/cedselementdetails.aspx?termid=22749</v>
      </c>
    </row>
    <row r="847" spans="1:13" x14ac:dyDescent="0.3">
      <c r="A847" s="22" t="s">
        <v>3657</v>
      </c>
      <c r="B847" s="22" t="s">
        <v>3658</v>
      </c>
      <c r="C847" s="23" t="s">
        <v>32</v>
      </c>
      <c r="D847" s="22" t="s">
        <v>1575</v>
      </c>
      <c r="E847" s="22"/>
      <c r="F847" s="22" t="s">
        <v>1844</v>
      </c>
      <c r="G847" s="22"/>
      <c r="H847" s="22"/>
      <c r="I847" s="25" t="s">
        <v>3659</v>
      </c>
      <c r="J847" s="22"/>
      <c r="K847" s="22" t="s">
        <v>3660</v>
      </c>
      <c r="L847" s="22"/>
      <c r="M847" s="22" t="str">
        <f>HYPERLINK("https://ceds.ed.gov/cedselementdetails.aspx?termid=22750")</f>
        <v>https://ceds.ed.gov/cedselementdetails.aspx?termid=22750</v>
      </c>
    </row>
    <row r="848" spans="1:13" ht="144" x14ac:dyDescent="0.3">
      <c r="A848" s="22" t="s">
        <v>3661</v>
      </c>
      <c r="B848" s="22" t="s">
        <v>3662</v>
      </c>
      <c r="C848" s="26" t="s">
        <v>8863</v>
      </c>
      <c r="D848" s="22" t="s">
        <v>1589</v>
      </c>
      <c r="E848" s="22"/>
      <c r="F848" s="22"/>
      <c r="G848" s="22"/>
      <c r="H848" s="22"/>
      <c r="I848" s="25" t="s">
        <v>3663</v>
      </c>
      <c r="J848" s="22"/>
      <c r="K848" s="22" t="s">
        <v>3664</v>
      </c>
      <c r="L848" s="22"/>
      <c r="M848" s="22" t="str">
        <f>HYPERLINK("https://ceds.ed.gov/cedselementdetails.aspx?termid=22777")</f>
        <v>https://ceds.ed.gov/cedselementdetails.aspx?termid=22777</v>
      </c>
    </row>
    <row r="849" spans="1:13" x14ac:dyDescent="0.3">
      <c r="A849" s="22" t="s">
        <v>3665</v>
      </c>
      <c r="B849" s="22" t="s">
        <v>3666</v>
      </c>
      <c r="C849" s="23" t="s">
        <v>32</v>
      </c>
      <c r="D849" s="22" t="s">
        <v>1626</v>
      </c>
      <c r="E849" s="22"/>
      <c r="F849" s="22" t="s">
        <v>118</v>
      </c>
      <c r="G849" s="22"/>
      <c r="H849" s="22"/>
      <c r="I849" s="25" t="s">
        <v>3667</v>
      </c>
      <c r="J849" s="22"/>
      <c r="K849" s="22" t="s">
        <v>3668</v>
      </c>
      <c r="L849" s="22"/>
      <c r="M849" s="22" t="str">
        <f>HYPERLINK("https://ceds.ed.gov/cedselementdetails.aspx?termid=22862")</f>
        <v>https://ceds.ed.gov/cedselementdetails.aspx?termid=22862</v>
      </c>
    </row>
    <row r="850" spans="1:13" ht="144" x14ac:dyDescent="0.3">
      <c r="A850" s="22" t="s">
        <v>3669</v>
      </c>
      <c r="B850" s="22" t="s">
        <v>3670</v>
      </c>
      <c r="C850" s="26" t="s">
        <v>8864</v>
      </c>
      <c r="D850" s="22" t="s">
        <v>1626</v>
      </c>
      <c r="E850" s="22"/>
      <c r="F850" s="22"/>
      <c r="G850" s="22"/>
      <c r="H850" s="22"/>
      <c r="I850" s="25" t="s">
        <v>3671</v>
      </c>
      <c r="J850" s="22"/>
      <c r="K850" s="22" t="s">
        <v>3672</v>
      </c>
      <c r="L850" s="22"/>
      <c r="M850" s="22" t="str">
        <f>HYPERLINK("https://ceds.ed.gov/cedselementdetails.aspx?termid=22845")</f>
        <v>https://ceds.ed.gov/cedselementdetails.aspx?termid=22845</v>
      </c>
    </row>
    <row r="851" spans="1:13" x14ac:dyDescent="0.3">
      <c r="A851" s="22" t="s">
        <v>3673</v>
      </c>
      <c r="B851" s="22" t="s">
        <v>3674</v>
      </c>
      <c r="C851" s="23" t="s">
        <v>32</v>
      </c>
      <c r="D851" s="22" t="s">
        <v>1575</v>
      </c>
      <c r="E851" s="22"/>
      <c r="F851" s="22" t="s">
        <v>157</v>
      </c>
      <c r="G851" s="22"/>
      <c r="H851" s="22"/>
      <c r="I851" s="25" t="s">
        <v>3675</v>
      </c>
      <c r="J851" s="22" t="s">
        <v>3676</v>
      </c>
      <c r="K851" s="22" t="s">
        <v>3677</v>
      </c>
      <c r="L851" s="22"/>
      <c r="M851" s="22" t="str">
        <f>HYPERLINK("https://ceds.ed.gov/cedselementdetails.aspx?termid=22755")</f>
        <v>https://ceds.ed.gov/cedselementdetails.aspx?termid=22755</v>
      </c>
    </row>
    <row r="852" spans="1:13" x14ac:dyDescent="0.3">
      <c r="A852" s="22" t="s">
        <v>3678</v>
      </c>
      <c r="B852" s="22" t="s">
        <v>3679</v>
      </c>
      <c r="C852" s="23" t="s">
        <v>32</v>
      </c>
      <c r="D852" s="22" t="s">
        <v>1575</v>
      </c>
      <c r="E852" s="22"/>
      <c r="F852" s="22" t="s">
        <v>157</v>
      </c>
      <c r="G852" s="22"/>
      <c r="H852" s="22"/>
      <c r="I852" s="25" t="s">
        <v>3680</v>
      </c>
      <c r="J852" s="22"/>
      <c r="K852" s="22" t="s">
        <v>3681</v>
      </c>
      <c r="L852" s="22"/>
      <c r="M852" s="22" t="str">
        <f>HYPERLINK("https://ceds.ed.gov/cedselementdetails.aspx?termid=22172")</f>
        <v>https://ceds.ed.gov/cedselementdetails.aspx?termid=22172</v>
      </c>
    </row>
    <row r="853" spans="1:13" ht="43.2" x14ac:dyDescent="0.3">
      <c r="A853" s="22" t="s">
        <v>3682</v>
      </c>
      <c r="B853" s="22" t="s">
        <v>3683</v>
      </c>
      <c r="C853" s="26" t="s">
        <v>8865</v>
      </c>
      <c r="D853" s="22" t="s">
        <v>1575</v>
      </c>
      <c r="E853" s="22"/>
      <c r="F853" s="22"/>
      <c r="G853" s="22"/>
      <c r="H853" s="22"/>
      <c r="I853" s="25" t="s">
        <v>3684</v>
      </c>
      <c r="J853" s="22"/>
      <c r="K853" s="22" t="s">
        <v>3685</v>
      </c>
      <c r="L853" s="22"/>
      <c r="M853" s="22" t="str">
        <f>HYPERLINK("https://ceds.ed.gov/cedselementdetails.aspx?termid=22751")</f>
        <v>https://ceds.ed.gov/cedselementdetails.aspx?termid=22751</v>
      </c>
    </row>
    <row r="854" spans="1:13" ht="86.4" x14ac:dyDescent="0.3">
      <c r="A854" s="22" t="s">
        <v>3686</v>
      </c>
      <c r="B854" s="22" t="s">
        <v>3687</v>
      </c>
      <c r="C854" s="26" t="s">
        <v>8866</v>
      </c>
      <c r="D854" s="22" t="s">
        <v>1626</v>
      </c>
      <c r="E854" s="22"/>
      <c r="F854" s="22"/>
      <c r="G854" s="22"/>
      <c r="H854" s="22"/>
      <c r="I854" s="25" t="s">
        <v>3688</v>
      </c>
      <c r="J854" s="22"/>
      <c r="K854" s="22" t="s">
        <v>3689</v>
      </c>
      <c r="L854" s="22"/>
      <c r="M854" s="22" t="str">
        <f>HYPERLINK("https://ceds.ed.gov/cedselementdetails.aspx?termid=22853")</f>
        <v>https://ceds.ed.gov/cedselementdetails.aspx?termid=22853</v>
      </c>
    </row>
    <row r="855" spans="1:13" x14ac:dyDescent="0.3">
      <c r="A855" s="22" t="s">
        <v>3690</v>
      </c>
      <c r="B855" s="22" t="s">
        <v>3691</v>
      </c>
      <c r="C855" s="23" t="s">
        <v>32</v>
      </c>
      <c r="D855" s="22" t="s">
        <v>1575</v>
      </c>
      <c r="E855" s="22"/>
      <c r="F855" s="22" t="s">
        <v>3692</v>
      </c>
      <c r="G855" s="22"/>
      <c r="H855" s="22"/>
      <c r="I855" s="25" t="s">
        <v>3693</v>
      </c>
      <c r="J855" s="22"/>
      <c r="K855" s="22" t="s">
        <v>3694</v>
      </c>
      <c r="L855" s="22"/>
      <c r="M855" s="22" t="str">
        <f>HYPERLINK("https://ceds.ed.gov/cedselementdetails.aspx?termid=22760")</f>
        <v>https://ceds.ed.gov/cedselementdetails.aspx?termid=22760</v>
      </c>
    </row>
    <row r="856" spans="1:13" ht="129.6" x14ac:dyDescent="0.3">
      <c r="A856" s="22" t="s">
        <v>3695</v>
      </c>
      <c r="B856" s="22" t="s">
        <v>3696</v>
      </c>
      <c r="C856" s="26" t="s">
        <v>8867</v>
      </c>
      <c r="D856" s="22" t="s">
        <v>1626</v>
      </c>
      <c r="E856" s="22"/>
      <c r="F856" s="22"/>
      <c r="G856" s="22"/>
      <c r="H856" s="22"/>
      <c r="I856" s="25" t="s">
        <v>3697</v>
      </c>
      <c r="J856" s="22"/>
      <c r="K856" s="22" t="s">
        <v>3698</v>
      </c>
      <c r="L856" s="22"/>
      <c r="M856" s="22" t="str">
        <f>HYPERLINK("https://ceds.ed.gov/cedselementdetails.aspx?termid=22848")</f>
        <v>https://ceds.ed.gov/cedselementdetails.aspx?termid=22848</v>
      </c>
    </row>
    <row r="857" spans="1:13" x14ac:dyDescent="0.3">
      <c r="A857" s="22" t="s">
        <v>3699</v>
      </c>
      <c r="B857" s="22" t="s">
        <v>3700</v>
      </c>
      <c r="C857" s="23" t="s">
        <v>32</v>
      </c>
      <c r="D857" s="22" t="s">
        <v>1584</v>
      </c>
      <c r="E857" s="22"/>
      <c r="F857" s="22" t="s">
        <v>118</v>
      </c>
      <c r="G857" s="22"/>
      <c r="H857" s="22"/>
      <c r="I857" s="25" t="s">
        <v>3701</v>
      </c>
      <c r="J857" s="22"/>
      <c r="K857" s="22" t="s">
        <v>3702</v>
      </c>
      <c r="L857" s="22"/>
      <c r="M857" s="22" t="str">
        <f>HYPERLINK("https://ceds.ed.gov/cedselementdetails.aspx?termid=22818")</f>
        <v>https://ceds.ed.gov/cedselementdetails.aspx?termid=22818</v>
      </c>
    </row>
    <row r="858" spans="1:13" x14ac:dyDescent="0.3">
      <c r="A858" s="22" t="s">
        <v>3703</v>
      </c>
      <c r="B858" s="22" t="s">
        <v>3704</v>
      </c>
      <c r="C858" s="23" t="s">
        <v>32</v>
      </c>
      <c r="D858" s="22" t="s">
        <v>1584</v>
      </c>
      <c r="E858" s="22"/>
      <c r="F858" s="22" t="s">
        <v>55</v>
      </c>
      <c r="G858" s="22"/>
      <c r="H858" s="22"/>
      <c r="I858" s="25" t="s">
        <v>3705</v>
      </c>
      <c r="J858" s="22"/>
      <c r="K858" s="22" t="s">
        <v>3706</v>
      </c>
      <c r="L858" s="22"/>
      <c r="M858" s="22" t="str">
        <f>HYPERLINK("https://ceds.ed.gov/cedselementdetails.aspx?termid=22819")</f>
        <v>https://ceds.ed.gov/cedselementdetails.aspx?termid=22819</v>
      </c>
    </row>
    <row r="859" spans="1:13" ht="72" x14ac:dyDescent="0.3">
      <c r="A859" s="22" t="s">
        <v>3707</v>
      </c>
      <c r="B859" s="22" t="s">
        <v>3708</v>
      </c>
      <c r="C859" s="26" t="s">
        <v>8868</v>
      </c>
      <c r="D859" s="22" t="s">
        <v>1589</v>
      </c>
      <c r="E859" s="22"/>
      <c r="F859" s="22"/>
      <c r="G859" s="22"/>
      <c r="H859" s="22"/>
      <c r="I859" s="25" t="s">
        <v>3709</v>
      </c>
      <c r="J859" s="22"/>
      <c r="K859" s="22" t="s">
        <v>3710</v>
      </c>
      <c r="L859" s="22"/>
      <c r="M859" s="22" t="str">
        <f>HYPERLINK("https://ceds.ed.gov/cedselementdetails.aspx?termid=22773")</f>
        <v>https://ceds.ed.gov/cedselementdetails.aspx?termid=22773</v>
      </c>
    </row>
    <row r="860" spans="1:13" x14ac:dyDescent="0.3">
      <c r="A860" s="22" t="s">
        <v>3711</v>
      </c>
      <c r="B860" s="22" t="s">
        <v>3712</v>
      </c>
      <c r="C860" s="23" t="s">
        <v>32</v>
      </c>
      <c r="D860" s="22" t="s">
        <v>1584</v>
      </c>
      <c r="E860" s="22"/>
      <c r="F860" s="22" t="s">
        <v>55</v>
      </c>
      <c r="G860" s="22"/>
      <c r="H860" s="22"/>
      <c r="I860" s="25" t="s">
        <v>3713</v>
      </c>
      <c r="J860" s="22"/>
      <c r="K860" s="22" t="s">
        <v>3714</v>
      </c>
      <c r="L860" s="22"/>
      <c r="M860" s="22" t="str">
        <f>HYPERLINK("https://ceds.ed.gov/cedselementdetails.aspx?termid=22820")</f>
        <v>https://ceds.ed.gov/cedselementdetails.aspx?termid=22820</v>
      </c>
    </row>
    <row r="861" spans="1:13" x14ac:dyDescent="0.3">
      <c r="A861" s="22" t="s">
        <v>3715</v>
      </c>
      <c r="B861" s="22" t="s">
        <v>3716</v>
      </c>
      <c r="C861" s="23" t="s">
        <v>32</v>
      </c>
      <c r="D861" s="22" t="s">
        <v>1584</v>
      </c>
      <c r="E861" s="22"/>
      <c r="F861" s="22" t="s">
        <v>85</v>
      </c>
      <c r="G861" s="22"/>
      <c r="H861" s="22"/>
      <c r="I861" s="25" t="s">
        <v>3717</v>
      </c>
      <c r="J861" s="22"/>
      <c r="K861" s="22" t="s">
        <v>3718</v>
      </c>
      <c r="L861" s="22"/>
      <c r="M861" s="22" t="str">
        <f>HYPERLINK("https://ceds.ed.gov/cedselementdetails.aspx?termid=22821")</f>
        <v>https://ceds.ed.gov/cedselementdetails.aspx?termid=22821</v>
      </c>
    </row>
    <row r="862" spans="1:13" x14ac:dyDescent="0.3">
      <c r="A862" s="22" t="s">
        <v>3719</v>
      </c>
      <c r="B862" s="22" t="s">
        <v>3720</v>
      </c>
      <c r="C862" s="23" t="s">
        <v>32</v>
      </c>
      <c r="D862" s="22" t="s">
        <v>1575</v>
      </c>
      <c r="E862" s="22"/>
      <c r="F862" s="22" t="s">
        <v>118</v>
      </c>
      <c r="G862" s="22"/>
      <c r="H862" s="22"/>
      <c r="I862" s="25" t="s">
        <v>3721</v>
      </c>
      <c r="J862" s="22"/>
      <c r="K862" s="22" t="s">
        <v>3722</v>
      </c>
      <c r="L862" s="22"/>
      <c r="M862" s="22" t="str">
        <f>HYPERLINK("https://ceds.ed.gov/cedselementdetails.aspx?termid=22761")</f>
        <v>https://ceds.ed.gov/cedselementdetails.aspx?termid=22761</v>
      </c>
    </row>
    <row r="863" spans="1:13" ht="43.2" x14ac:dyDescent="0.3">
      <c r="A863" s="22" t="s">
        <v>3723</v>
      </c>
      <c r="B863" s="22" t="s">
        <v>3724</v>
      </c>
      <c r="C863" s="26" t="s">
        <v>8869</v>
      </c>
      <c r="D863" s="22" t="s">
        <v>1575</v>
      </c>
      <c r="E863" s="22"/>
      <c r="F863" s="22"/>
      <c r="G863" s="22"/>
      <c r="H863" s="22"/>
      <c r="I863" s="25" t="s">
        <v>3725</v>
      </c>
      <c r="J863" s="22"/>
      <c r="K863" s="22" t="s">
        <v>3726</v>
      </c>
      <c r="L863" s="22"/>
      <c r="M863" s="22" t="str">
        <f>HYPERLINK("https://ceds.ed.gov/cedselementdetails.aspx?termid=22762")</f>
        <v>https://ceds.ed.gov/cedselementdetails.aspx?termid=22762</v>
      </c>
    </row>
    <row r="864" spans="1:13" ht="158.4" x14ac:dyDescent="0.3">
      <c r="A864" s="22" t="s">
        <v>3727</v>
      </c>
      <c r="B864" s="22" t="s">
        <v>3728</v>
      </c>
      <c r="C864" s="26" t="s">
        <v>8870</v>
      </c>
      <c r="D864" s="22" t="s">
        <v>1575</v>
      </c>
      <c r="E864" s="22"/>
      <c r="F864" s="22"/>
      <c r="G864" s="22"/>
      <c r="H864" s="22"/>
      <c r="I864" s="25" t="s">
        <v>3729</v>
      </c>
      <c r="J864" s="22"/>
      <c r="K864" s="22" t="s">
        <v>3730</v>
      </c>
      <c r="L864" s="22"/>
      <c r="M864" s="22" t="str">
        <f>HYPERLINK("https://ceds.ed.gov/cedselementdetails.aspx?termid=22763")</f>
        <v>https://ceds.ed.gov/cedselementdetails.aspx?termid=22763</v>
      </c>
    </row>
    <row r="865" spans="1:13" x14ac:dyDescent="0.3">
      <c r="A865" s="22" t="s">
        <v>3731</v>
      </c>
      <c r="B865" s="22" t="s">
        <v>3732</v>
      </c>
      <c r="C865" s="23" t="s">
        <v>32</v>
      </c>
      <c r="D865" s="22" t="s">
        <v>1575</v>
      </c>
      <c r="E865" s="22"/>
      <c r="F865" s="22" t="s">
        <v>1844</v>
      </c>
      <c r="G865" s="22"/>
      <c r="H865" s="22"/>
      <c r="I865" s="25" t="s">
        <v>3733</v>
      </c>
      <c r="J865" s="22"/>
      <c r="K865" s="22" t="s">
        <v>3734</v>
      </c>
      <c r="L865" s="22"/>
      <c r="M865" s="22" t="str">
        <f>HYPERLINK("https://ceds.ed.gov/cedselementdetails.aspx?termid=22752")</f>
        <v>https://ceds.ed.gov/cedselementdetails.aspx?termid=22752</v>
      </c>
    </row>
    <row r="866" spans="1:13" x14ac:dyDescent="0.3">
      <c r="A866" s="22" t="s">
        <v>3735</v>
      </c>
      <c r="B866" s="22" t="s">
        <v>3736</v>
      </c>
      <c r="C866" s="23" t="s">
        <v>32</v>
      </c>
      <c r="D866" s="22" t="s">
        <v>1524</v>
      </c>
      <c r="E866" s="22" t="s">
        <v>172</v>
      </c>
      <c r="F866" s="22" t="s">
        <v>1699</v>
      </c>
      <c r="G866" s="22" t="s">
        <v>8116</v>
      </c>
      <c r="H866" s="22" t="s">
        <v>8117</v>
      </c>
      <c r="I866" s="25" t="s">
        <v>3737</v>
      </c>
      <c r="J866" s="22"/>
      <c r="K866" s="22" t="s">
        <v>3738</v>
      </c>
      <c r="L866" s="22"/>
      <c r="M866" s="22" t="str">
        <f>HYPERLINK("https://ceds.ed.gov/cedselementdetails.aspx?termid=22885")</f>
        <v>https://ceds.ed.gov/cedselementdetails.aspx?termid=22885</v>
      </c>
    </row>
    <row r="867" spans="1:13" x14ac:dyDescent="0.3">
      <c r="A867" s="22" t="s">
        <v>3739</v>
      </c>
      <c r="B867" s="22" t="s">
        <v>3740</v>
      </c>
      <c r="C867" s="23" t="s">
        <v>32</v>
      </c>
      <c r="D867" s="22" t="s">
        <v>1584</v>
      </c>
      <c r="E867" s="22"/>
      <c r="F867" s="22" t="s">
        <v>1518</v>
      </c>
      <c r="G867" s="22"/>
      <c r="H867" s="22"/>
      <c r="I867" s="25" t="s">
        <v>3741</v>
      </c>
      <c r="J867" s="22"/>
      <c r="K867" s="22" t="s">
        <v>3742</v>
      </c>
      <c r="L867" s="22"/>
      <c r="M867" s="22" t="str">
        <f>HYPERLINK("https://ceds.ed.gov/cedselementdetails.aspx?termid=22822")</f>
        <v>https://ceds.ed.gov/cedselementdetails.aspx?termid=22822</v>
      </c>
    </row>
    <row r="868" spans="1:13" x14ac:dyDescent="0.3">
      <c r="A868" s="22" t="s">
        <v>3743</v>
      </c>
      <c r="B868" s="22" t="s">
        <v>3744</v>
      </c>
      <c r="C868" s="23" t="s">
        <v>32</v>
      </c>
      <c r="D868" s="22" t="s">
        <v>1575</v>
      </c>
      <c r="E868" s="22"/>
      <c r="F868" s="22" t="s">
        <v>1699</v>
      </c>
      <c r="G868" s="22"/>
      <c r="H868" s="22"/>
      <c r="I868" s="25" t="s">
        <v>3745</v>
      </c>
      <c r="J868" s="22"/>
      <c r="K868" s="22" t="s">
        <v>3746</v>
      </c>
      <c r="L868" s="22"/>
      <c r="M868" s="22" t="str">
        <f>HYPERLINK("https://ceds.ed.gov/cedselementdetails.aspx?termid=22764")</f>
        <v>https://ceds.ed.gov/cedselementdetails.aspx?termid=22764</v>
      </c>
    </row>
    <row r="869" spans="1:13" ht="216" x14ac:dyDescent="0.3">
      <c r="A869" s="22" t="s">
        <v>3747</v>
      </c>
      <c r="B869" s="22" t="s">
        <v>3748</v>
      </c>
      <c r="C869" s="26" t="s">
        <v>8871</v>
      </c>
      <c r="D869" s="22" t="s">
        <v>1589</v>
      </c>
      <c r="E869" s="22"/>
      <c r="F869" s="22"/>
      <c r="G869" s="22"/>
      <c r="H869" s="22"/>
      <c r="I869" s="25" t="s">
        <v>3749</v>
      </c>
      <c r="J869" s="22"/>
      <c r="K869" s="22" t="s">
        <v>3750</v>
      </c>
      <c r="L869" s="22"/>
      <c r="M869" s="22" t="str">
        <f>HYPERLINK("https://ceds.ed.gov/cedselementdetails.aspx?termid=22778")</f>
        <v>https://ceds.ed.gov/cedselementdetails.aspx?termid=22778</v>
      </c>
    </row>
    <row r="870" spans="1:13" ht="57.6" x14ac:dyDescent="0.3">
      <c r="A870" s="22" t="s">
        <v>3751</v>
      </c>
      <c r="B870" s="22" t="s">
        <v>3752</v>
      </c>
      <c r="C870" s="26" t="s">
        <v>8872</v>
      </c>
      <c r="D870" s="22" t="s">
        <v>3753</v>
      </c>
      <c r="E870" s="22"/>
      <c r="F870" s="22"/>
      <c r="G870" s="22"/>
      <c r="H870" s="22"/>
      <c r="I870" s="25" t="s">
        <v>3754</v>
      </c>
      <c r="J870" s="22"/>
      <c r="K870" s="22" t="s">
        <v>3755</v>
      </c>
      <c r="L870" s="22"/>
      <c r="M870" s="22" t="str">
        <f>HYPERLINK("https://ceds.ed.gov/cedselementdetails.aspx?termid=22867")</f>
        <v>https://ceds.ed.gov/cedselementdetails.aspx?termid=22867</v>
      </c>
    </row>
    <row r="871" spans="1:13" ht="100.8" x14ac:dyDescent="0.3">
      <c r="A871" s="22" t="s">
        <v>3756</v>
      </c>
      <c r="B871" s="22" t="s">
        <v>3757</v>
      </c>
      <c r="C871" s="26" t="s">
        <v>8873</v>
      </c>
      <c r="D871" s="22" t="s">
        <v>1584</v>
      </c>
      <c r="E871" s="22"/>
      <c r="F871" s="22"/>
      <c r="G871" s="22"/>
      <c r="H871" s="22"/>
      <c r="I871" s="25" t="s">
        <v>3758</v>
      </c>
      <c r="J871" s="22"/>
      <c r="K871" s="22" t="s">
        <v>3759</v>
      </c>
      <c r="L871" s="22"/>
      <c r="M871" s="22" t="str">
        <f>HYPERLINK("https://ceds.ed.gov/cedselementdetails.aspx?termid=22801")</f>
        <v>https://ceds.ed.gov/cedselementdetails.aspx?termid=22801</v>
      </c>
    </row>
    <row r="872" spans="1:13" x14ac:dyDescent="0.3">
      <c r="A872" s="22" t="s">
        <v>3760</v>
      </c>
      <c r="B872" s="22" t="s">
        <v>3761</v>
      </c>
      <c r="C872" s="23" t="s">
        <v>32</v>
      </c>
      <c r="D872" s="22" t="s">
        <v>1584</v>
      </c>
      <c r="E872" s="22"/>
      <c r="F872" s="22" t="s">
        <v>118</v>
      </c>
      <c r="G872" s="22"/>
      <c r="H872" s="22"/>
      <c r="I872" s="25" t="s">
        <v>3762</v>
      </c>
      <c r="J872" s="22"/>
      <c r="K872" s="22" t="s">
        <v>3763</v>
      </c>
      <c r="L872" s="22"/>
      <c r="M872" s="22" t="str">
        <f>HYPERLINK("https://ceds.ed.gov/cedselementdetails.aspx?termid=22823")</f>
        <v>https://ceds.ed.gov/cedselementdetails.aspx?termid=22823</v>
      </c>
    </row>
    <row r="873" spans="1:13" ht="409.6" x14ac:dyDescent="0.3">
      <c r="A873" s="22" t="s">
        <v>3764</v>
      </c>
      <c r="B873" s="22" t="s">
        <v>3765</v>
      </c>
      <c r="C873" s="26" t="s">
        <v>8874</v>
      </c>
      <c r="D873" s="22" t="s">
        <v>1626</v>
      </c>
      <c r="E873" s="22"/>
      <c r="F873" s="22"/>
      <c r="G873" s="22"/>
      <c r="H873" s="22"/>
      <c r="I873" s="25" t="s">
        <v>3766</v>
      </c>
      <c r="J873" s="22"/>
      <c r="K873" s="22" t="s">
        <v>3767</v>
      </c>
      <c r="L873" s="22"/>
      <c r="M873" s="22" t="str">
        <f>HYPERLINK("https://ceds.ed.gov/cedselementdetails.aspx?termid=22855")</f>
        <v>https://ceds.ed.gov/cedselementdetails.aspx?termid=22855</v>
      </c>
    </row>
    <row r="874" spans="1:13" x14ac:dyDescent="0.3">
      <c r="A874" s="22" t="s">
        <v>3768</v>
      </c>
      <c r="B874" s="22" t="s">
        <v>3769</v>
      </c>
      <c r="C874" s="23" t="s">
        <v>32</v>
      </c>
      <c r="D874" s="22" t="s">
        <v>1584</v>
      </c>
      <c r="E874" s="22"/>
      <c r="F874" s="22" t="s">
        <v>1301</v>
      </c>
      <c r="G874" s="22"/>
      <c r="H874" s="22"/>
      <c r="I874" s="25" t="s">
        <v>3770</v>
      </c>
      <c r="J874" s="22"/>
      <c r="K874" s="22" t="s">
        <v>3771</v>
      </c>
      <c r="L874" s="22"/>
      <c r="M874" s="22" t="str">
        <f>HYPERLINK("https://ceds.ed.gov/cedselementdetails.aspx?termid=22827")</f>
        <v>https://ceds.ed.gov/cedselementdetails.aspx?termid=22827</v>
      </c>
    </row>
    <row r="875" spans="1:13" x14ac:dyDescent="0.3">
      <c r="A875" s="22" t="s">
        <v>3772</v>
      </c>
      <c r="B875" s="22" t="s">
        <v>3773</v>
      </c>
      <c r="C875" s="23" t="s">
        <v>32</v>
      </c>
      <c r="D875" s="22" t="s">
        <v>1584</v>
      </c>
      <c r="E875" s="22"/>
      <c r="F875" s="22" t="s">
        <v>55</v>
      </c>
      <c r="G875" s="22"/>
      <c r="H875" s="22"/>
      <c r="I875" s="25" t="s">
        <v>3774</v>
      </c>
      <c r="J875" s="22"/>
      <c r="K875" s="22" t="s">
        <v>3775</v>
      </c>
      <c r="L875" s="22"/>
      <c r="M875" s="22" t="str">
        <f>HYPERLINK("https://ceds.ed.gov/cedselementdetails.aspx?termid=22828")</f>
        <v>https://ceds.ed.gov/cedselementdetails.aspx?termid=22828</v>
      </c>
    </row>
    <row r="876" spans="1:13" ht="43.2" x14ac:dyDescent="0.3">
      <c r="A876" s="22" t="s">
        <v>3776</v>
      </c>
      <c r="B876" s="22" t="s">
        <v>3777</v>
      </c>
      <c r="C876" s="26" t="s">
        <v>8875</v>
      </c>
      <c r="D876" s="22" t="s">
        <v>1626</v>
      </c>
      <c r="E876" s="22"/>
      <c r="F876" s="22"/>
      <c r="G876" s="22"/>
      <c r="H876" s="22"/>
      <c r="I876" s="25" t="s">
        <v>3778</v>
      </c>
      <c r="J876" s="22"/>
      <c r="K876" s="22" t="s">
        <v>3779</v>
      </c>
      <c r="L876" s="22"/>
      <c r="M876" s="22" t="str">
        <f>HYPERLINK("https://ceds.ed.gov/cedselementdetails.aspx?termid=22856")</f>
        <v>https://ceds.ed.gov/cedselementdetails.aspx?termid=22856</v>
      </c>
    </row>
    <row r="877" spans="1:13" x14ac:dyDescent="0.3">
      <c r="A877" s="22" t="s">
        <v>3780</v>
      </c>
      <c r="B877" s="22" t="s">
        <v>3781</v>
      </c>
      <c r="C877" s="23" t="s">
        <v>32</v>
      </c>
      <c r="D877" s="22" t="s">
        <v>3753</v>
      </c>
      <c r="E877" s="22"/>
      <c r="F877" s="22" t="s">
        <v>1518</v>
      </c>
      <c r="G877" s="22"/>
      <c r="H877" s="22"/>
      <c r="I877" s="25" t="s">
        <v>3782</v>
      </c>
      <c r="J877" s="22"/>
      <c r="K877" s="22" t="s">
        <v>3783</v>
      </c>
      <c r="L877" s="22"/>
      <c r="M877" s="22" t="str">
        <f>HYPERLINK("https://ceds.ed.gov/cedselementdetails.aspx?termid=22868")</f>
        <v>https://ceds.ed.gov/cedselementdetails.aspx?termid=22868</v>
      </c>
    </row>
    <row r="878" spans="1:13" ht="57.6" x14ac:dyDescent="0.3">
      <c r="A878" s="22" t="s">
        <v>3784</v>
      </c>
      <c r="B878" s="22" t="s">
        <v>3785</v>
      </c>
      <c r="C878" s="26" t="s">
        <v>8876</v>
      </c>
      <c r="D878" s="22" t="s">
        <v>3753</v>
      </c>
      <c r="E878" s="22"/>
      <c r="F878" s="22"/>
      <c r="G878" s="22"/>
      <c r="H878" s="22"/>
      <c r="I878" s="25" t="s">
        <v>3786</v>
      </c>
      <c r="J878" s="22"/>
      <c r="K878" s="22" t="s">
        <v>3787</v>
      </c>
      <c r="L878" s="22"/>
      <c r="M878" s="22" t="str">
        <f>HYPERLINK("https://ceds.ed.gov/cedselementdetails.aspx?termid=22869")</f>
        <v>https://ceds.ed.gov/cedselementdetails.aspx?termid=22869</v>
      </c>
    </row>
    <row r="879" spans="1:13" ht="100.8" x14ac:dyDescent="0.3">
      <c r="A879" s="22" t="s">
        <v>3788</v>
      </c>
      <c r="B879" s="22" t="s">
        <v>3789</v>
      </c>
      <c r="C879" s="26" t="s">
        <v>8877</v>
      </c>
      <c r="D879" s="22" t="s">
        <v>3753</v>
      </c>
      <c r="E879" s="22"/>
      <c r="F879" s="22"/>
      <c r="G879" s="22"/>
      <c r="H879" s="22"/>
      <c r="I879" s="25" t="s">
        <v>3790</v>
      </c>
      <c r="J879" s="22"/>
      <c r="K879" s="22" t="s">
        <v>3791</v>
      </c>
      <c r="L879" s="22"/>
      <c r="M879" s="22" t="str">
        <f>HYPERLINK("https://ceds.ed.gov/cedselementdetails.aspx?termid=22870")</f>
        <v>https://ceds.ed.gov/cedselementdetails.aspx?termid=22870</v>
      </c>
    </row>
    <row r="880" spans="1:13" ht="57.6" x14ac:dyDescent="0.3">
      <c r="A880" s="22" t="s">
        <v>3792</v>
      </c>
      <c r="B880" s="22" t="s">
        <v>3793</v>
      </c>
      <c r="C880" s="26" t="s">
        <v>8878</v>
      </c>
      <c r="D880" s="22" t="s">
        <v>8053</v>
      </c>
      <c r="E880" s="22"/>
      <c r="F880" s="22"/>
      <c r="G880" s="22"/>
      <c r="H880" s="22"/>
      <c r="I880" s="25" t="s">
        <v>3794</v>
      </c>
      <c r="J880" s="22"/>
      <c r="K880" s="22" t="s">
        <v>3795</v>
      </c>
      <c r="L880" s="24" t="s">
        <v>3452</v>
      </c>
      <c r="M880" s="22" t="str">
        <f>HYPERLINK("https://ceds.ed.gov/cedselementdetails.aspx?termid=21985")</f>
        <v>https://ceds.ed.gov/cedselementdetails.aspx?termid=21985</v>
      </c>
    </row>
    <row r="881" spans="1:13" x14ac:dyDescent="0.3">
      <c r="A881" s="22" t="s">
        <v>3796</v>
      </c>
      <c r="B881" s="22" t="s">
        <v>3797</v>
      </c>
      <c r="C881" s="23" t="s">
        <v>32</v>
      </c>
      <c r="D881" s="22" t="s">
        <v>1589</v>
      </c>
      <c r="E881" s="22"/>
      <c r="F881" s="22" t="s">
        <v>157</v>
      </c>
      <c r="G881" s="22"/>
      <c r="H881" s="22"/>
      <c r="I881" s="25" t="s">
        <v>3798</v>
      </c>
      <c r="J881" s="22"/>
      <c r="K881" s="22" t="s">
        <v>3799</v>
      </c>
      <c r="L881" s="22"/>
      <c r="M881" s="22" t="str">
        <f>HYPERLINK("https://ceds.ed.gov/cedselementdetails.aspx?termid=22789")</f>
        <v>https://ceds.ed.gov/cedselementdetails.aspx?termid=22789</v>
      </c>
    </row>
    <row r="882" spans="1:13" ht="86.4" x14ac:dyDescent="0.3">
      <c r="A882" s="22" t="s">
        <v>3800</v>
      </c>
      <c r="B882" s="22" t="s">
        <v>3801</v>
      </c>
      <c r="C882" s="26" t="s">
        <v>8879</v>
      </c>
      <c r="D882" s="22" t="s">
        <v>1626</v>
      </c>
      <c r="E882" s="22"/>
      <c r="F882" s="22"/>
      <c r="G882" s="22"/>
      <c r="H882" s="22"/>
      <c r="I882" s="25" t="s">
        <v>3802</v>
      </c>
      <c r="J882" s="22"/>
      <c r="K882" s="22" t="s">
        <v>3803</v>
      </c>
      <c r="L882" s="22"/>
      <c r="M882" s="22" t="str">
        <f>HYPERLINK("https://ceds.ed.gov/cedselementdetails.aspx?termid=22857")</f>
        <v>https://ceds.ed.gov/cedselementdetails.aspx?termid=22857</v>
      </c>
    </row>
    <row r="883" spans="1:13" x14ac:dyDescent="0.3">
      <c r="A883" s="22" t="s">
        <v>3804</v>
      </c>
      <c r="B883" s="22" t="s">
        <v>3805</v>
      </c>
      <c r="C883" s="23" t="s">
        <v>32</v>
      </c>
      <c r="D883" s="22" t="s">
        <v>3753</v>
      </c>
      <c r="E883" s="22"/>
      <c r="F883" s="22" t="s">
        <v>1518</v>
      </c>
      <c r="G883" s="22"/>
      <c r="H883" s="22"/>
      <c r="I883" s="25" t="s">
        <v>3806</v>
      </c>
      <c r="J883" s="22"/>
      <c r="K883" s="22" t="s">
        <v>3807</v>
      </c>
      <c r="L883" s="22"/>
      <c r="M883" s="22" t="str">
        <f>HYPERLINK("https://ceds.ed.gov/cedselementdetails.aspx?termid=22871")</f>
        <v>https://ceds.ed.gov/cedselementdetails.aspx?termid=22871</v>
      </c>
    </row>
    <row r="884" spans="1:13" ht="187.2" x14ac:dyDescent="0.3">
      <c r="A884" s="22" t="s">
        <v>3808</v>
      </c>
      <c r="B884" s="22" t="s">
        <v>3809</v>
      </c>
      <c r="C884" s="26" t="s">
        <v>8880</v>
      </c>
      <c r="D884" s="22" t="s">
        <v>3753</v>
      </c>
      <c r="E884" s="22"/>
      <c r="F884" s="22"/>
      <c r="G884" s="22"/>
      <c r="H884" s="22"/>
      <c r="I884" s="25" t="s">
        <v>3810</v>
      </c>
      <c r="J884" s="22"/>
      <c r="K884" s="22" t="s">
        <v>3811</v>
      </c>
      <c r="L884" s="22"/>
      <c r="M884" s="22" t="str">
        <f>HYPERLINK("https://ceds.ed.gov/cedselementdetails.aspx?termid=22872")</f>
        <v>https://ceds.ed.gov/cedselementdetails.aspx?termid=22872</v>
      </c>
    </row>
    <row r="885" spans="1:13" ht="57.6" x14ac:dyDescent="0.3">
      <c r="A885" s="22" t="s">
        <v>3812</v>
      </c>
      <c r="B885" s="22" t="s">
        <v>3813</v>
      </c>
      <c r="C885" s="26" t="s">
        <v>8881</v>
      </c>
      <c r="D885" s="22" t="s">
        <v>3753</v>
      </c>
      <c r="E885" s="22"/>
      <c r="F885" s="22"/>
      <c r="G885" s="22"/>
      <c r="H885" s="22"/>
      <c r="I885" s="25" t="s">
        <v>3814</v>
      </c>
      <c r="J885" s="22"/>
      <c r="K885" s="22" t="s">
        <v>3815</v>
      </c>
      <c r="L885" s="22"/>
      <c r="M885" s="22" t="str">
        <f>HYPERLINK("https://ceds.ed.gov/cedselementdetails.aspx?termid=22873")</f>
        <v>https://ceds.ed.gov/cedselementdetails.aspx?termid=22873</v>
      </c>
    </row>
    <row r="886" spans="1:13" ht="115.2" x14ac:dyDescent="0.3">
      <c r="A886" s="22" t="s">
        <v>3816</v>
      </c>
      <c r="B886" s="22" t="s">
        <v>3817</v>
      </c>
      <c r="C886" s="26" t="s">
        <v>8882</v>
      </c>
      <c r="D886" s="22" t="s">
        <v>1626</v>
      </c>
      <c r="E886" s="22"/>
      <c r="F886" s="22"/>
      <c r="G886" s="22"/>
      <c r="H886" s="22"/>
      <c r="I886" s="25" t="s">
        <v>3818</v>
      </c>
      <c r="J886" s="22"/>
      <c r="K886" s="22" t="s">
        <v>3819</v>
      </c>
      <c r="L886" s="22"/>
      <c r="M886" s="22" t="str">
        <f>HYPERLINK("https://ceds.ed.gov/cedselementdetails.aspx?termid=22858")</f>
        <v>https://ceds.ed.gov/cedselementdetails.aspx?termid=22858</v>
      </c>
    </row>
    <row r="887" spans="1:13" x14ac:dyDescent="0.3">
      <c r="A887" s="22" t="s">
        <v>3820</v>
      </c>
      <c r="B887" s="22" t="s">
        <v>3821</v>
      </c>
      <c r="C887" s="23" t="s">
        <v>32</v>
      </c>
      <c r="D887" s="22" t="s">
        <v>1589</v>
      </c>
      <c r="E887" s="22"/>
      <c r="F887" s="22" t="s">
        <v>328</v>
      </c>
      <c r="G887" s="22"/>
      <c r="H887" s="22"/>
      <c r="I887" s="25" t="s">
        <v>3822</v>
      </c>
      <c r="J887" s="22"/>
      <c r="K887" s="22" t="s">
        <v>3823</v>
      </c>
      <c r="L887" s="22"/>
      <c r="M887" s="22" t="str">
        <f>HYPERLINK("https://ceds.ed.gov/cedselementdetails.aspx?termid=22791")</f>
        <v>https://ceds.ed.gov/cedselementdetails.aspx?termid=22791</v>
      </c>
    </row>
    <row r="888" spans="1:13" ht="115.2" x14ac:dyDescent="0.3">
      <c r="A888" s="22" t="s">
        <v>3824</v>
      </c>
      <c r="B888" s="22" t="s">
        <v>3825</v>
      </c>
      <c r="C888" s="26" t="s">
        <v>8883</v>
      </c>
      <c r="D888" s="22" t="s">
        <v>1626</v>
      </c>
      <c r="E888" s="22"/>
      <c r="F888" s="22"/>
      <c r="G888" s="22"/>
      <c r="H888" s="22"/>
      <c r="I888" s="25" t="s">
        <v>3826</v>
      </c>
      <c r="J888" s="22"/>
      <c r="K888" s="22" t="s">
        <v>3827</v>
      </c>
      <c r="L888" s="22"/>
      <c r="M888" s="22" t="str">
        <f>HYPERLINK("https://ceds.ed.gov/cedselementdetails.aspx?termid=22854")</f>
        <v>https://ceds.ed.gov/cedselementdetails.aspx?termid=22854</v>
      </c>
    </row>
    <row r="889" spans="1:13" ht="43.2" x14ac:dyDescent="0.3">
      <c r="A889" s="22" t="s">
        <v>3828</v>
      </c>
      <c r="B889" s="22" t="s">
        <v>3829</v>
      </c>
      <c r="C889" s="26" t="s">
        <v>22</v>
      </c>
      <c r="D889" s="22" t="s">
        <v>1575</v>
      </c>
      <c r="E889" s="22"/>
      <c r="F889" s="22"/>
      <c r="G889" s="22"/>
      <c r="H889" s="22"/>
      <c r="I889" s="25" t="s">
        <v>3830</v>
      </c>
      <c r="J889" s="22"/>
      <c r="K889" s="22" t="s">
        <v>3831</v>
      </c>
      <c r="L889" s="22"/>
      <c r="M889" s="22" t="str">
        <f>HYPERLINK("https://ceds.ed.gov/cedselementdetails.aspx?termid=22887")</f>
        <v>https://ceds.ed.gov/cedselementdetails.aspx?termid=22887</v>
      </c>
    </row>
    <row r="890" spans="1:13" ht="57.6" x14ac:dyDescent="0.3">
      <c r="A890" s="22" t="s">
        <v>3832</v>
      </c>
      <c r="B890" s="22" t="s">
        <v>3833</v>
      </c>
      <c r="C890" s="26" t="s">
        <v>8884</v>
      </c>
      <c r="D890" s="22" t="s">
        <v>8118</v>
      </c>
      <c r="E890" s="22"/>
      <c r="F890" s="22"/>
      <c r="G890" s="22"/>
      <c r="H890" s="22"/>
      <c r="I890" s="25" t="s">
        <v>3834</v>
      </c>
      <c r="J890" s="22"/>
      <c r="K890" s="22" t="s">
        <v>3835</v>
      </c>
      <c r="L890" s="22" t="s">
        <v>109</v>
      </c>
      <c r="M890" s="22" t="str">
        <f>HYPERLINK("https://ceds.ed.gov/cedselementdetails.aspx?termid=21834")</f>
        <v>https://ceds.ed.gov/cedselementdetails.aspx?termid=21834</v>
      </c>
    </row>
    <row r="891" spans="1:13" x14ac:dyDescent="0.3">
      <c r="A891" s="22" t="s">
        <v>3836</v>
      </c>
      <c r="B891" s="22" t="s">
        <v>3837</v>
      </c>
      <c r="C891" s="23" t="s">
        <v>32</v>
      </c>
      <c r="D891" s="22" t="s">
        <v>1575</v>
      </c>
      <c r="E891" s="22"/>
      <c r="F891" s="22" t="s">
        <v>1518</v>
      </c>
      <c r="G891" s="22"/>
      <c r="H891" s="22"/>
      <c r="I891" s="25" t="s">
        <v>3838</v>
      </c>
      <c r="J891" s="22"/>
      <c r="K891" s="22" t="s">
        <v>3839</v>
      </c>
      <c r="L891" s="22"/>
      <c r="M891" s="22" t="str">
        <f>HYPERLINK("https://ceds.ed.gov/cedselementdetails.aspx?termid=22765")</f>
        <v>https://ceds.ed.gov/cedselementdetails.aspx?termid=22765</v>
      </c>
    </row>
    <row r="892" spans="1:13" x14ac:dyDescent="0.3">
      <c r="A892" s="22" t="s">
        <v>3840</v>
      </c>
      <c r="B892" s="22" t="s">
        <v>3841</v>
      </c>
      <c r="C892" s="23" t="s">
        <v>32</v>
      </c>
      <c r="D892" s="22" t="s">
        <v>1575</v>
      </c>
      <c r="E892" s="22"/>
      <c r="F892" s="22" t="s">
        <v>3842</v>
      </c>
      <c r="G892" s="22"/>
      <c r="H892" s="22"/>
      <c r="I892" s="25" t="s">
        <v>3843</v>
      </c>
      <c r="J892" s="22"/>
      <c r="K892" s="22" t="s">
        <v>3844</v>
      </c>
      <c r="L892" s="22"/>
      <c r="M892" s="22" t="str">
        <f>HYPERLINK("https://ceds.ed.gov/cedselementdetails.aspx?termid=22754")</f>
        <v>https://ceds.ed.gov/cedselementdetails.aspx?termid=22754</v>
      </c>
    </row>
    <row r="893" spans="1:13" x14ac:dyDescent="0.3">
      <c r="A893" s="22" t="s">
        <v>3845</v>
      </c>
      <c r="B893" s="22" t="s">
        <v>3846</v>
      </c>
      <c r="C893" s="23" t="s">
        <v>32</v>
      </c>
      <c r="D893" s="22" t="s">
        <v>1575</v>
      </c>
      <c r="E893" s="22"/>
      <c r="F893" s="22" t="s">
        <v>1165</v>
      </c>
      <c r="G893" s="22"/>
      <c r="H893" s="22"/>
      <c r="I893" s="25" t="s">
        <v>3847</v>
      </c>
      <c r="J893" s="22"/>
      <c r="K893" s="22" t="s">
        <v>3848</v>
      </c>
      <c r="L893" s="22"/>
      <c r="M893" s="22" t="str">
        <f>HYPERLINK("https://ceds.ed.gov/cedselementdetails.aspx?termid=22767")</f>
        <v>https://ceds.ed.gov/cedselementdetails.aspx?termid=22767</v>
      </c>
    </row>
    <row r="894" spans="1:13" ht="230.4" x14ac:dyDescent="0.3">
      <c r="A894" s="22" t="s">
        <v>3849</v>
      </c>
      <c r="B894" s="22" t="s">
        <v>3850</v>
      </c>
      <c r="C894" s="26" t="s">
        <v>8885</v>
      </c>
      <c r="D894" s="22" t="s">
        <v>1575</v>
      </c>
      <c r="E894" s="22"/>
      <c r="F894" s="22"/>
      <c r="G894" s="22"/>
      <c r="H894" s="22"/>
      <c r="I894" s="25" t="s">
        <v>3851</v>
      </c>
      <c r="J894" s="22"/>
      <c r="K894" s="22" t="s">
        <v>3852</v>
      </c>
      <c r="L894" s="22"/>
      <c r="M894" s="22" t="str">
        <f>HYPERLINK("https://ceds.ed.gov/cedselementdetails.aspx?termid=22768")</f>
        <v>https://ceds.ed.gov/cedselementdetails.aspx?termid=22768</v>
      </c>
    </row>
    <row r="895" spans="1:13" ht="259.2" x14ac:dyDescent="0.3">
      <c r="A895" s="22" t="s">
        <v>3853</v>
      </c>
      <c r="B895" s="22" t="s">
        <v>3854</v>
      </c>
      <c r="C895" s="26" t="s">
        <v>8886</v>
      </c>
      <c r="D895" s="22" t="s">
        <v>1584</v>
      </c>
      <c r="E895" s="22"/>
      <c r="F895" s="22"/>
      <c r="G895" s="22"/>
      <c r="H895" s="22"/>
      <c r="I895" s="25" t="s">
        <v>3855</v>
      </c>
      <c r="J895" s="22"/>
      <c r="K895" s="22" t="s">
        <v>3856</v>
      </c>
      <c r="L895" s="22"/>
      <c r="M895" s="22" t="str">
        <f>HYPERLINK("https://ceds.ed.gov/cedselementdetails.aspx?termid=22811")</f>
        <v>https://ceds.ed.gov/cedselementdetails.aspx?termid=22811</v>
      </c>
    </row>
    <row r="896" spans="1:13" x14ac:dyDescent="0.3">
      <c r="A896" s="22" t="s">
        <v>3857</v>
      </c>
      <c r="B896" s="22" t="s">
        <v>3858</v>
      </c>
      <c r="C896" s="23" t="s">
        <v>32</v>
      </c>
      <c r="D896" s="22" t="s">
        <v>1584</v>
      </c>
      <c r="E896" s="22"/>
      <c r="F896" s="22" t="s">
        <v>113</v>
      </c>
      <c r="G896" s="22"/>
      <c r="H896" s="22"/>
      <c r="I896" s="25" t="s">
        <v>3859</v>
      </c>
      <c r="J896" s="22"/>
      <c r="K896" s="22" t="s">
        <v>3860</v>
      </c>
      <c r="L896" s="22"/>
      <c r="M896" s="22" t="str">
        <f>HYPERLINK("https://ceds.ed.gov/cedselementdetails.aspx?termid=22174")</f>
        <v>https://ceds.ed.gov/cedselementdetails.aspx?termid=22174</v>
      </c>
    </row>
    <row r="897" spans="1:13" ht="244.8" x14ac:dyDescent="0.3">
      <c r="A897" s="22" t="s">
        <v>3861</v>
      </c>
      <c r="B897" s="22" t="s">
        <v>3862</v>
      </c>
      <c r="C897" s="26" t="s">
        <v>8887</v>
      </c>
      <c r="D897" s="22" t="s">
        <v>1524</v>
      </c>
      <c r="E897" s="22"/>
      <c r="F897" s="22"/>
      <c r="G897" s="22"/>
      <c r="H897" s="22"/>
      <c r="I897" s="25" t="s">
        <v>3863</v>
      </c>
      <c r="J897" s="22"/>
      <c r="K897" s="22" t="s">
        <v>3864</v>
      </c>
      <c r="L897" s="22"/>
      <c r="M897" s="22" t="str">
        <f>HYPERLINK("https://ceds.ed.gov/cedselementdetails.aspx?termid=22175")</f>
        <v>https://ceds.ed.gov/cedselementdetails.aspx?termid=22175</v>
      </c>
    </row>
    <row r="898" spans="1:13" ht="129.6" x14ac:dyDescent="0.3">
      <c r="A898" s="22" t="s">
        <v>3865</v>
      </c>
      <c r="B898" s="22" t="s">
        <v>3866</v>
      </c>
      <c r="C898" s="26" t="s">
        <v>8888</v>
      </c>
      <c r="D898" s="22" t="s">
        <v>1626</v>
      </c>
      <c r="E898" s="22"/>
      <c r="F898" s="22"/>
      <c r="G898" s="22"/>
      <c r="H898" s="22"/>
      <c r="I898" s="25" t="s">
        <v>3867</v>
      </c>
      <c r="J898" s="22"/>
      <c r="K898" s="22" t="s">
        <v>3868</v>
      </c>
      <c r="L898" s="22"/>
      <c r="M898" s="22" t="str">
        <f>HYPERLINK("https://ceds.ed.gov/cedselementdetails.aspx?termid=22865")</f>
        <v>https://ceds.ed.gov/cedselementdetails.aspx?termid=22865</v>
      </c>
    </row>
    <row r="899" spans="1:13" ht="216" x14ac:dyDescent="0.3">
      <c r="A899" s="22" t="s">
        <v>3869</v>
      </c>
      <c r="B899" s="22" t="s">
        <v>3870</v>
      </c>
      <c r="C899" s="26" t="s">
        <v>8889</v>
      </c>
      <c r="D899" s="22" t="s">
        <v>1589</v>
      </c>
      <c r="E899" s="22"/>
      <c r="F899" s="22"/>
      <c r="G899" s="22"/>
      <c r="H899" s="22"/>
      <c r="I899" s="25" t="s">
        <v>3871</v>
      </c>
      <c r="J899" s="22"/>
      <c r="K899" s="22" t="s">
        <v>3872</v>
      </c>
      <c r="L899" s="22"/>
      <c r="M899" s="22" t="str">
        <f>HYPERLINK("https://ceds.ed.gov/cedselementdetails.aspx?termid=22786")</f>
        <v>https://ceds.ed.gov/cedselementdetails.aspx?termid=22786</v>
      </c>
    </row>
    <row r="900" spans="1:13" x14ac:dyDescent="0.3">
      <c r="A900" s="22" t="s">
        <v>3873</v>
      </c>
      <c r="B900" s="22" t="s">
        <v>3874</v>
      </c>
      <c r="C900" s="23" t="s">
        <v>32</v>
      </c>
      <c r="D900" s="22" t="s">
        <v>1589</v>
      </c>
      <c r="E900" s="22"/>
      <c r="F900" s="22" t="s">
        <v>157</v>
      </c>
      <c r="G900" s="22"/>
      <c r="H900" s="22"/>
      <c r="I900" s="25" t="s">
        <v>3875</v>
      </c>
      <c r="J900" s="22"/>
      <c r="K900" s="22" t="s">
        <v>3876</v>
      </c>
      <c r="L900" s="22"/>
      <c r="M900" s="22" t="str">
        <f>HYPERLINK("https://ceds.ed.gov/cedselementdetails.aspx?termid=22787")</f>
        <v>https://ceds.ed.gov/cedselementdetails.aspx?termid=22787</v>
      </c>
    </row>
    <row r="901" spans="1:13" ht="244.8" x14ac:dyDescent="0.3">
      <c r="A901" s="22" t="s">
        <v>3877</v>
      </c>
      <c r="B901" s="22" t="s">
        <v>3878</v>
      </c>
      <c r="C901" s="26" t="s">
        <v>8890</v>
      </c>
      <c r="D901" s="22" t="s">
        <v>1589</v>
      </c>
      <c r="E901" s="22"/>
      <c r="F901" s="22"/>
      <c r="G901" s="22"/>
      <c r="H901" s="22"/>
      <c r="I901" s="25" t="s">
        <v>3879</v>
      </c>
      <c r="J901" s="22"/>
      <c r="K901" s="22" t="s">
        <v>3880</v>
      </c>
      <c r="L901" s="22"/>
      <c r="M901" s="22" t="str">
        <f>HYPERLINK("https://ceds.ed.gov/cedselementdetails.aspx?termid=22774")</f>
        <v>https://ceds.ed.gov/cedselementdetails.aspx?termid=22774</v>
      </c>
    </row>
    <row r="902" spans="1:13" x14ac:dyDescent="0.3">
      <c r="A902" s="22" t="s">
        <v>3881</v>
      </c>
      <c r="B902" s="22" t="s">
        <v>3882</v>
      </c>
      <c r="C902" s="23" t="s">
        <v>32</v>
      </c>
      <c r="D902" s="22" t="s">
        <v>3753</v>
      </c>
      <c r="E902" s="22"/>
      <c r="F902" s="22" t="s">
        <v>1518</v>
      </c>
      <c r="G902" s="22"/>
      <c r="H902" s="22"/>
      <c r="I902" s="25" t="s">
        <v>3883</v>
      </c>
      <c r="J902" s="22"/>
      <c r="K902" s="22" t="s">
        <v>3884</v>
      </c>
      <c r="L902" s="22"/>
      <c r="M902" s="22" t="str">
        <f>HYPERLINK("https://ceds.ed.gov/cedselementdetails.aspx?termid=22877")</f>
        <v>https://ceds.ed.gov/cedselementdetails.aspx?termid=22877</v>
      </c>
    </row>
    <row r="903" spans="1:13" ht="43.2" x14ac:dyDescent="0.3">
      <c r="A903" s="22" t="s">
        <v>3885</v>
      </c>
      <c r="B903" s="22" t="s">
        <v>3886</v>
      </c>
      <c r="C903" s="26" t="s">
        <v>8891</v>
      </c>
      <c r="D903" s="22" t="s">
        <v>1626</v>
      </c>
      <c r="E903" s="22"/>
      <c r="F903" s="22"/>
      <c r="G903" s="22"/>
      <c r="H903" s="22"/>
      <c r="I903" s="25" t="s">
        <v>3887</v>
      </c>
      <c r="J903" s="22"/>
      <c r="K903" s="22" t="s">
        <v>3888</v>
      </c>
      <c r="L903" s="22"/>
      <c r="M903" s="22" t="str">
        <f>HYPERLINK("https://ceds.ed.gov/cedselementdetails.aspx?termid=22859")</f>
        <v>https://ceds.ed.gov/cedselementdetails.aspx?termid=22859</v>
      </c>
    </row>
    <row r="904" spans="1:13" ht="158.4" x14ac:dyDescent="0.3">
      <c r="A904" s="22" t="s">
        <v>3889</v>
      </c>
      <c r="B904" s="22" t="s">
        <v>3890</v>
      </c>
      <c r="C904" s="26" t="s">
        <v>8892</v>
      </c>
      <c r="D904" s="22" t="s">
        <v>1626</v>
      </c>
      <c r="E904" s="22"/>
      <c r="F904" s="22"/>
      <c r="G904" s="22"/>
      <c r="H904" s="22"/>
      <c r="I904" s="25" t="s">
        <v>3891</v>
      </c>
      <c r="J904" s="22"/>
      <c r="K904" s="22" t="s">
        <v>3892</v>
      </c>
      <c r="L904" s="22"/>
      <c r="M904" s="22" t="str">
        <f>HYPERLINK("https://ceds.ed.gov/cedselementdetails.aspx?termid=22860")</f>
        <v>https://ceds.ed.gov/cedselementdetails.aspx?termid=22860</v>
      </c>
    </row>
    <row r="905" spans="1:13" ht="115.2" x14ac:dyDescent="0.3">
      <c r="A905" s="22" t="s">
        <v>3893</v>
      </c>
      <c r="B905" s="22" t="s">
        <v>3894</v>
      </c>
      <c r="C905" s="26" t="s">
        <v>8893</v>
      </c>
      <c r="D905" s="22" t="s">
        <v>3895</v>
      </c>
      <c r="E905" s="22"/>
      <c r="F905" s="22"/>
      <c r="G905" s="22"/>
      <c r="H905" s="22"/>
      <c r="I905" s="25" t="s">
        <v>3896</v>
      </c>
      <c r="J905" s="22"/>
      <c r="K905" s="22" t="s">
        <v>3897</v>
      </c>
      <c r="L905" s="24" t="s">
        <v>503</v>
      </c>
      <c r="M905" s="22" t="str">
        <f>HYPERLINK("https://ceds.ed.gov/cedselementdetails.aspx?termid=21582")</f>
        <v>https://ceds.ed.gov/cedselementdetails.aspx?termid=21582</v>
      </c>
    </row>
    <row r="906" spans="1:13" ht="43.2" x14ac:dyDescent="0.3">
      <c r="A906" s="22" t="s">
        <v>3898</v>
      </c>
      <c r="B906" s="22" t="s">
        <v>3899</v>
      </c>
      <c r="C906" s="26" t="s">
        <v>22</v>
      </c>
      <c r="D906" s="22" t="s">
        <v>66</v>
      </c>
      <c r="E906" s="22"/>
      <c r="F906" s="22"/>
      <c r="G906" s="22"/>
      <c r="H906" s="22" t="s">
        <v>3900</v>
      </c>
      <c r="I906" s="25" t="s">
        <v>3901</v>
      </c>
      <c r="J906" s="22"/>
      <c r="K906" s="22" t="s">
        <v>3902</v>
      </c>
      <c r="L906" s="22" t="s">
        <v>69</v>
      </c>
      <c r="M906" s="22" t="str">
        <f>HYPERLINK("https://ceds.ed.gov/cedselementdetails.aspx?termid=21711")</f>
        <v>https://ceds.ed.gov/cedselementdetails.aspx?termid=21711</v>
      </c>
    </row>
    <row r="907" spans="1:13" ht="100.8" x14ac:dyDescent="0.3">
      <c r="A907" s="22" t="s">
        <v>3903</v>
      </c>
      <c r="B907" s="22" t="s">
        <v>3904</v>
      </c>
      <c r="C907" s="26" t="s">
        <v>22</v>
      </c>
      <c r="D907" s="24" t="s">
        <v>2568</v>
      </c>
      <c r="E907" s="22"/>
      <c r="F907" s="22"/>
      <c r="G907" s="22"/>
      <c r="H907" s="22"/>
      <c r="I907" s="25" t="s">
        <v>3905</v>
      </c>
      <c r="J907" s="22"/>
      <c r="K907" s="22" t="s">
        <v>3906</v>
      </c>
      <c r="L907" s="22"/>
      <c r="M907" s="22" t="str">
        <f>HYPERLINK("https://ceds.ed.gov/cedselementdetails.aspx?termid=22311")</f>
        <v>https://ceds.ed.gov/cedselementdetails.aspx?termid=22311</v>
      </c>
    </row>
    <row r="908" spans="1:13" ht="57.6" x14ac:dyDescent="0.3">
      <c r="A908" s="22" t="s">
        <v>3907</v>
      </c>
      <c r="B908" s="22" t="s">
        <v>3908</v>
      </c>
      <c r="C908" s="23" t="s">
        <v>32</v>
      </c>
      <c r="D908" s="22" t="s">
        <v>8119</v>
      </c>
      <c r="E908" s="22"/>
      <c r="F908" s="22" t="s">
        <v>132</v>
      </c>
      <c r="G908" s="22"/>
      <c r="H908" s="22" t="s">
        <v>7945</v>
      </c>
      <c r="I908" s="25" t="s">
        <v>3909</v>
      </c>
      <c r="J908" s="22"/>
      <c r="K908" s="22" t="s">
        <v>3910</v>
      </c>
      <c r="L908" s="24" t="s">
        <v>2020</v>
      </c>
      <c r="M908" s="22" t="str">
        <f>HYPERLINK("https://ceds.ed.gov/cedselementdetails.aspx?termid=21784")</f>
        <v>https://ceds.ed.gov/cedselementdetails.aspx?termid=21784</v>
      </c>
    </row>
    <row r="909" spans="1:13" ht="28.8" x14ac:dyDescent="0.3">
      <c r="A909" s="22" t="s">
        <v>3911</v>
      </c>
      <c r="B909" s="22" t="s">
        <v>3912</v>
      </c>
      <c r="C909" s="23" t="s">
        <v>32</v>
      </c>
      <c r="D909" s="22" t="s">
        <v>8120</v>
      </c>
      <c r="E909" s="22"/>
      <c r="F909" s="22" t="s">
        <v>1518</v>
      </c>
      <c r="G909" s="22"/>
      <c r="H909" s="22" t="s">
        <v>3913</v>
      </c>
      <c r="I909" s="25" t="s">
        <v>3914</v>
      </c>
      <c r="J909" s="22"/>
      <c r="K909" s="22" t="s">
        <v>3915</v>
      </c>
      <c r="L909" s="24" t="s">
        <v>399</v>
      </c>
      <c r="M909" s="22" t="str">
        <f>HYPERLINK("https://ceds.ed.gov/cedselementdetails.aspx?termid=21331")</f>
        <v>https://ceds.ed.gov/cedselementdetails.aspx?termid=21331</v>
      </c>
    </row>
    <row r="910" spans="1:13" ht="129.6" x14ac:dyDescent="0.3">
      <c r="A910" s="22" t="s">
        <v>3916</v>
      </c>
      <c r="B910" s="22" t="s">
        <v>8121</v>
      </c>
      <c r="C910" s="23" t="s">
        <v>32</v>
      </c>
      <c r="D910" s="24" t="s">
        <v>8437</v>
      </c>
      <c r="E910" s="22" t="s">
        <v>172</v>
      </c>
      <c r="F910" s="22" t="s">
        <v>3917</v>
      </c>
      <c r="G910" s="22" t="s">
        <v>8122</v>
      </c>
      <c r="H910" s="22"/>
      <c r="I910" s="25" t="s">
        <v>3918</v>
      </c>
      <c r="J910" s="22"/>
      <c r="K910" s="22" t="s">
        <v>3919</v>
      </c>
      <c r="L910" s="22" t="s">
        <v>226</v>
      </c>
      <c r="M910" s="22" t="str">
        <f>HYPERLINK("https://ceds.ed.gov/cedselementdetails.aspx?termid=21538")</f>
        <v>https://ceds.ed.gov/cedselementdetails.aspx?termid=21538</v>
      </c>
    </row>
    <row r="911" spans="1:13" ht="43.2" x14ac:dyDescent="0.3">
      <c r="A911" s="22" t="s">
        <v>8123</v>
      </c>
      <c r="B911" s="22" t="s">
        <v>8124</v>
      </c>
      <c r="C911" s="26" t="s">
        <v>8379</v>
      </c>
      <c r="D911" s="24" t="s">
        <v>8388</v>
      </c>
      <c r="E911" s="22" t="s">
        <v>167</v>
      </c>
      <c r="F911" s="22" t="s">
        <v>2</v>
      </c>
      <c r="G911" s="22" t="s">
        <v>7949</v>
      </c>
      <c r="H911" s="22"/>
      <c r="I911" s="25" t="s">
        <v>8359</v>
      </c>
      <c r="J911" s="22"/>
      <c r="K911" s="22" t="s">
        <v>8125</v>
      </c>
      <c r="L911" s="22"/>
      <c r="M911" s="22" t="str">
        <f>HYPERLINK("https://ceds.ed.gov/cedselementdetails.aspx?termid=22980")</f>
        <v>https://ceds.ed.gov/cedselementdetails.aspx?termid=22980</v>
      </c>
    </row>
    <row r="912" spans="1:13" ht="100.8" x14ac:dyDescent="0.3">
      <c r="A912" s="22" t="s">
        <v>3920</v>
      </c>
      <c r="B912" s="22" t="s">
        <v>3921</v>
      </c>
      <c r="C912" s="23" t="s">
        <v>32</v>
      </c>
      <c r="D912" s="24" t="s">
        <v>3922</v>
      </c>
      <c r="E912" s="22"/>
      <c r="F912" s="22" t="s">
        <v>1518</v>
      </c>
      <c r="G912" s="22"/>
      <c r="H912" s="22"/>
      <c r="I912" s="25" t="s">
        <v>3923</v>
      </c>
      <c r="J912" s="22"/>
      <c r="K912" s="22" t="s">
        <v>3924</v>
      </c>
      <c r="L912" s="22" t="s">
        <v>226</v>
      </c>
      <c r="M912" s="22" t="str">
        <f>HYPERLINK("https://ceds.ed.gov/cedselementdetails.aspx?termid=21540")</f>
        <v>https://ceds.ed.gov/cedselementdetails.aspx?termid=21540</v>
      </c>
    </row>
    <row r="913" spans="1:13" ht="115.2" x14ac:dyDescent="0.3">
      <c r="A913" s="22" t="s">
        <v>3925</v>
      </c>
      <c r="B913" s="22" t="s">
        <v>3926</v>
      </c>
      <c r="C913" s="26" t="s">
        <v>8894</v>
      </c>
      <c r="D913" s="22" t="s">
        <v>3048</v>
      </c>
      <c r="E913" s="22"/>
      <c r="F913" s="22"/>
      <c r="G913" s="22"/>
      <c r="H913" s="22"/>
      <c r="I913" s="25" t="s">
        <v>3927</v>
      </c>
      <c r="J913" s="22"/>
      <c r="K913" s="22" t="s">
        <v>3928</v>
      </c>
      <c r="L913" s="22"/>
      <c r="M913" s="22" t="str">
        <f>HYPERLINK("https://ceds.ed.gov/cedselementdetails.aspx?termid=21539")</f>
        <v>https://ceds.ed.gov/cedselementdetails.aspx?termid=21539</v>
      </c>
    </row>
    <row r="914" spans="1:13" ht="244.8" x14ac:dyDescent="0.3">
      <c r="A914" s="22" t="s">
        <v>7528</v>
      </c>
      <c r="B914" s="22" t="s">
        <v>7529</v>
      </c>
      <c r="C914" s="26" t="s">
        <v>22</v>
      </c>
      <c r="D914" s="24" t="s">
        <v>8602</v>
      </c>
      <c r="E914" s="22"/>
      <c r="F914" s="22"/>
      <c r="G914" s="22"/>
      <c r="H914" s="22"/>
      <c r="I914" s="25" t="s">
        <v>7530</v>
      </c>
      <c r="J914" s="22"/>
      <c r="K914" s="22" t="s">
        <v>7531</v>
      </c>
      <c r="L914" s="22"/>
      <c r="M914" s="22" t="str">
        <f>HYPERLINK("https://ceds.ed.gov/cedselementdetails.aspx?termid=22932")</f>
        <v>https://ceds.ed.gov/cedselementdetails.aspx?termid=22932</v>
      </c>
    </row>
    <row r="915" spans="1:13" x14ac:dyDescent="0.3">
      <c r="A915" s="22" t="s">
        <v>3929</v>
      </c>
      <c r="B915" s="22" t="s">
        <v>8126</v>
      </c>
      <c r="C915" s="23" t="s">
        <v>3930</v>
      </c>
      <c r="D915" s="22" t="s">
        <v>1962</v>
      </c>
      <c r="E915" s="22"/>
      <c r="F915" s="22" t="s">
        <v>3931</v>
      </c>
      <c r="G915" s="22"/>
      <c r="H915" s="22"/>
      <c r="I915" s="25" t="s">
        <v>3932</v>
      </c>
      <c r="J915" s="22"/>
      <c r="K915" s="22" t="s">
        <v>3933</v>
      </c>
      <c r="L915" s="22" t="s">
        <v>242</v>
      </c>
      <c r="M915" s="22" t="str">
        <f>HYPERLINK("https://ceds.ed.gov/cedselementdetails.aspx?termid=21111")</f>
        <v>https://ceds.ed.gov/cedselementdetails.aspx?termid=21111</v>
      </c>
    </row>
    <row r="916" spans="1:13" ht="409.6" x14ac:dyDescent="0.3">
      <c r="A916" s="22" t="s">
        <v>8127</v>
      </c>
      <c r="B916" s="22" t="s">
        <v>3941</v>
      </c>
      <c r="C916" s="26" t="s">
        <v>8438</v>
      </c>
      <c r="D916" s="24" t="s">
        <v>3942</v>
      </c>
      <c r="E916" s="22" t="s">
        <v>172</v>
      </c>
      <c r="F916" s="22"/>
      <c r="G916" s="22" t="s">
        <v>8128</v>
      </c>
      <c r="H916" s="22" t="s">
        <v>8129</v>
      </c>
      <c r="I916" s="25" t="s">
        <v>3943</v>
      </c>
      <c r="J916" s="22"/>
      <c r="K916" s="22" t="s">
        <v>8130</v>
      </c>
      <c r="L916" s="22"/>
      <c r="M916" s="22" t="str">
        <f>HYPERLINK("https://ceds.ed.gov/cedselementdetails.aspx?termid=22320")</f>
        <v>https://ceds.ed.gov/cedselementdetails.aspx?termid=22320</v>
      </c>
    </row>
    <row r="917" spans="1:13" ht="187.2" x14ac:dyDescent="0.3">
      <c r="A917" s="22" t="s">
        <v>3934</v>
      </c>
      <c r="B917" s="22" t="s">
        <v>3935</v>
      </c>
      <c r="C917" s="26" t="s">
        <v>8439</v>
      </c>
      <c r="D917" s="24" t="s">
        <v>8440</v>
      </c>
      <c r="E917" s="22" t="s">
        <v>172</v>
      </c>
      <c r="F917" s="22"/>
      <c r="G917" s="22" t="s">
        <v>7946</v>
      </c>
      <c r="H917" s="22"/>
      <c r="I917" s="25" t="s">
        <v>3936</v>
      </c>
      <c r="J917" s="22"/>
      <c r="K917" s="22" t="s">
        <v>3937</v>
      </c>
      <c r="L917" s="22"/>
      <c r="M917" s="22" t="str">
        <f>HYPERLINK("https://ceds.ed.gov/cedselementdetails.aspx?termid=22312")</f>
        <v>https://ceds.ed.gov/cedselementdetails.aspx?termid=22312</v>
      </c>
    </row>
    <row r="918" spans="1:13" ht="43.2" x14ac:dyDescent="0.3">
      <c r="A918" s="22" t="s">
        <v>8131</v>
      </c>
      <c r="B918" s="22" t="s">
        <v>8132</v>
      </c>
      <c r="C918" s="26" t="s">
        <v>8380</v>
      </c>
      <c r="D918" s="24" t="s">
        <v>8388</v>
      </c>
      <c r="E918" s="22" t="s">
        <v>167</v>
      </c>
      <c r="F918" s="22" t="s">
        <v>2</v>
      </c>
      <c r="G918" s="22" t="s">
        <v>7949</v>
      </c>
      <c r="H918" s="22"/>
      <c r="I918" s="25" t="s">
        <v>8360</v>
      </c>
      <c r="J918" s="22"/>
      <c r="K918" s="22" t="s">
        <v>8133</v>
      </c>
      <c r="L918" s="22"/>
      <c r="M918" s="22" t="str">
        <f>HYPERLINK("https://ceds.ed.gov/cedselementdetails.aspx?termid=22981")</f>
        <v>https://ceds.ed.gov/cedselementdetails.aspx?termid=22981</v>
      </c>
    </row>
    <row r="919" spans="1:13" ht="187.2" x14ac:dyDescent="0.3">
      <c r="A919" s="22" t="s">
        <v>3938</v>
      </c>
      <c r="B919" s="22" t="s">
        <v>8134</v>
      </c>
      <c r="C919" s="23" t="s">
        <v>32</v>
      </c>
      <c r="D919" s="24" t="s">
        <v>8440</v>
      </c>
      <c r="E919" s="22" t="s">
        <v>172</v>
      </c>
      <c r="F919" s="22" t="s">
        <v>113</v>
      </c>
      <c r="G919" s="22" t="s">
        <v>8135</v>
      </c>
      <c r="H919" s="22"/>
      <c r="I919" s="25" t="s">
        <v>3939</v>
      </c>
      <c r="J919" s="22"/>
      <c r="K919" s="22" t="s">
        <v>3940</v>
      </c>
      <c r="L919" s="22"/>
      <c r="M919" s="22" t="str">
        <f>HYPERLINK("https://ceds.ed.gov/cedselementdetails.aspx?termid=22313")</f>
        <v>https://ceds.ed.gov/cedselementdetails.aspx?termid=22313</v>
      </c>
    </row>
    <row r="920" spans="1:13" ht="144" x14ac:dyDescent="0.3">
      <c r="A920" s="22" t="s">
        <v>8136</v>
      </c>
      <c r="B920" s="22" t="s">
        <v>3944</v>
      </c>
      <c r="C920" s="26" t="s">
        <v>8441</v>
      </c>
      <c r="D920" s="24" t="s">
        <v>8442</v>
      </c>
      <c r="E920" s="22" t="s">
        <v>172</v>
      </c>
      <c r="F920" s="22"/>
      <c r="G920" s="22" t="s">
        <v>8137</v>
      </c>
      <c r="H920" s="22" t="s">
        <v>8138</v>
      </c>
      <c r="I920" s="25" t="s">
        <v>3945</v>
      </c>
      <c r="J920" s="22"/>
      <c r="K920" s="22" t="s">
        <v>8139</v>
      </c>
      <c r="L920" s="22"/>
      <c r="M920" s="22" t="str">
        <f>HYPERLINK("https://ceds.ed.gov/cedselementdetails.aspx?termid=22314")</f>
        <v>https://ceds.ed.gov/cedselementdetails.aspx?termid=22314</v>
      </c>
    </row>
    <row r="921" spans="1:13" ht="43.2" x14ac:dyDescent="0.3">
      <c r="A921" s="22" t="s">
        <v>8140</v>
      </c>
      <c r="B921" s="22" t="s">
        <v>8141</v>
      </c>
      <c r="C921" s="26" t="s">
        <v>8379</v>
      </c>
      <c r="D921" s="24" t="s">
        <v>8388</v>
      </c>
      <c r="E921" s="22" t="s">
        <v>167</v>
      </c>
      <c r="F921" s="22" t="s">
        <v>2</v>
      </c>
      <c r="G921" s="22" t="s">
        <v>7949</v>
      </c>
      <c r="H921" s="22"/>
      <c r="I921" s="25" t="s">
        <v>8361</v>
      </c>
      <c r="J921" s="22"/>
      <c r="K921" s="22" t="s">
        <v>8142</v>
      </c>
      <c r="L921" s="22"/>
      <c r="M921" s="22" t="str">
        <f>HYPERLINK("https://ceds.ed.gov/cedselementdetails.aspx?termid=22982")</f>
        <v>https://ceds.ed.gov/cedselementdetails.aspx?termid=22982</v>
      </c>
    </row>
    <row r="922" spans="1:13" ht="43.2" x14ac:dyDescent="0.3">
      <c r="A922" s="22" t="s">
        <v>8143</v>
      </c>
      <c r="B922" s="22" t="s">
        <v>8144</v>
      </c>
      <c r="C922" s="26" t="s">
        <v>8379</v>
      </c>
      <c r="D922" s="24" t="s">
        <v>8388</v>
      </c>
      <c r="E922" s="22" t="s">
        <v>167</v>
      </c>
      <c r="F922" s="22" t="s">
        <v>2</v>
      </c>
      <c r="G922" s="22" t="s">
        <v>7949</v>
      </c>
      <c r="H922" s="22"/>
      <c r="I922" s="25" t="s">
        <v>8362</v>
      </c>
      <c r="J922" s="22"/>
      <c r="K922" s="22" t="s">
        <v>8145</v>
      </c>
      <c r="L922" s="22"/>
      <c r="M922" s="22" t="str">
        <f>HYPERLINK("https://ceds.ed.gov/cedselementdetails.aspx?termid=22983")</f>
        <v>https://ceds.ed.gov/cedselementdetails.aspx?termid=22983</v>
      </c>
    </row>
    <row r="923" spans="1:13" ht="43.2" x14ac:dyDescent="0.3">
      <c r="A923" s="22" t="s">
        <v>8146</v>
      </c>
      <c r="B923" s="22" t="s">
        <v>8147</v>
      </c>
      <c r="C923" s="26" t="s">
        <v>8379</v>
      </c>
      <c r="D923" s="24" t="s">
        <v>8388</v>
      </c>
      <c r="E923" s="22" t="s">
        <v>167</v>
      </c>
      <c r="F923" s="22" t="s">
        <v>2</v>
      </c>
      <c r="G923" s="22" t="s">
        <v>7949</v>
      </c>
      <c r="H923" s="22"/>
      <c r="I923" s="25" t="s">
        <v>8363</v>
      </c>
      <c r="J923" s="22"/>
      <c r="K923" s="22" t="s">
        <v>8148</v>
      </c>
      <c r="L923" s="22"/>
      <c r="M923" s="22" t="str">
        <f>HYPERLINK("https://ceds.ed.gov/cedselementdetails.aspx?termid=22984")</f>
        <v>https://ceds.ed.gov/cedselementdetails.aspx?termid=22984</v>
      </c>
    </row>
    <row r="924" spans="1:13" ht="43.2" x14ac:dyDescent="0.3">
      <c r="A924" s="22" t="s">
        <v>8149</v>
      </c>
      <c r="B924" s="22" t="s">
        <v>8150</v>
      </c>
      <c r="C924" s="26" t="s">
        <v>8379</v>
      </c>
      <c r="D924" s="24" t="s">
        <v>8388</v>
      </c>
      <c r="E924" s="22" t="s">
        <v>167</v>
      </c>
      <c r="F924" s="22" t="s">
        <v>2</v>
      </c>
      <c r="G924" s="22" t="s">
        <v>7949</v>
      </c>
      <c r="H924" s="22"/>
      <c r="I924" s="25" t="s">
        <v>8364</v>
      </c>
      <c r="J924" s="22"/>
      <c r="K924" s="22" t="s">
        <v>8151</v>
      </c>
      <c r="L924" s="22"/>
      <c r="M924" s="22" t="str">
        <f>HYPERLINK("https://ceds.ed.gov/cedselementdetails.aspx?termid=22985")</f>
        <v>https://ceds.ed.gov/cedselementdetails.aspx?termid=22985</v>
      </c>
    </row>
    <row r="925" spans="1:13" ht="158.4" x14ac:dyDescent="0.3">
      <c r="A925" s="22" t="s">
        <v>3948</v>
      </c>
      <c r="B925" s="22" t="s">
        <v>8152</v>
      </c>
      <c r="C925" s="23" t="s">
        <v>32</v>
      </c>
      <c r="D925" s="24" t="s">
        <v>8443</v>
      </c>
      <c r="E925" s="22" t="s">
        <v>172</v>
      </c>
      <c r="F925" s="22" t="s">
        <v>780</v>
      </c>
      <c r="G925" s="22" t="s">
        <v>8135</v>
      </c>
      <c r="H925" s="22"/>
      <c r="I925" s="25" t="s">
        <v>3949</v>
      </c>
      <c r="J925" s="22"/>
      <c r="K925" s="22" t="s">
        <v>3950</v>
      </c>
      <c r="L925" s="22"/>
      <c r="M925" s="22" t="str">
        <f>HYPERLINK("https://ceds.ed.gov/cedselementdetails.aspx?termid=22315")</f>
        <v>https://ceds.ed.gov/cedselementdetails.aspx?termid=22315</v>
      </c>
    </row>
    <row r="926" spans="1:13" ht="158.4" x14ac:dyDescent="0.3">
      <c r="A926" s="22" t="s">
        <v>3951</v>
      </c>
      <c r="B926" s="22" t="s">
        <v>8153</v>
      </c>
      <c r="C926" s="23" t="s">
        <v>32</v>
      </c>
      <c r="D926" s="24" t="s">
        <v>8443</v>
      </c>
      <c r="E926" s="22" t="s">
        <v>172</v>
      </c>
      <c r="F926" s="22" t="s">
        <v>85</v>
      </c>
      <c r="G926" s="22" t="s">
        <v>7946</v>
      </c>
      <c r="H926" s="22"/>
      <c r="I926" s="25" t="s">
        <v>3952</v>
      </c>
      <c r="J926" s="22"/>
      <c r="K926" s="22" t="s">
        <v>3953</v>
      </c>
      <c r="L926" s="22"/>
      <c r="M926" s="22" t="str">
        <f>HYPERLINK("https://ceds.ed.gov/cedselementdetails.aspx?termid=22530")</f>
        <v>https://ceds.ed.gov/cedselementdetails.aspx?termid=22530</v>
      </c>
    </row>
    <row r="927" spans="1:13" ht="201.6" x14ac:dyDescent="0.3">
      <c r="A927" s="22" t="s">
        <v>8154</v>
      </c>
      <c r="B927" s="22" t="s">
        <v>8155</v>
      </c>
      <c r="C927" s="26" t="s">
        <v>8444</v>
      </c>
      <c r="D927" s="24" t="s">
        <v>8442</v>
      </c>
      <c r="E927" s="22" t="s">
        <v>172</v>
      </c>
      <c r="F927" s="22"/>
      <c r="G927" s="22" t="s">
        <v>8137</v>
      </c>
      <c r="H927" s="22" t="s">
        <v>8156</v>
      </c>
      <c r="I927" s="25" t="s">
        <v>3946</v>
      </c>
      <c r="J927" s="22"/>
      <c r="K927" s="22" t="s">
        <v>8157</v>
      </c>
      <c r="L927" s="22"/>
      <c r="M927" s="22" t="str">
        <f>HYPERLINK("https://ceds.ed.gov/cedselementdetails.aspx?termid=22316")</f>
        <v>https://ceds.ed.gov/cedselementdetails.aspx?termid=22316</v>
      </c>
    </row>
    <row r="928" spans="1:13" ht="158.4" x14ac:dyDescent="0.3">
      <c r="A928" s="22" t="s">
        <v>3954</v>
      </c>
      <c r="B928" s="22" t="s">
        <v>8158</v>
      </c>
      <c r="C928" s="23" t="s">
        <v>32</v>
      </c>
      <c r="D928" s="24" t="s">
        <v>8443</v>
      </c>
      <c r="E928" s="22" t="s">
        <v>172</v>
      </c>
      <c r="F928" s="22" t="s">
        <v>780</v>
      </c>
      <c r="G928" s="22" t="s">
        <v>8159</v>
      </c>
      <c r="H928" s="22"/>
      <c r="I928" s="25" t="s">
        <v>3955</v>
      </c>
      <c r="J928" s="22"/>
      <c r="K928" s="22" t="s">
        <v>3956</v>
      </c>
      <c r="L928" s="22"/>
      <c r="M928" s="22" t="str">
        <f>HYPERLINK("https://ceds.ed.gov/cedselementdetails.aspx?termid=22626")</f>
        <v>https://ceds.ed.gov/cedselementdetails.aspx?termid=22626</v>
      </c>
    </row>
    <row r="929" spans="1:13" ht="158.4" x14ac:dyDescent="0.3">
      <c r="A929" s="22" t="s">
        <v>3957</v>
      </c>
      <c r="B929" s="22" t="s">
        <v>8160</v>
      </c>
      <c r="C929" s="23" t="s">
        <v>32</v>
      </c>
      <c r="D929" s="24" t="s">
        <v>8443</v>
      </c>
      <c r="E929" s="22" t="s">
        <v>172</v>
      </c>
      <c r="F929" s="22" t="s">
        <v>85</v>
      </c>
      <c r="G929" s="22" t="s">
        <v>8159</v>
      </c>
      <c r="H929" s="22"/>
      <c r="I929" s="25" t="s">
        <v>3958</v>
      </c>
      <c r="J929" s="22"/>
      <c r="K929" s="22" t="s">
        <v>3959</v>
      </c>
      <c r="L929" s="22"/>
      <c r="M929" s="22" t="str">
        <f>HYPERLINK("https://ceds.ed.gov/cedselementdetails.aspx?termid=22627")</f>
        <v>https://ceds.ed.gov/cedselementdetails.aspx?termid=22627</v>
      </c>
    </row>
    <row r="930" spans="1:13" ht="409.6" x14ac:dyDescent="0.3">
      <c r="A930" s="22" t="s">
        <v>8161</v>
      </c>
      <c r="B930" s="22" t="s">
        <v>8162</v>
      </c>
      <c r="C930" s="26" t="s">
        <v>8445</v>
      </c>
      <c r="D930" s="24" t="s">
        <v>8446</v>
      </c>
      <c r="E930" s="22" t="s">
        <v>172</v>
      </c>
      <c r="F930" s="22"/>
      <c r="G930" s="22" t="s">
        <v>8137</v>
      </c>
      <c r="H930" s="22" t="s">
        <v>8163</v>
      </c>
      <c r="I930" s="25" t="s">
        <v>3947</v>
      </c>
      <c r="J930" s="22"/>
      <c r="K930" s="22" t="s">
        <v>8164</v>
      </c>
      <c r="L930" s="22"/>
      <c r="M930" s="22" t="str">
        <f>HYPERLINK("https://ceds.ed.gov/cedselementdetails.aspx?termid=22440")</f>
        <v>https://ceds.ed.gov/cedselementdetails.aspx?termid=22440</v>
      </c>
    </row>
    <row r="931" spans="1:13" ht="158.4" x14ac:dyDescent="0.3">
      <c r="A931" s="22" t="s">
        <v>3960</v>
      </c>
      <c r="B931" s="22" t="s">
        <v>3961</v>
      </c>
      <c r="C931" s="23" t="s">
        <v>32</v>
      </c>
      <c r="D931" s="24" t="s">
        <v>8443</v>
      </c>
      <c r="E931" s="22" t="s">
        <v>172</v>
      </c>
      <c r="F931" s="22" t="s">
        <v>118</v>
      </c>
      <c r="G931" s="22" t="s">
        <v>7946</v>
      </c>
      <c r="H931" s="22"/>
      <c r="I931" s="25" t="s">
        <v>3962</v>
      </c>
      <c r="J931" s="22"/>
      <c r="K931" s="22" t="s">
        <v>3963</v>
      </c>
      <c r="L931" s="22"/>
      <c r="M931" s="22" t="str">
        <f>HYPERLINK("https://ceds.ed.gov/cedselementdetails.aspx?termid=22629")</f>
        <v>https://ceds.ed.gov/cedselementdetails.aspx?termid=22629</v>
      </c>
    </row>
    <row r="932" spans="1:13" ht="187.2" x14ac:dyDescent="0.3">
      <c r="A932" s="22" t="s">
        <v>3964</v>
      </c>
      <c r="B932" s="22" t="s">
        <v>3965</v>
      </c>
      <c r="C932" s="23" t="s">
        <v>32</v>
      </c>
      <c r="D932" s="24" t="s">
        <v>8440</v>
      </c>
      <c r="E932" s="22" t="s">
        <v>172</v>
      </c>
      <c r="F932" s="22" t="s">
        <v>1518</v>
      </c>
      <c r="G932" s="22" t="s">
        <v>7946</v>
      </c>
      <c r="H932" s="22"/>
      <c r="I932" s="25" t="s">
        <v>3966</v>
      </c>
      <c r="J932" s="22"/>
      <c r="K932" s="22" t="s">
        <v>3967</v>
      </c>
      <c r="L932" s="22"/>
      <c r="M932" s="22" t="str">
        <f>HYPERLINK("https://ceds.ed.gov/cedselementdetails.aspx?termid=22317")</f>
        <v>https://ceds.ed.gov/cedselementdetails.aspx?termid=22317</v>
      </c>
    </row>
    <row r="933" spans="1:13" ht="187.2" x14ac:dyDescent="0.3">
      <c r="A933" s="22" t="s">
        <v>3968</v>
      </c>
      <c r="B933" s="22" t="s">
        <v>3969</v>
      </c>
      <c r="C933" s="23" t="s">
        <v>32</v>
      </c>
      <c r="D933" s="24" t="s">
        <v>8440</v>
      </c>
      <c r="E933" s="22" t="s">
        <v>172</v>
      </c>
      <c r="F933" s="22" t="s">
        <v>1518</v>
      </c>
      <c r="G933" s="22" t="s">
        <v>7946</v>
      </c>
      <c r="H933" s="22"/>
      <c r="I933" s="25" t="s">
        <v>3970</v>
      </c>
      <c r="J933" s="22"/>
      <c r="K933" s="22" t="s">
        <v>3971</v>
      </c>
      <c r="L933" s="22"/>
      <c r="M933" s="22" t="str">
        <f>HYPERLINK("https://ceds.ed.gov/cedselementdetails.aspx?termid=22318")</f>
        <v>https://ceds.ed.gov/cedselementdetails.aspx?termid=22318</v>
      </c>
    </row>
    <row r="934" spans="1:13" ht="187.2" x14ac:dyDescent="0.3">
      <c r="A934" s="22" t="s">
        <v>3972</v>
      </c>
      <c r="B934" s="22" t="s">
        <v>3973</v>
      </c>
      <c r="C934" s="23" t="s">
        <v>32</v>
      </c>
      <c r="D934" s="24" t="s">
        <v>8440</v>
      </c>
      <c r="E934" s="22" t="s">
        <v>172</v>
      </c>
      <c r="F934" s="22" t="s">
        <v>1518</v>
      </c>
      <c r="G934" s="22" t="s">
        <v>7946</v>
      </c>
      <c r="H934" s="22" t="s">
        <v>3974</v>
      </c>
      <c r="I934" s="25" t="s">
        <v>3975</v>
      </c>
      <c r="J934" s="22"/>
      <c r="K934" s="22" t="s">
        <v>3976</v>
      </c>
      <c r="L934" s="22"/>
      <c r="M934" s="22" t="str">
        <f>HYPERLINK("https://ceds.ed.gov/cedselementdetails.aspx?termid=22625")</f>
        <v>https://ceds.ed.gov/cedselementdetails.aspx?termid=22625</v>
      </c>
    </row>
    <row r="935" spans="1:13" ht="158.4" x14ac:dyDescent="0.3">
      <c r="A935" s="22" t="s">
        <v>3977</v>
      </c>
      <c r="B935" s="22" t="s">
        <v>3978</v>
      </c>
      <c r="C935" s="23" t="s">
        <v>32</v>
      </c>
      <c r="D935" s="24" t="s">
        <v>8443</v>
      </c>
      <c r="E935" s="22" t="s">
        <v>172</v>
      </c>
      <c r="F935" s="22" t="s">
        <v>1518</v>
      </c>
      <c r="G935" s="22" t="s">
        <v>7946</v>
      </c>
      <c r="H935" s="22" t="s">
        <v>3979</v>
      </c>
      <c r="I935" s="25" t="s">
        <v>3980</v>
      </c>
      <c r="J935" s="22"/>
      <c r="K935" s="22" t="s">
        <v>3981</v>
      </c>
      <c r="L935" s="22"/>
      <c r="M935" s="22" t="str">
        <f>HYPERLINK("https://ceds.ed.gov/cedselementdetails.aspx?termid=22628")</f>
        <v>https://ceds.ed.gov/cedselementdetails.aspx?termid=22628</v>
      </c>
    </row>
    <row r="936" spans="1:13" ht="43.2" x14ac:dyDescent="0.3">
      <c r="A936" s="22" t="s">
        <v>3982</v>
      </c>
      <c r="B936" s="22" t="s">
        <v>8165</v>
      </c>
      <c r="C936" s="26" t="s">
        <v>22</v>
      </c>
      <c r="D936" s="22" t="s">
        <v>3983</v>
      </c>
      <c r="E936" s="22"/>
      <c r="F936" s="22"/>
      <c r="G936" s="22"/>
      <c r="H936" s="22" t="s">
        <v>8166</v>
      </c>
      <c r="I936" s="25" t="s">
        <v>3984</v>
      </c>
      <c r="J936" s="22"/>
      <c r="K936" s="22" t="s">
        <v>3985</v>
      </c>
      <c r="L936" s="22" t="s">
        <v>252</v>
      </c>
      <c r="M936" s="22" t="str">
        <f>HYPERLINK("https://ceds.ed.gov/cedselementdetails.aspx?termid=21745")</f>
        <v>https://ceds.ed.gov/cedselementdetails.aspx?termid=21745</v>
      </c>
    </row>
    <row r="937" spans="1:13" ht="115.2" x14ac:dyDescent="0.3">
      <c r="A937" s="22" t="s">
        <v>3986</v>
      </c>
      <c r="B937" s="22" t="s">
        <v>3987</v>
      </c>
      <c r="C937" s="26" t="s">
        <v>8895</v>
      </c>
      <c r="D937" s="22" t="s">
        <v>3983</v>
      </c>
      <c r="E937" s="22"/>
      <c r="F937" s="22"/>
      <c r="G937" s="22"/>
      <c r="H937" s="22" t="s">
        <v>8167</v>
      </c>
      <c r="I937" s="25" t="s">
        <v>3988</v>
      </c>
      <c r="J937" s="22"/>
      <c r="K937" s="22" t="s">
        <v>3989</v>
      </c>
      <c r="L937" s="22" t="s">
        <v>252</v>
      </c>
      <c r="M937" s="22" t="str">
        <f>HYPERLINK("https://ceds.ed.gov/cedselementdetails.aspx?termid=22186")</f>
        <v>https://ceds.ed.gov/cedselementdetails.aspx?termid=22186</v>
      </c>
    </row>
    <row r="938" spans="1:13" ht="72" x14ac:dyDescent="0.3">
      <c r="A938" s="22" t="s">
        <v>3990</v>
      </c>
      <c r="B938" s="22" t="s">
        <v>3991</v>
      </c>
      <c r="C938" s="23" t="s">
        <v>32</v>
      </c>
      <c r="D938" s="22" t="s">
        <v>3983</v>
      </c>
      <c r="E938" s="22"/>
      <c r="F938" s="22" t="s">
        <v>1518</v>
      </c>
      <c r="G938" s="22"/>
      <c r="H938" s="22" t="s">
        <v>8168</v>
      </c>
      <c r="I938" s="25" t="s">
        <v>3992</v>
      </c>
      <c r="J938" s="22"/>
      <c r="K938" s="22" t="s">
        <v>3993</v>
      </c>
      <c r="L938" s="24" t="s">
        <v>3994</v>
      </c>
      <c r="M938" s="22" t="str">
        <f>HYPERLINK("https://ceds.ed.gov/cedselementdetails.aspx?termid=21112")</f>
        <v>https://ceds.ed.gov/cedselementdetails.aspx?termid=21112</v>
      </c>
    </row>
    <row r="939" spans="1:13" ht="72" x14ac:dyDescent="0.3">
      <c r="A939" s="22" t="s">
        <v>3995</v>
      </c>
      <c r="B939" s="22" t="s">
        <v>3996</v>
      </c>
      <c r="C939" s="26" t="s">
        <v>8896</v>
      </c>
      <c r="D939" s="22" t="s">
        <v>3983</v>
      </c>
      <c r="E939" s="22"/>
      <c r="F939" s="22"/>
      <c r="G939" s="22"/>
      <c r="H939" s="22" t="s">
        <v>8169</v>
      </c>
      <c r="I939" s="25" t="s">
        <v>3997</v>
      </c>
      <c r="J939" s="22"/>
      <c r="K939" s="22" t="s">
        <v>3998</v>
      </c>
      <c r="L939" s="24" t="s">
        <v>3994</v>
      </c>
      <c r="M939" s="22" t="str">
        <f>HYPERLINK("https://ceds.ed.gov/cedselementdetails.aspx?termid=21362")</f>
        <v>https://ceds.ed.gov/cedselementdetails.aspx?termid=21362</v>
      </c>
    </row>
    <row r="940" spans="1:13" ht="409.6" x14ac:dyDescent="0.3">
      <c r="A940" s="22" t="s">
        <v>3999</v>
      </c>
      <c r="B940" s="22" t="s">
        <v>4000</v>
      </c>
      <c r="C940" s="26" t="s">
        <v>8897</v>
      </c>
      <c r="D940" s="22" t="s">
        <v>3983</v>
      </c>
      <c r="E940" s="22"/>
      <c r="F940" s="22"/>
      <c r="G940" s="22"/>
      <c r="H940" s="22" t="s">
        <v>8170</v>
      </c>
      <c r="I940" s="25" t="s">
        <v>4001</v>
      </c>
      <c r="J940" s="22"/>
      <c r="K940" s="22" t="s">
        <v>4002</v>
      </c>
      <c r="L940" s="24" t="s">
        <v>3994</v>
      </c>
      <c r="M940" s="22" t="str">
        <f>HYPERLINK("https://ceds.ed.gov/cedselementdetails.aspx?termid=21113")</f>
        <v>https://ceds.ed.gov/cedselementdetails.aspx?termid=21113</v>
      </c>
    </row>
    <row r="941" spans="1:13" x14ac:dyDescent="0.3">
      <c r="A941" s="22" t="s">
        <v>4003</v>
      </c>
      <c r="B941" s="22" t="s">
        <v>8171</v>
      </c>
      <c r="C941" s="23" t="s">
        <v>32</v>
      </c>
      <c r="D941" s="22" t="s">
        <v>3983</v>
      </c>
      <c r="E941" s="22"/>
      <c r="F941" s="22" t="s">
        <v>1518</v>
      </c>
      <c r="G941" s="22"/>
      <c r="H941" s="22"/>
      <c r="I941" s="25" t="s">
        <v>4004</v>
      </c>
      <c r="J941" s="22"/>
      <c r="K941" s="22" t="s">
        <v>4005</v>
      </c>
      <c r="L941" s="22"/>
      <c r="M941" s="22" t="str">
        <f>HYPERLINK("https://ceds.ed.gov/cedselementdetails.aspx?termid=22319")</f>
        <v>https://ceds.ed.gov/cedselementdetails.aspx?termid=22319</v>
      </c>
    </row>
    <row r="942" spans="1:13" ht="100.8" x14ac:dyDescent="0.3">
      <c r="A942" s="22" t="s">
        <v>4006</v>
      </c>
      <c r="B942" s="22" t="s">
        <v>4007</v>
      </c>
      <c r="C942" s="26" t="s">
        <v>8898</v>
      </c>
      <c r="D942" s="22" t="s">
        <v>3983</v>
      </c>
      <c r="E942" s="22"/>
      <c r="F942" s="22"/>
      <c r="G942" s="22"/>
      <c r="H942" s="22"/>
      <c r="I942" s="25" t="s">
        <v>4008</v>
      </c>
      <c r="J942" s="22"/>
      <c r="K942" s="22" t="s">
        <v>4009</v>
      </c>
      <c r="L942" s="22" t="s">
        <v>2608</v>
      </c>
      <c r="M942" s="22" t="str">
        <f>HYPERLINK("https://ceds.ed.gov/cedselementdetails.aspx?termid=22588")</f>
        <v>https://ceds.ed.gov/cedselementdetails.aspx?termid=22588</v>
      </c>
    </row>
    <row r="943" spans="1:13" ht="57.6" x14ac:dyDescent="0.3">
      <c r="A943" s="22" t="s">
        <v>4010</v>
      </c>
      <c r="B943" s="22" t="s">
        <v>4011</v>
      </c>
      <c r="C943" s="26" t="s">
        <v>8899</v>
      </c>
      <c r="D943" s="22" t="s">
        <v>3983</v>
      </c>
      <c r="E943" s="22"/>
      <c r="F943" s="22"/>
      <c r="G943" s="22"/>
      <c r="H943" s="22"/>
      <c r="I943" s="25" t="s">
        <v>4012</v>
      </c>
      <c r="J943" s="22"/>
      <c r="K943" s="22" t="s">
        <v>4013</v>
      </c>
      <c r="L943" s="22" t="s">
        <v>242</v>
      </c>
      <c r="M943" s="22" t="str">
        <f>HYPERLINK("https://ceds.ed.gov/cedselementdetails.aspx?termid=22589")</f>
        <v>https://ceds.ed.gov/cedselementdetails.aspx?termid=22589</v>
      </c>
    </row>
    <row r="944" spans="1:13" x14ac:dyDescent="0.3">
      <c r="A944" s="22" t="s">
        <v>4014</v>
      </c>
      <c r="B944" s="22" t="s">
        <v>8172</v>
      </c>
      <c r="C944" s="23" t="s">
        <v>32</v>
      </c>
      <c r="D944" s="22" t="s">
        <v>3983</v>
      </c>
      <c r="E944" s="22"/>
      <c r="F944" s="22" t="s">
        <v>79</v>
      </c>
      <c r="G944" s="22"/>
      <c r="H944" s="22"/>
      <c r="I944" s="25" t="s">
        <v>4015</v>
      </c>
      <c r="J944" s="22"/>
      <c r="K944" s="22" t="s">
        <v>4016</v>
      </c>
      <c r="L944" s="22" t="s">
        <v>3124</v>
      </c>
      <c r="M944" s="22" t="str">
        <f>HYPERLINK("https://ceds.ed.gov/cedselementdetails.aspx?termid=22590")</f>
        <v>https://ceds.ed.gov/cedselementdetails.aspx?termid=22590</v>
      </c>
    </row>
    <row r="945" spans="1:13" ht="409.6" x14ac:dyDescent="0.3">
      <c r="A945" s="22" t="s">
        <v>8173</v>
      </c>
      <c r="B945" s="22" t="s">
        <v>8174</v>
      </c>
      <c r="C945" s="26" t="s">
        <v>8447</v>
      </c>
      <c r="D945" s="24" t="s">
        <v>8442</v>
      </c>
      <c r="E945" s="22" t="s">
        <v>172</v>
      </c>
      <c r="F945" s="22"/>
      <c r="G945" s="22" t="s">
        <v>8175</v>
      </c>
      <c r="H945" s="22" t="s">
        <v>8176</v>
      </c>
      <c r="I945" s="25" t="s">
        <v>4017</v>
      </c>
      <c r="J945" s="22"/>
      <c r="K945" s="22" t="s">
        <v>8177</v>
      </c>
      <c r="L945" s="22"/>
      <c r="M945" s="22" t="str">
        <f>HYPERLINK("https://ceds.ed.gov/cedselementdetails.aspx?termid=22321")</f>
        <v>https://ceds.ed.gov/cedselementdetails.aspx?termid=22321</v>
      </c>
    </row>
    <row r="946" spans="1:13" ht="187.2" x14ac:dyDescent="0.3">
      <c r="A946" s="22" t="s">
        <v>8178</v>
      </c>
      <c r="B946" s="22" t="s">
        <v>4018</v>
      </c>
      <c r="C946" s="26" t="s">
        <v>8448</v>
      </c>
      <c r="D946" s="24" t="s">
        <v>8442</v>
      </c>
      <c r="E946" s="22" t="s">
        <v>172</v>
      </c>
      <c r="F946" s="22"/>
      <c r="G946" s="22" t="s">
        <v>8179</v>
      </c>
      <c r="H946" s="22" t="s">
        <v>8180</v>
      </c>
      <c r="I946" s="25" t="s">
        <v>4019</v>
      </c>
      <c r="J946" s="22"/>
      <c r="K946" s="22" t="s">
        <v>8181</v>
      </c>
      <c r="L946" s="22"/>
      <c r="M946" s="22" t="str">
        <f>HYPERLINK("https://ceds.ed.gov/cedselementdetails.aspx?termid=22531")</f>
        <v>https://ceds.ed.gov/cedselementdetails.aspx?termid=22531</v>
      </c>
    </row>
    <row r="947" spans="1:13" ht="43.2" x14ac:dyDescent="0.3">
      <c r="A947" s="22" t="s">
        <v>8182</v>
      </c>
      <c r="B947" s="22" t="s">
        <v>8183</v>
      </c>
      <c r="C947" s="26" t="s">
        <v>8379</v>
      </c>
      <c r="D947" s="24" t="s">
        <v>8388</v>
      </c>
      <c r="E947" s="22" t="s">
        <v>167</v>
      </c>
      <c r="F947" s="22" t="s">
        <v>2</v>
      </c>
      <c r="G947" s="22" t="s">
        <v>7949</v>
      </c>
      <c r="H947" s="22"/>
      <c r="I947" s="25" t="s">
        <v>8365</v>
      </c>
      <c r="J947" s="22"/>
      <c r="K947" s="22" t="s">
        <v>8184</v>
      </c>
      <c r="L947" s="22"/>
      <c r="M947" s="22" t="str">
        <f>HYPERLINK("https://ceds.ed.gov/cedselementdetails.aspx?termid=22986")</f>
        <v>https://ceds.ed.gov/cedselementdetails.aspx?termid=22986</v>
      </c>
    </row>
    <row r="948" spans="1:13" ht="43.2" x14ac:dyDescent="0.3">
      <c r="A948" s="22" t="s">
        <v>8185</v>
      </c>
      <c r="B948" s="22" t="s">
        <v>8186</v>
      </c>
      <c r="C948" s="26" t="s">
        <v>8379</v>
      </c>
      <c r="D948" s="24" t="s">
        <v>8388</v>
      </c>
      <c r="E948" s="22" t="s">
        <v>167</v>
      </c>
      <c r="F948" s="22" t="s">
        <v>2</v>
      </c>
      <c r="G948" s="22" t="s">
        <v>7949</v>
      </c>
      <c r="H948" s="22"/>
      <c r="I948" s="25" t="s">
        <v>8366</v>
      </c>
      <c r="J948" s="22"/>
      <c r="K948" s="22" t="s">
        <v>8187</v>
      </c>
      <c r="L948" s="22"/>
      <c r="M948" s="22" t="str">
        <f>HYPERLINK("https://ceds.ed.gov/cedselementdetails.aspx?termid=22987")</f>
        <v>https://ceds.ed.gov/cedselementdetails.aspx?termid=22987</v>
      </c>
    </row>
    <row r="949" spans="1:13" ht="43.2" x14ac:dyDescent="0.3">
      <c r="A949" s="22" t="s">
        <v>8188</v>
      </c>
      <c r="B949" s="22" t="s">
        <v>8189</v>
      </c>
      <c r="C949" s="26" t="s">
        <v>8379</v>
      </c>
      <c r="D949" s="24" t="s">
        <v>8388</v>
      </c>
      <c r="E949" s="22" t="s">
        <v>167</v>
      </c>
      <c r="F949" s="22" t="s">
        <v>2</v>
      </c>
      <c r="G949" s="22" t="s">
        <v>7949</v>
      </c>
      <c r="H949" s="22"/>
      <c r="I949" s="25" t="s">
        <v>8367</v>
      </c>
      <c r="J949" s="22"/>
      <c r="K949" s="22" t="s">
        <v>8190</v>
      </c>
      <c r="L949" s="22"/>
      <c r="M949" s="22" t="str">
        <f>HYPERLINK("https://ceds.ed.gov/cedselementdetails.aspx?termid=22988")</f>
        <v>https://ceds.ed.gov/cedselementdetails.aspx?termid=22988</v>
      </c>
    </row>
    <row r="950" spans="1:13" ht="409.6" x14ac:dyDescent="0.3">
      <c r="A950" s="22" t="s">
        <v>8191</v>
      </c>
      <c r="B950" s="22" t="s">
        <v>8192</v>
      </c>
      <c r="C950" s="26" t="s">
        <v>8449</v>
      </c>
      <c r="D950" s="24" t="s">
        <v>8442</v>
      </c>
      <c r="E950" s="22" t="s">
        <v>172</v>
      </c>
      <c r="F950" s="22"/>
      <c r="G950" s="22" t="s">
        <v>8137</v>
      </c>
      <c r="H950" s="22" t="s">
        <v>8193</v>
      </c>
      <c r="I950" s="25" t="s">
        <v>4020</v>
      </c>
      <c r="J950" s="22"/>
      <c r="K950" s="22" t="s">
        <v>8194</v>
      </c>
      <c r="L950" s="22"/>
      <c r="M950" s="22" t="str">
        <f>HYPERLINK("https://ceds.ed.gov/cedselementdetails.aspx?termid=22322")</f>
        <v>https://ceds.ed.gov/cedselementdetails.aspx?termid=22322</v>
      </c>
    </row>
    <row r="951" spans="1:13" ht="129.6" x14ac:dyDescent="0.3">
      <c r="A951" s="22" t="s">
        <v>8195</v>
      </c>
      <c r="B951" s="22" t="s">
        <v>8196</v>
      </c>
      <c r="C951" s="23" t="s">
        <v>32</v>
      </c>
      <c r="D951" s="24" t="s">
        <v>8442</v>
      </c>
      <c r="E951" s="22" t="s">
        <v>172</v>
      </c>
      <c r="F951" s="22" t="s">
        <v>148</v>
      </c>
      <c r="G951" s="22" t="s">
        <v>8197</v>
      </c>
      <c r="H951" s="22" t="s">
        <v>8198</v>
      </c>
      <c r="I951" s="25" t="s">
        <v>4021</v>
      </c>
      <c r="J951" s="22"/>
      <c r="K951" s="22" t="s">
        <v>8199</v>
      </c>
      <c r="L951" s="22"/>
      <c r="M951" s="22" t="str">
        <f>HYPERLINK("https://ceds.ed.gov/cedselementdetails.aspx?termid=22532")</f>
        <v>https://ceds.ed.gov/cedselementdetails.aspx?termid=22532</v>
      </c>
    </row>
    <row r="952" spans="1:13" x14ac:dyDescent="0.3">
      <c r="A952" s="22" t="s">
        <v>4022</v>
      </c>
      <c r="B952" s="22" t="s">
        <v>4023</v>
      </c>
      <c r="C952" s="23" t="s">
        <v>32</v>
      </c>
      <c r="D952" s="22" t="s">
        <v>3983</v>
      </c>
      <c r="E952" s="22"/>
      <c r="F952" s="22" t="s">
        <v>1518</v>
      </c>
      <c r="G952" s="22"/>
      <c r="H952" s="22" t="s">
        <v>4024</v>
      </c>
      <c r="I952" s="25" t="s">
        <v>4025</v>
      </c>
      <c r="J952" s="22"/>
      <c r="K952" s="22" t="s">
        <v>4026</v>
      </c>
      <c r="L952" s="22" t="s">
        <v>252</v>
      </c>
      <c r="M952" s="22" t="str">
        <f>HYPERLINK("https://ceds.ed.gov/cedselementdetails.aspx?termid=21747")</f>
        <v>https://ceds.ed.gov/cedselementdetails.aspx?termid=21747</v>
      </c>
    </row>
    <row r="953" spans="1:13" ht="43.2" x14ac:dyDescent="0.3">
      <c r="A953" s="22" t="s">
        <v>4027</v>
      </c>
      <c r="B953" s="22" t="s">
        <v>4028</v>
      </c>
      <c r="C953" s="26" t="s">
        <v>8900</v>
      </c>
      <c r="D953" s="22" t="s">
        <v>3983</v>
      </c>
      <c r="E953" s="22"/>
      <c r="F953" s="22"/>
      <c r="G953" s="22"/>
      <c r="H953" s="22" t="s">
        <v>4029</v>
      </c>
      <c r="I953" s="25" t="s">
        <v>4030</v>
      </c>
      <c r="J953" s="22"/>
      <c r="K953" s="22" t="s">
        <v>4031</v>
      </c>
      <c r="L953" s="22" t="s">
        <v>252</v>
      </c>
      <c r="M953" s="22" t="str">
        <f>HYPERLINK("https://ceds.ed.gov/cedselementdetails.aspx?termid=22188")</f>
        <v>https://ceds.ed.gov/cedselementdetails.aspx?termid=22188</v>
      </c>
    </row>
    <row r="954" spans="1:13" ht="86.4" x14ac:dyDescent="0.3">
      <c r="A954" s="22" t="s">
        <v>4032</v>
      </c>
      <c r="B954" s="22" t="s">
        <v>4033</v>
      </c>
      <c r="C954" s="26" t="s">
        <v>8901</v>
      </c>
      <c r="D954" s="22" t="s">
        <v>4034</v>
      </c>
      <c r="E954" s="22"/>
      <c r="F954" s="22"/>
      <c r="G954" s="22"/>
      <c r="H954" s="22"/>
      <c r="I954" s="25" t="s">
        <v>4035</v>
      </c>
      <c r="J954" s="22"/>
      <c r="K954" s="22" t="s">
        <v>4036</v>
      </c>
      <c r="L954" s="22" t="s">
        <v>226</v>
      </c>
      <c r="M954" s="22" t="str">
        <f>HYPERLINK("https://ceds.ed.gov/cedselementdetails.aspx?termid=21548")</f>
        <v>https://ceds.ed.gov/cedselementdetails.aspx?termid=21548</v>
      </c>
    </row>
    <row r="955" spans="1:13" x14ac:dyDescent="0.3">
      <c r="A955" s="22" t="s">
        <v>4037</v>
      </c>
      <c r="B955" s="22" t="s">
        <v>4038</v>
      </c>
      <c r="C955" s="23" t="s">
        <v>32</v>
      </c>
      <c r="D955" s="22" t="s">
        <v>8033</v>
      </c>
      <c r="E955" s="22"/>
      <c r="F955" s="22" t="s">
        <v>118</v>
      </c>
      <c r="G955" s="22"/>
      <c r="H955" s="22"/>
      <c r="I955" s="25" t="s">
        <v>4039</v>
      </c>
      <c r="J955" s="22"/>
      <c r="K955" s="22" t="s">
        <v>4040</v>
      </c>
      <c r="L955" s="22" t="s">
        <v>207</v>
      </c>
      <c r="M955" s="22" t="str">
        <f>HYPERLINK("https://ceds.ed.gov/cedselementdetails.aspx?termid=22066")</f>
        <v>https://ceds.ed.gov/cedselementdetails.aspx?termid=22066</v>
      </c>
    </row>
    <row r="956" spans="1:13" x14ac:dyDescent="0.3">
      <c r="A956" s="22" t="s">
        <v>4041</v>
      </c>
      <c r="B956" s="22" t="s">
        <v>4042</v>
      </c>
      <c r="C956" s="23" t="s">
        <v>32</v>
      </c>
      <c r="D956" s="22" t="s">
        <v>4043</v>
      </c>
      <c r="E956" s="22"/>
      <c r="F956" s="22" t="s">
        <v>118</v>
      </c>
      <c r="G956" s="22"/>
      <c r="H956" s="22"/>
      <c r="I956" s="25" t="s">
        <v>4044</v>
      </c>
      <c r="J956" s="22"/>
      <c r="K956" s="22" t="s">
        <v>4045</v>
      </c>
      <c r="L956" s="22"/>
      <c r="M956" s="22" t="str">
        <f>HYPERLINK("https://ceds.ed.gov/cedselementdetails.aspx?termid=21520")</f>
        <v>https://ceds.ed.gov/cedselementdetails.aspx?termid=21520</v>
      </c>
    </row>
    <row r="957" spans="1:13" ht="273.60000000000002" x14ac:dyDescent="0.3">
      <c r="A957" s="22" t="s">
        <v>7532</v>
      </c>
      <c r="B957" s="22" t="s">
        <v>7533</v>
      </c>
      <c r="C957" s="26" t="s">
        <v>3039</v>
      </c>
      <c r="D957" s="24" t="s">
        <v>8902</v>
      </c>
      <c r="E957" s="22"/>
      <c r="F957" s="22"/>
      <c r="G957" s="22"/>
      <c r="H957" s="22"/>
      <c r="I957" s="25" t="s">
        <v>7534</v>
      </c>
      <c r="J957" s="22"/>
      <c r="K957" s="22" t="s">
        <v>7535</v>
      </c>
      <c r="L957" s="22"/>
      <c r="M957" s="22" t="str">
        <f>HYPERLINK("https://ceds.ed.gov/cedselementdetails.aspx?termid=22933")</f>
        <v>https://ceds.ed.gov/cedselementdetails.aspx?termid=22933</v>
      </c>
    </row>
    <row r="958" spans="1:13" x14ac:dyDescent="0.3">
      <c r="A958" s="22" t="s">
        <v>4046</v>
      </c>
      <c r="B958" s="22" t="s">
        <v>4047</v>
      </c>
      <c r="C958" s="23" t="s">
        <v>32</v>
      </c>
      <c r="D958" s="22" t="s">
        <v>3062</v>
      </c>
      <c r="E958" s="22"/>
      <c r="F958" s="22" t="s">
        <v>118</v>
      </c>
      <c r="G958" s="22"/>
      <c r="H958" s="22"/>
      <c r="I958" s="25" t="s">
        <v>4048</v>
      </c>
      <c r="J958" s="22"/>
      <c r="K958" s="22" t="s">
        <v>4049</v>
      </c>
      <c r="L958" s="22"/>
      <c r="M958" s="22" t="str">
        <f>HYPERLINK("https://ceds.ed.gov/cedselementdetails.aspx?termid=21488")</f>
        <v>https://ceds.ed.gov/cedselementdetails.aspx?termid=21488</v>
      </c>
    </row>
    <row r="959" spans="1:13" ht="409.6" x14ac:dyDescent="0.3">
      <c r="A959" s="22" t="s">
        <v>4050</v>
      </c>
      <c r="B959" s="22" t="s">
        <v>4051</v>
      </c>
      <c r="C959" s="23" t="s">
        <v>32</v>
      </c>
      <c r="D959" s="24" t="s">
        <v>8903</v>
      </c>
      <c r="E959" s="22"/>
      <c r="F959" s="22" t="s">
        <v>7536</v>
      </c>
      <c r="G959" s="22"/>
      <c r="H959" s="22" t="s">
        <v>8200</v>
      </c>
      <c r="I959" s="25" t="s">
        <v>4052</v>
      </c>
      <c r="J959" s="22"/>
      <c r="K959" s="22" t="s">
        <v>4053</v>
      </c>
      <c r="L959" s="24" t="s">
        <v>4054</v>
      </c>
      <c r="M959" s="22" t="str">
        <f>HYPERLINK("https://ceds.ed.gov/cedselementdetails.aspx?termid=21115")</f>
        <v>https://ceds.ed.gov/cedselementdetails.aspx?termid=21115</v>
      </c>
    </row>
    <row r="960" spans="1:13" ht="43.2" x14ac:dyDescent="0.3">
      <c r="A960" s="22" t="s">
        <v>4055</v>
      </c>
      <c r="B960" s="22" t="s">
        <v>8201</v>
      </c>
      <c r="C960" s="26" t="s">
        <v>22</v>
      </c>
      <c r="D960" s="22" t="s">
        <v>2114</v>
      </c>
      <c r="E960" s="22"/>
      <c r="F960" s="22"/>
      <c r="G960" s="22"/>
      <c r="H960" s="22"/>
      <c r="I960" s="25" t="s">
        <v>4056</v>
      </c>
      <c r="J960" s="22"/>
      <c r="K960" s="22" t="s">
        <v>4057</v>
      </c>
      <c r="L960" s="24" t="s">
        <v>198</v>
      </c>
      <c r="M960" s="22" t="str">
        <f>HYPERLINK("https://ceds.ed.gov/cedselementdetails.aspx?termid=21117")</f>
        <v>https://ceds.ed.gov/cedselementdetails.aspx?termid=21117</v>
      </c>
    </row>
    <row r="961" spans="1:13" ht="158.4" x14ac:dyDescent="0.3">
      <c r="A961" s="22" t="s">
        <v>4058</v>
      </c>
      <c r="B961" s="22" t="s">
        <v>4059</v>
      </c>
      <c r="C961" s="23" t="s">
        <v>32</v>
      </c>
      <c r="D961" s="24" t="s">
        <v>8443</v>
      </c>
      <c r="E961" s="22" t="s">
        <v>172</v>
      </c>
      <c r="F961" s="22" t="s">
        <v>118</v>
      </c>
      <c r="G961" s="22" t="s">
        <v>7946</v>
      </c>
      <c r="H961" s="22"/>
      <c r="I961" s="25" t="s">
        <v>4060</v>
      </c>
      <c r="J961" s="22"/>
      <c r="K961" s="22" t="s">
        <v>4061</v>
      </c>
      <c r="L961" s="22"/>
      <c r="M961" s="22" t="str">
        <f>HYPERLINK("https://ceds.ed.gov/cedselementdetails.aspx?termid=22623")</f>
        <v>https://ceds.ed.gov/cedselementdetails.aspx?termid=22623</v>
      </c>
    </row>
    <row r="962" spans="1:13" ht="158.4" x14ac:dyDescent="0.3">
      <c r="A962" s="22" t="s">
        <v>4062</v>
      </c>
      <c r="B962" s="22" t="s">
        <v>4063</v>
      </c>
      <c r="C962" s="23" t="s">
        <v>32</v>
      </c>
      <c r="D962" s="24" t="s">
        <v>8443</v>
      </c>
      <c r="E962" s="22" t="s">
        <v>172</v>
      </c>
      <c r="F962" s="22" t="s">
        <v>118</v>
      </c>
      <c r="G962" s="22" t="s">
        <v>7946</v>
      </c>
      <c r="H962" s="22" t="s">
        <v>143</v>
      </c>
      <c r="I962" s="25" t="s">
        <v>4064</v>
      </c>
      <c r="J962" s="22"/>
      <c r="K962" s="22" t="s">
        <v>4065</v>
      </c>
      <c r="L962" s="22"/>
      <c r="M962" s="22" t="str">
        <f>HYPERLINK("https://ceds.ed.gov/cedselementdetails.aspx?termid=22624")</f>
        <v>https://ceds.ed.gov/cedselementdetails.aspx?termid=22624</v>
      </c>
    </row>
    <row r="963" spans="1:13" ht="187.2" x14ac:dyDescent="0.3">
      <c r="A963" s="22" t="s">
        <v>4066</v>
      </c>
      <c r="B963" s="22" t="s">
        <v>8202</v>
      </c>
      <c r="C963" s="23" t="s">
        <v>32</v>
      </c>
      <c r="D963" s="24" t="s">
        <v>8440</v>
      </c>
      <c r="E963" s="22" t="s">
        <v>172</v>
      </c>
      <c r="F963" s="22" t="s">
        <v>1844</v>
      </c>
      <c r="G963" s="22" t="s">
        <v>8159</v>
      </c>
      <c r="H963" s="22"/>
      <c r="I963" s="25" t="s">
        <v>4067</v>
      </c>
      <c r="J963" s="22"/>
      <c r="K963" s="22" t="s">
        <v>4068</v>
      </c>
      <c r="L963" s="22"/>
      <c r="M963" s="22" t="str">
        <f>HYPERLINK("https://ceds.ed.gov/cedselementdetails.aspx?termid=22620")</f>
        <v>https://ceds.ed.gov/cedselementdetails.aspx?termid=22620</v>
      </c>
    </row>
    <row r="964" spans="1:13" ht="43.2" x14ac:dyDescent="0.3">
      <c r="A964" s="22" t="s">
        <v>4069</v>
      </c>
      <c r="B964" s="22" t="s">
        <v>4070</v>
      </c>
      <c r="C964" s="26" t="s">
        <v>22</v>
      </c>
      <c r="D964" s="22" t="s">
        <v>3218</v>
      </c>
      <c r="E964" s="22"/>
      <c r="F964" s="22"/>
      <c r="G964" s="22"/>
      <c r="H964" s="22"/>
      <c r="I964" s="25" t="s">
        <v>4071</v>
      </c>
      <c r="J964" s="22"/>
      <c r="K964" s="22" t="s">
        <v>4072</v>
      </c>
      <c r="L964" s="22" t="s">
        <v>252</v>
      </c>
      <c r="M964" s="22" t="str">
        <f>HYPERLINK("https://ceds.ed.gov/cedselementdetails.aspx?termid=21743")</f>
        <v>https://ceds.ed.gov/cedselementdetails.aspx?termid=21743</v>
      </c>
    </row>
    <row r="965" spans="1:13" ht="43.2" x14ac:dyDescent="0.3">
      <c r="A965" s="22" t="s">
        <v>4073</v>
      </c>
      <c r="B965" s="22" t="s">
        <v>4074</v>
      </c>
      <c r="C965" s="23" t="s">
        <v>32</v>
      </c>
      <c r="D965" s="24" t="s">
        <v>8450</v>
      </c>
      <c r="E965" s="22" t="s">
        <v>172</v>
      </c>
      <c r="F965" s="22" t="s">
        <v>1699</v>
      </c>
      <c r="G965" s="22" t="s">
        <v>7946</v>
      </c>
      <c r="H965" s="22"/>
      <c r="I965" s="25" t="s">
        <v>4075</v>
      </c>
      <c r="J965" s="22"/>
      <c r="K965" s="22" t="s">
        <v>4076</v>
      </c>
      <c r="L965" s="22"/>
      <c r="M965" s="22" t="str">
        <f>HYPERLINK("https://ceds.ed.gov/cedselementdetails.aspx?termid=22695")</f>
        <v>https://ceds.ed.gov/cedselementdetails.aspx?termid=22695</v>
      </c>
    </row>
    <row r="966" spans="1:13" ht="43.2" x14ac:dyDescent="0.3">
      <c r="A966" s="22" t="s">
        <v>4077</v>
      </c>
      <c r="B966" s="22" t="s">
        <v>4078</v>
      </c>
      <c r="C966" s="23" t="s">
        <v>32</v>
      </c>
      <c r="D966" s="24" t="s">
        <v>8450</v>
      </c>
      <c r="E966" s="22" t="s">
        <v>172</v>
      </c>
      <c r="F966" s="22" t="s">
        <v>1699</v>
      </c>
      <c r="G966" s="22" t="s">
        <v>7946</v>
      </c>
      <c r="H966" s="22"/>
      <c r="I966" s="25" t="s">
        <v>4079</v>
      </c>
      <c r="J966" s="22"/>
      <c r="K966" s="22" t="s">
        <v>4080</v>
      </c>
      <c r="L966" s="22"/>
      <c r="M966" s="22" t="str">
        <f>HYPERLINK("https://ceds.ed.gov/cedselementdetails.aspx?termid=22696")</f>
        <v>https://ceds.ed.gov/cedselementdetails.aspx?termid=22696</v>
      </c>
    </row>
    <row r="967" spans="1:13" ht="100.8" x14ac:dyDescent="0.3">
      <c r="A967" s="22" t="s">
        <v>4081</v>
      </c>
      <c r="B967" s="22" t="s">
        <v>8203</v>
      </c>
      <c r="C967" s="26" t="s">
        <v>8451</v>
      </c>
      <c r="D967" s="24" t="s">
        <v>8452</v>
      </c>
      <c r="E967" s="22" t="s">
        <v>172</v>
      </c>
      <c r="F967" s="22"/>
      <c r="G967" s="22" t="s">
        <v>8204</v>
      </c>
      <c r="H967" s="22" t="s">
        <v>8205</v>
      </c>
      <c r="I967" s="25" t="s">
        <v>4082</v>
      </c>
      <c r="J967" s="22"/>
      <c r="K967" s="22" t="s">
        <v>4083</v>
      </c>
      <c r="L967" s="22"/>
      <c r="M967" s="22" t="str">
        <f>HYPERLINK("https://ceds.ed.gov/cedselementdetails.aspx?termid=22323")</f>
        <v>https://ceds.ed.gov/cedselementdetails.aspx?termid=22323</v>
      </c>
    </row>
    <row r="968" spans="1:13" ht="100.8" x14ac:dyDescent="0.3">
      <c r="A968" s="22" t="s">
        <v>4084</v>
      </c>
      <c r="B968" s="22" t="s">
        <v>4085</v>
      </c>
      <c r="C968" s="26" t="s">
        <v>8453</v>
      </c>
      <c r="D968" s="24" t="s">
        <v>8450</v>
      </c>
      <c r="E968" s="22" t="s">
        <v>172</v>
      </c>
      <c r="F968" s="22"/>
      <c r="G968" s="22" t="s">
        <v>7946</v>
      </c>
      <c r="H968" s="22"/>
      <c r="I968" s="25" t="s">
        <v>4086</v>
      </c>
      <c r="J968" s="22"/>
      <c r="K968" s="22" t="s">
        <v>4087</v>
      </c>
      <c r="L968" s="22"/>
      <c r="M968" s="22" t="str">
        <f>HYPERLINK("https://ceds.ed.gov/cedselementdetails.aspx?termid=22694")</f>
        <v>https://ceds.ed.gov/cedselementdetails.aspx?termid=22694</v>
      </c>
    </row>
    <row r="969" spans="1:13" x14ac:dyDescent="0.3">
      <c r="A969" s="22" t="s">
        <v>4088</v>
      </c>
      <c r="B969" s="22" t="s">
        <v>4089</v>
      </c>
      <c r="C969" s="23" t="s">
        <v>32</v>
      </c>
      <c r="D969" s="22" t="s">
        <v>3214</v>
      </c>
      <c r="E969" s="22"/>
      <c r="F969" s="22" t="s">
        <v>4090</v>
      </c>
      <c r="G969" s="22"/>
      <c r="H969" s="22"/>
      <c r="I969" s="25" t="s">
        <v>4091</v>
      </c>
      <c r="J969" s="22"/>
      <c r="K969" s="22" t="s">
        <v>4092</v>
      </c>
      <c r="L969" s="22"/>
      <c r="M969" s="22" t="str">
        <f>HYPERLINK("https://ceds.ed.gov/cedselementdetails.aspx?termid=22906")</f>
        <v>https://ceds.ed.gov/cedselementdetails.aspx?termid=22906</v>
      </c>
    </row>
    <row r="970" spans="1:13" ht="43.2" x14ac:dyDescent="0.3">
      <c r="A970" s="22" t="s">
        <v>4093</v>
      </c>
      <c r="B970" s="22" t="s">
        <v>4094</v>
      </c>
      <c r="C970" s="26" t="s">
        <v>22</v>
      </c>
      <c r="D970" s="24" t="s">
        <v>3175</v>
      </c>
      <c r="E970" s="22"/>
      <c r="F970" s="22"/>
      <c r="G970" s="22"/>
      <c r="H970" s="22"/>
      <c r="I970" s="25" t="s">
        <v>4095</v>
      </c>
      <c r="J970" s="22"/>
      <c r="K970" s="22" t="s">
        <v>4096</v>
      </c>
      <c r="L970" s="22"/>
      <c r="M970" s="22" t="str">
        <f>HYPERLINK("https://ceds.ed.gov/cedselementdetails.aspx?termid=21504")</f>
        <v>https://ceds.ed.gov/cedselementdetails.aspx?termid=21504</v>
      </c>
    </row>
    <row r="971" spans="1:13" ht="409.6" x14ac:dyDescent="0.3">
      <c r="A971" s="22" t="s">
        <v>4097</v>
      </c>
      <c r="B971" s="22" t="s">
        <v>4098</v>
      </c>
      <c r="C971" s="26" t="s">
        <v>8904</v>
      </c>
      <c r="D971" s="24" t="s">
        <v>8905</v>
      </c>
      <c r="E971" s="22"/>
      <c r="F971" s="22"/>
      <c r="G971" s="22"/>
      <c r="H971" s="22"/>
      <c r="I971" s="25" t="s">
        <v>4099</v>
      </c>
      <c r="J971" s="22"/>
      <c r="K971" s="22" t="s">
        <v>4100</v>
      </c>
      <c r="L971" s="24" t="s">
        <v>3452</v>
      </c>
      <c r="M971" s="22" t="str">
        <f>HYPERLINK("https://ceds.ed.gov/cedselementdetails.aspx?termid=21866")</f>
        <v>https://ceds.ed.gov/cedselementdetails.aspx?termid=21866</v>
      </c>
    </row>
    <row r="972" spans="1:13" ht="43.2" x14ac:dyDescent="0.3">
      <c r="A972" s="22" t="s">
        <v>4101</v>
      </c>
      <c r="B972" s="22" t="s">
        <v>4102</v>
      </c>
      <c r="C972" s="26" t="s">
        <v>8454</v>
      </c>
      <c r="D972" s="24" t="s">
        <v>8398</v>
      </c>
      <c r="E972" s="22" t="s">
        <v>172</v>
      </c>
      <c r="F972" s="22"/>
      <c r="G972" s="22" t="s">
        <v>7946</v>
      </c>
      <c r="H972" s="22" t="s">
        <v>8206</v>
      </c>
      <c r="I972" s="25" t="s">
        <v>4103</v>
      </c>
      <c r="J972" s="22"/>
      <c r="K972" s="22" t="s">
        <v>4104</v>
      </c>
      <c r="L972" s="22" t="s">
        <v>69</v>
      </c>
      <c r="M972" s="22" t="str">
        <f>HYPERLINK("https://ceds.ed.gov/cedselementdetails.aspx?termid=21713")</f>
        <v>https://ceds.ed.gov/cedselementdetails.aspx?termid=21713</v>
      </c>
    </row>
    <row r="973" spans="1:13" ht="43.2" x14ac:dyDescent="0.3">
      <c r="A973" s="22" t="s">
        <v>4105</v>
      </c>
      <c r="B973" s="22" t="s">
        <v>4106</v>
      </c>
      <c r="C973" s="23" t="s">
        <v>32</v>
      </c>
      <c r="D973" s="24" t="s">
        <v>4107</v>
      </c>
      <c r="E973" s="22"/>
      <c r="F973" s="22" t="s">
        <v>1518</v>
      </c>
      <c r="G973" s="22"/>
      <c r="H973" s="22"/>
      <c r="I973" s="25" t="s">
        <v>4108</v>
      </c>
      <c r="J973" s="22"/>
      <c r="K973" s="22" t="s">
        <v>4109</v>
      </c>
      <c r="L973" s="22" t="s">
        <v>214</v>
      </c>
      <c r="M973" s="22" t="str">
        <f>HYPERLINK("https://ceds.ed.gov/cedselementdetails.aspx?termid=21442")</f>
        <v>https://ceds.ed.gov/cedselementdetails.aspx?termid=21442</v>
      </c>
    </row>
    <row r="974" spans="1:13" ht="43.2" x14ac:dyDescent="0.3">
      <c r="A974" s="22" t="s">
        <v>4110</v>
      </c>
      <c r="B974" s="22" t="s">
        <v>4111</v>
      </c>
      <c r="C974" s="26" t="s">
        <v>22</v>
      </c>
      <c r="D974" s="22" t="s">
        <v>3214</v>
      </c>
      <c r="E974" s="22"/>
      <c r="F974" s="22"/>
      <c r="G974" s="22"/>
      <c r="H974" s="22"/>
      <c r="I974" s="25" t="s">
        <v>4112</v>
      </c>
      <c r="J974" s="22"/>
      <c r="K974" s="22" t="s">
        <v>4113</v>
      </c>
      <c r="L974" s="22" t="s">
        <v>25</v>
      </c>
      <c r="M974" s="22" t="str">
        <f>HYPERLINK("https://ceds.ed.gov/cedselementdetails.aspx?termid=21120")</f>
        <v>https://ceds.ed.gov/cedselementdetails.aspx?termid=21120</v>
      </c>
    </row>
    <row r="975" spans="1:13" ht="409.6" x14ac:dyDescent="0.3">
      <c r="A975" s="22" t="s">
        <v>4114</v>
      </c>
      <c r="B975" s="22" t="s">
        <v>4115</v>
      </c>
      <c r="C975" s="23" t="s">
        <v>32</v>
      </c>
      <c r="D975" s="24" t="s">
        <v>8906</v>
      </c>
      <c r="E975" s="22"/>
      <c r="F975" s="22" t="s">
        <v>2743</v>
      </c>
      <c r="G975" s="22"/>
      <c r="H975" s="22" t="s">
        <v>8207</v>
      </c>
      <c r="I975" s="25" t="s">
        <v>4117</v>
      </c>
      <c r="J975" s="22"/>
      <c r="K975" s="22" t="s">
        <v>4118</v>
      </c>
      <c r="L975" s="24" t="s">
        <v>4119</v>
      </c>
      <c r="M975" s="22" t="str">
        <f>HYPERLINK("https://ceds.ed.gov/cedselementdetails.aspx?termid=21121")</f>
        <v>https://ceds.ed.gov/cedselementdetails.aspx?termid=21121</v>
      </c>
    </row>
    <row r="976" spans="1:13" ht="72" x14ac:dyDescent="0.3">
      <c r="A976" s="22" t="s">
        <v>4120</v>
      </c>
      <c r="B976" s="22" t="s">
        <v>4121</v>
      </c>
      <c r="C976" s="26" t="s">
        <v>3039</v>
      </c>
      <c r="D976" s="22" t="s">
        <v>3214</v>
      </c>
      <c r="E976" s="22"/>
      <c r="F976" s="22"/>
      <c r="G976" s="22"/>
      <c r="H976" s="22"/>
      <c r="I976" s="25" t="s">
        <v>4122</v>
      </c>
      <c r="J976" s="22"/>
      <c r="K976" s="22" t="s">
        <v>4123</v>
      </c>
      <c r="L976" s="24" t="s">
        <v>64</v>
      </c>
      <c r="M976" s="22" t="str">
        <f>HYPERLINK("https://ceds.ed.gov/cedselementdetails.aspx?termid=21122")</f>
        <v>https://ceds.ed.gov/cedselementdetails.aspx?termid=21122</v>
      </c>
    </row>
    <row r="977" spans="1:13" ht="43.2" x14ac:dyDescent="0.3">
      <c r="A977" s="22" t="s">
        <v>4124</v>
      </c>
      <c r="B977" s="22" t="s">
        <v>4125</v>
      </c>
      <c r="C977" s="23" t="s">
        <v>32</v>
      </c>
      <c r="D977" s="24" t="s">
        <v>4126</v>
      </c>
      <c r="E977" s="22"/>
      <c r="F977" s="22" t="s">
        <v>328</v>
      </c>
      <c r="G977" s="22"/>
      <c r="H977" s="22"/>
      <c r="I977" s="25" t="s">
        <v>4127</v>
      </c>
      <c r="J977" s="22"/>
      <c r="K977" s="22" t="s">
        <v>4128</v>
      </c>
      <c r="L977" s="22"/>
      <c r="M977" s="22" t="str">
        <f>HYPERLINK("https://ceds.ed.gov/cedselementdetails.aspx?termid=22671")</f>
        <v>https://ceds.ed.gov/cedselementdetails.aspx?termid=22671</v>
      </c>
    </row>
    <row r="978" spans="1:13" ht="129.6" x14ac:dyDescent="0.3">
      <c r="A978" s="22" t="s">
        <v>4129</v>
      </c>
      <c r="B978" s="22" t="s">
        <v>4130</v>
      </c>
      <c r="C978" s="23" t="s">
        <v>32</v>
      </c>
      <c r="D978" s="24" t="s">
        <v>8455</v>
      </c>
      <c r="E978" s="22" t="s">
        <v>172</v>
      </c>
      <c r="F978" s="22" t="s">
        <v>113</v>
      </c>
      <c r="G978" s="22" t="s">
        <v>8050</v>
      </c>
      <c r="H978" s="22"/>
      <c r="I978" s="25" t="s">
        <v>4131</v>
      </c>
      <c r="J978" s="22"/>
      <c r="K978" s="22" t="s">
        <v>4132</v>
      </c>
      <c r="L978" s="22"/>
      <c r="M978" s="22" t="str">
        <f>HYPERLINK("https://ceds.ed.gov/cedselementdetails.aspx?termid=21903")</f>
        <v>https://ceds.ed.gov/cedselementdetails.aspx?termid=21903</v>
      </c>
    </row>
    <row r="979" spans="1:13" ht="100.8" x14ac:dyDescent="0.3">
      <c r="A979" s="22" t="s">
        <v>4133</v>
      </c>
      <c r="B979" s="22" t="s">
        <v>4134</v>
      </c>
      <c r="C979" s="23" t="s">
        <v>32</v>
      </c>
      <c r="D979" s="24" t="s">
        <v>8907</v>
      </c>
      <c r="E979" s="22"/>
      <c r="F979" s="22" t="s">
        <v>118</v>
      </c>
      <c r="G979" s="22"/>
      <c r="H979" s="22" t="s">
        <v>4135</v>
      </c>
      <c r="I979" s="25" t="s">
        <v>4136</v>
      </c>
      <c r="J979" s="22"/>
      <c r="K979" s="22" t="s">
        <v>4137</v>
      </c>
      <c r="L979" s="22"/>
      <c r="M979" s="22" t="str">
        <f>HYPERLINK("https://ceds.ed.gov/cedselementdetails.aspx?termid=22170")</f>
        <v>https://ceds.ed.gov/cedselementdetails.aspx?termid=22170</v>
      </c>
    </row>
    <row r="980" spans="1:13" x14ac:dyDescent="0.3">
      <c r="A980" s="22" t="s">
        <v>4138</v>
      </c>
      <c r="B980" s="22" t="s">
        <v>4139</v>
      </c>
      <c r="C980" s="23" t="s">
        <v>32</v>
      </c>
      <c r="D980" s="22" t="s">
        <v>4140</v>
      </c>
      <c r="E980" s="22"/>
      <c r="F980" s="22" t="s">
        <v>4141</v>
      </c>
      <c r="G980" s="22"/>
      <c r="H980" s="22"/>
      <c r="I980" s="25" t="s">
        <v>4142</v>
      </c>
      <c r="J980" s="22"/>
      <c r="K980" s="22" t="s">
        <v>4143</v>
      </c>
      <c r="L980" s="22"/>
      <c r="M980" s="22" t="str">
        <f>HYPERLINK("https://ceds.ed.gov/cedselementdetails.aspx?termid=22672")</f>
        <v>https://ceds.ed.gov/cedselementdetails.aspx?termid=22672</v>
      </c>
    </row>
    <row r="981" spans="1:13" x14ac:dyDescent="0.3">
      <c r="A981" s="22" t="s">
        <v>4144</v>
      </c>
      <c r="B981" s="22" t="s">
        <v>4145</v>
      </c>
      <c r="C981" s="23" t="s">
        <v>32</v>
      </c>
      <c r="D981" s="22" t="s">
        <v>4140</v>
      </c>
      <c r="E981" s="22"/>
      <c r="F981" s="22" t="s">
        <v>1699</v>
      </c>
      <c r="G981" s="22"/>
      <c r="H981" s="22"/>
      <c r="I981" s="25" t="s">
        <v>4146</v>
      </c>
      <c r="J981" s="22"/>
      <c r="K981" s="22" t="s">
        <v>4147</v>
      </c>
      <c r="L981" s="22"/>
      <c r="M981" s="22" t="str">
        <f>HYPERLINK("https://ceds.ed.gov/cedselementdetails.aspx?termid=22673")</f>
        <v>https://ceds.ed.gov/cedselementdetails.aspx?termid=22673</v>
      </c>
    </row>
    <row r="982" spans="1:13" ht="43.2" x14ac:dyDescent="0.3">
      <c r="A982" s="22" t="s">
        <v>4148</v>
      </c>
      <c r="B982" s="22" t="s">
        <v>4149</v>
      </c>
      <c r="C982" s="23" t="s">
        <v>32</v>
      </c>
      <c r="D982" s="24" t="s">
        <v>8456</v>
      </c>
      <c r="E982" s="22" t="s">
        <v>172</v>
      </c>
      <c r="F982" s="22" t="s">
        <v>157</v>
      </c>
      <c r="G982" s="22" t="s">
        <v>8050</v>
      </c>
      <c r="H982" s="22"/>
      <c r="I982" s="25" t="s">
        <v>4150</v>
      </c>
      <c r="J982" s="22"/>
      <c r="K982" s="22" t="s">
        <v>4151</v>
      </c>
      <c r="L982" s="22"/>
      <c r="M982" s="22" t="str">
        <f>HYPERLINK("https://ceds.ed.gov/cedselementdetails.aspx?termid=22674")</f>
        <v>https://ceds.ed.gov/cedselementdetails.aspx?termid=22674</v>
      </c>
    </row>
    <row r="983" spans="1:13" x14ac:dyDescent="0.3">
      <c r="A983" s="22" t="s">
        <v>4152</v>
      </c>
      <c r="B983" s="22" t="s">
        <v>4153</v>
      </c>
      <c r="C983" s="23" t="s">
        <v>32</v>
      </c>
      <c r="D983" s="22" t="s">
        <v>4140</v>
      </c>
      <c r="E983" s="22"/>
      <c r="F983" s="22" t="s">
        <v>1699</v>
      </c>
      <c r="G983" s="22"/>
      <c r="H983" s="22"/>
      <c r="I983" s="25" t="s">
        <v>4154</v>
      </c>
      <c r="J983" s="22"/>
      <c r="K983" s="22" t="s">
        <v>4155</v>
      </c>
      <c r="L983" s="22"/>
      <c r="M983" s="22" t="str">
        <f>HYPERLINK("https://ceds.ed.gov/cedselementdetails.aspx?termid=22675")</f>
        <v>https://ceds.ed.gov/cedselementdetails.aspx?termid=22675</v>
      </c>
    </row>
    <row r="984" spans="1:13" x14ac:dyDescent="0.3">
      <c r="A984" s="22" t="s">
        <v>4156</v>
      </c>
      <c r="B984" s="22" t="s">
        <v>4157</v>
      </c>
      <c r="C984" s="23" t="s">
        <v>32</v>
      </c>
      <c r="D984" s="22" t="s">
        <v>4140</v>
      </c>
      <c r="E984" s="22"/>
      <c r="F984" s="22" t="s">
        <v>328</v>
      </c>
      <c r="G984" s="22"/>
      <c r="H984" s="22"/>
      <c r="I984" s="25" t="s">
        <v>4158</v>
      </c>
      <c r="J984" s="22"/>
      <c r="K984" s="22" t="s">
        <v>4159</v>
      </c>
      <c r="L984" s="22"/>
      <c r="M984" s="22" t="str">
        <f>HYPERLINK("https://ceds.ed.gov/cedselementdetails.aspx?termid=22676")</f>
        <v>https://ceds.ed.gov/cedselementdetails.aspx?termid=22676</v>
      </c>
    </row>
    <row r="985" spans="1:13" x14ac:dyDescent="0.3">
      <c r="A985" s="22" t="s">
        <v>4160</v>
      </c>
      <c r="B985" s="22" t="s">
        <v>4161</v>
      </c>
      <c r="C985" s="23" t="s">
        <v>32</v>
      </c>
      <c r="D985" s="22" t="s">
        <v>4140</v>
      </c>
      <c r="E985" s="22"/>
      <c r="F985" s="22" t="s">
        <v>328</v>
      </c>
      <c r="G985" s="22"/>
      <c r="H985" s="22"/>
      <c r="I985" s="25" t="s">
        <v>4162</v>
      </c>
      <c r="J985" s="22"/>
      <c r="K985" s="22" t="s">
        <v>4163</v>
      </c>
      <c r="L985" s="22"/>
      <c r="M985" s="22" t="str">
        <f>HYPERLINK("https://ceds.ed.gov/cedselementdetails.aspx?termid=22677")</f>
        <v>https://ceds.ed.gov/cedselementdetails.aspx?termid=22677</v>
      </c>
    </row>
    <row r="986" spans="1:13" ht="72" x14ac:dyDescent="0.3">
      <c r="A986" s="22" t="s">
        <v>4164</v>
      </c>
      <c r="B986" s="22" t="s">
        <v>4165</v>
      </c>
      <c r="C986" s="26" t="s">
        <v>8908</v>
      </c>
      <c r="D986" s="22" t="s">
        <v>4140</v>
      </c>
      <c r="E986" s="22"/>
      <c r="F986" s="22"/>
      <c r="G986" s="22"/>
      <c r="H986" s="22"/>
      <c r="I986" s="25" t="s">
        <v>4166</v>
      </c>
      <c r="J986" s="22"/>
      <c r="K986" s="22" t="s">
        <v>4167</v>
      </c>
      <c r="L986" s="22"/>
      <c r="M986" s="22" t="str">
        <f>HYPERLINK("https://ceds.ed.gov/cedselementdetails.aspx?termid=22678")</f>
        <v>https://ceds.ed.gov/cedselementdetails.aspx?termid=22678</v>
      </c>
    </row>
    <row r="987" spans="1:13" ht="100.8" x14ac:dyDescent="0.3">
      <c r="A987" s="22" t="s">
        <v>4168</v>
      </c>
      <c r="B987" s="22" t="s">
        <v>4169</v>
      </c>
      <c r="C987" s="23" t="s">
        <v>32</v>
      </c>
      <c r="D987" s="24" t="s">
        <v>8907</v>
      </c>
      <c r="E987" s="22"/>
      <c r="F987" s="22" t="s">
        <v>118</v>
      </c>
      <c r="G987" s="22"/>
      <c r="H987" s="22"/>
      <c r="I987" s="25" t="s">
        <v>4170</v>
      </c>
      <c r="J987" s="22"/>
      <c r="K987" s="22" t="s">
        <v>4171</v>
      </c>
      <c r="L987" s="22"/>
      <c r="M987" s="22" t="str">
        <f>HYPERLINK("https://ceds.ed.gov/cedselementdetails.aspx?termid=22169")</f>
        <v>https://ceds.ed.gov/cedselementdetails.aspx?termid=22169</v>
      </c>
    </row>
    <row r="988" spans="1:13" x14ac:dyDescent="0.3">
      <c r="A988" s="22" t="s">
        <v>4172</v>
      </c>
      <c r="B988" s="22" t="s">
        <v>4173</v>
      </c>
      <c r="C988" s="23" t="s">
        <v>32</v>
      </c>
      <c r="D988" s="22" t="s">
        <v>4174</v>
      </c>
      <c r="E988" s="22"/>
      <c r="F988" s="22" t="s">
        <v>328</v>
      </c>
      <c r="G988" s="22"/>
      <c r="H988" s="22"/>
      <c r="I988" s="25" t="s">
        <v>4175</v>
      </c>
      <c r="J988" s="22"/>
      <c r="K988" s="22" t="s">
        <v>4176</v>
      </c>
      <c r="L988" s="22"/>
      <c r="M988" s="22" t="str">
        <f>HYPERLINK("https://ceds.ed.gov/cedselementdetails.aspx?termid=22684")</f>
        <v>https://ceds.ed.gov/cedselementdetails.aspx?termid=22684</v>
      </c>
    </row>
    <row r="989" spans="1:13" ht="100.8" x14ac:dyDescent="0.3">
      <c r="A989" s="22" t="s">
        <v>4177</v>
      </c>
      <c r="B989" s="22" t="s">
        <v>4178</v>
      </c>
      <c r="C989" s="26" t="s">
        <v>8909</v>
      </c>
      <c r="D989" s="22" t="s">
        <v>4174</v>
      </c>
      <c r="E989" s="22"/>
      <c r="F989" s="22"/>
      <c r="G989" s="22"/>
      <c r="H989" s="22"/>
      <c r="I989" s="25" t="s">
        <v>4179</v>
      </c>
      <c r="J989" s="22"/>
      <c r="K989" s="22" t="s">
        <v>4180</v>
      </c>
      <c r="L989" s="22"/>
      <c r="M989" s="22" t="str">
        <f>HYPERLINK("https://ceds.ed.gov/cedselementdetails.aspx?termid=22683")</f>
        <v>https://ceds.ed.gov/cedselementdetails.aspx?termid=22683</v>
      </c>
    </row>
    <row r="990" spans="1:13" ht="129.6" x14ac:dyDescent="0.3">
      <c r="A990" s="22" t="s">
        <v>4181</v>
      </c>
      <c r="B990" s="22" t="s">
        <v>4182</v>
      </c>
      <c r="C990" s="23" t="s">
        <v>32</v>
      </c>
      <c r="D990" s="24" t="s">
        <v>8455</v>
      </c>
      <c r="E990" s="22" t="s">
        <v>172</v>
      </c>
      <c r="F990" s="22" t="s">
        <v>113</v>
      </c>
      <c r="G990" s="22" t="s">
        <v>8050</v>
      </c>
      <c r="H990" s="22"/>
      <c r="I990" s="25" t="s">
        <v>4183</v>
      </c>
      <c r="J990" s="22"/>
      <c r="K990" s="22" t="s">
        <v>4184</v>
      </c>
      <c r="L990" s="22"/>
      <c r="M990" s="22" t="str">
        <f>HYPERLINK("https://ceds.ed.gov/cedselementdetails.aspx?termid=21902")</f>
        <v>https://ceds.ed.gov/cedselementdetails.aspx?termid=21902</v>
      </c>
    </row>
    <row r="991" spans="1:13" ht="187.2" x14ac:dyDescent="0.3">
      <c r="A991" s="22" t="s">
        <v>4185</v>
      </c>
      <c r="B991" s="22" t="s">
        <v>4186</v>
      </c>
      <c r="C991" s="26" t="s">
        <v>8910</v>
      </c>
      <c r="D991" s="22" t="s">
        <v>258</v>
      </c>
      <c r="E991" s="22"/>
      <c r="F991" s="22"/>
      <c r="G991" s="22"/>
      <c r="H991" s="22"/>
      <c r="I991" s="25" t="s">
        <v>4187</v>
      </c>
      <c r="J991" s="22"/>
      <c r="K991" s="22" t="s">
        <v>4188</v>
      </c>
      <c r="L991" s="22"/>
      <c r="M991" s="22" t="str">
        <f>HYPERLINK("https://ceds.ed.gov/cedselementdetails.aspx?termid=21767")</f>
        <v>https://ceds.ed.gov/cedselementdetails.aspx?termid=21767</v>
      </c>
    </row>
    <row r="992" spans="1:13" ht="345.6" x14ac:dyDescent="0.3">
      <c r="A992" s="22" t="s">
        <v>4189</v>
      </c>
      <c r="B992" s="22" t="s">
        <v>4190</v>
      </c>
      <c r="C992" s="26" t="s">
        <v>8457</v>
      </c>
      <c r="D992" s="22" t="s">
        <v>1202</v>
      </c>
      <c r="E992" s="22" t="s">
        <v>172</v>
      </c>
      <c r="F992" s="22"/>
      <c r="G992" s="22" t="s">
        <v>7995</v>
      </c>
      <c r="H992" s="22"/>
      <c r="I992" s="25" t="s">
        <v>4191</v>
      </c>
      <c r="J992" s="22"/>
      <c r="K992" s="22" t="s">
        <v>4192</v>
      </c>
      <c r="L992" s="24" t="s">
        <v>4193</v>
      </c>
      <c r="M992" s="22" t="str">
        <f>HYPERLINK("https://ceds.ed.gov/cedselementdetails.aspx?termid=21126")</f>
        <v>https://ceds.ed.gov/cedselementdetails.aspx?termid=21126</v>
      </c>
    </row>
    <row r="993" spans="1:13" ht="331.2" x14ac:dyDescent="0.3">
      <c r="A993" s="22" t="s">
        <v>4194</v>
      </c>
      <c r="B993" s="22" t="s">
        <v>4195</v>
      </c>
      <c r="C993" s="26" t="s">
        <v>8433</v>
      </c>
      <c r="D993" s="24" t="s">
        <v>4196</v>
      </c>
      <c r="E993" s="22" t="s">
        <v>172</v>
      </c>
      <c r="F993" s="22"/>
      <c r="G993" s="22" t="s">
        <v>7995</v>
      </c>
      <c r="H993" s="22"/>
      <c r="I993" s="25" t="s">
        <v>4197</v>
      </c>
      <c r="J993" s="22"/>
      <c r="K993" s="22" t="s">
        <v>4198</v>
      </c>
      <c r="L993" s="24" t="s">
        <v>64</v>
      </c>
      <c r="M993" s="22" t="str">
        <f>HYPERLINK("https://ceds.ed.gov/cedselementdetails.aspx?termid=21125")</f>
        <v>https://ceds.ed.gov/cedselementdetails.aspx?termid=21125</v>
      </c>
    </row>
    <row r="994" spans="1:13" ht="331.2" x14ac:dyDescent="0.3">
      <c r="A994" s="22" t="s">
        <v>4199</v>
      </c>
      <c r="B994" s="22" t="s">
        <v>4200</v>
      </c>
      <c r="C994" s="26" t="s">
        <v>8458</v>
      </c>
      <c r="D994" s="24" t="s">
        <v>1989</v>
      </c>
      <c r="E994" s="22" t="s">
        <v>172</v>
      </c>
      <c r="F994" s="22"/>
      <c r="G994" s="22" t="s">
        <v>8003</v>
      </c>
      <c r="H994" s="22"/>
      <c r="I994" s="25" t="s">
        <v>4201</v>
      </c>
      <c r="J994" s="22"/>
      <c r="K994" s="22" t="s">
        <v>4202</v>
      </c>
      <c r="L994" s="22"/>
      <c r="M994" s="22" t="str">
        <f>HYPERLINK("https://ceds.ed.gov/cedselementdetails.aspx?termid=22907")</f>
        <v>https://ceds.ed.gov/cedselementdetails.aspx?termid=22907</v>
      </c>
    </row>
    <row r="995" spans="1:13" x14ac:dyDescent="0.3">
      <c r="A995" s="22" t="s">
        <v>4203</v>
      </c>
      <c r="B995" s="22" t="s">
        <v>8208</v>
      </c>
      <c r="C995" s="23" t="s">
        <v>32</v>
      </c>
      <c r="D995" s="22" t="s">
        <v>316</v>
      </c>
      <c r="E995" s="22"/>
      <c r="F995" s="22" t="s">
        <v>990</v>
      </c>
      <c r="G995" s="22"/>
      <c r="H995" s="22"/>
      <c r="I995" s="25" t="s">
        <v>4204</v>
      </c>
      <c r="J995" s="22"/>
      <c r="K995" s="22" t="s">
        <v>4205</v>
      </c>
      <c r="L995" s="22" t="s">
        <v>58</v>
      </c>
      <c r="M995" s="22" t="str">
        <f>HYPERLINK("https://ceds.ed.gov/cedselementdetails.aspx?termid=21127")</f>
        <v>https://ceds.ed.gov/cedselementdetails.aspx?termid=21127</v>
      </c>
    </row>
    <row r="996" spans="1:13" ht="144" x14ac:dyDescent="0.3">
      <c r="A996" s="22" t="s">
        <v>4206</v>
      </c>
      <c r="B996" s="22" t="s">
        <v>4207</v>
      </c>
      <c r="C996" s="23" t="s">
        <v>32</v>
      </c>
      <c r="D996" s="24" t="s">
        <v>4208</v>
      </c>
      <c r="E996" s="22"/>
      <c r="F996" s="22" t="s">
        <v>990</v>
      </c>
      <c r="G996" s="22"/>
      <c r="H996" s="22" t="s">
        <v>4209</v>
      </c>
      <c r="I996" s="25" t="s">
        <v>4210</v>
      </c>
      <c r="J996" s="22" t="s">
        <v>4211</v>
      </c>
      <c r="K996" s="22" t="s">
        <v>4212</v>
      </c>
      <c r="L996" s="24" t="s">
        <v>4213</v>
      </c>
      <c r="M996" s="22" t="str">
        <f>HYPERLINK("https://ceds.ed.gov/cedselementdetails.aspx?termid=21128")</f>
        <v>https://ceds.ed.gov/cedselementdetails.aspx?termid=21128</v>
      </c>
    </row>
    <row r="997" spans="1:13" ht="100.8" x14ac:dyDescent="0.3">
      <c r="A997" s="22" t="s">
        <v>4214</v>
      </c>
      <c r="B997" s="22" t="s">
        <v>4215</v>
      </c>
      <c r="C997" s="26" t="s">
        <v>8911</v>
      </c>
      <c r="D997" s="22" t="s">
        <v>249</v>
      </c>
      <c r="E997" s="22"/>
      <c r="F997" s="22"/>
      <c r="G997" s="22"/>
      <c r="H997" s="22" t="s">
        <v>4216</v>
      </c>
      <c r="I997" s="25" t="s">
        <v>4217</v>
      </c>
      <c r="J997" s="22" t="s">
        <v>4218</v>
      </c>
      <c r="K997" s="22" t="s">
        <v>4219</v>
      </c>
      <c r="L997" s="22" t="s">
        <v>252</v>
      </c>
      <c r="M997" s="22" t="str">
        <f>HYPERLINK("https://ceds.ed.gov/cedselementdetails.aspx?termid=21739")</f>
        <v>https://ceds.ed.gov/cedselementdetails.aspx?termid=21739</v>
      </c>
    </row>
    <row r="998" spans="1:13" ht="72" x14ac:dyDescent="0.3">
      <c r="A998" s="22" t="s">
        <v>4220</v>
      </c>
      <c r="B998" s="22" t="s">
        <v>4221</v>
      </c>
      <c r="C998" s="23" t="s">
        <v>32</v>
      </c>
      <c r="D998" s="22" t="s">
        <v>61</v>
      </c>
      <c r="E998" s="22"/>
      <c r="F998" s="22" t="s">
        <v>990</v>
      </c>
      <c r="G998" s="22"/>
      <c r="H998" s="22"/>
      <c r="I998" s="25" t="s">
        <v>4222</v>
      </c>
      <c r="J998" s="22" t="s">
        <v>4223</v>
      </c>
      <c r="K998" s="22" t="s">
        <v>4224</v>
      </c>
      <c r="L998" s="24" t="s">
        <v>64</v>
      </c>
      <c r="M998" s="22" t="str">
        <f>HYPERLINK("https://ceds.ed.gov/cedselementdetails.aspx?termid=21129")</f>
        <v>https://ceds.ed.gov/cedselementdetails.aspx?termid=21129</v>
      </c>
    </row>
    <row r="999" spans="1:13" ht="72" x14ac:dyDescent="0.3">
      <c r="A999" s="22" t="s">
        <v>4225</v>
      </c>
      <c r="B999" s="22" t="s">
        <v>4226</v>
      </c>
      <c r="C999" s="26" t="s">
        <v>8912</v>
      </c>
      <c r="D999" s="24" t="s">
        <v>7537</v>
      </c>
      <c r="E999" s="22"/>
      <c r="F999" s="22"/>
      <c r="G999" s="22"/>
      <c r="H999" s="22"/>
      <c r="I999" s="25" t="s">
        <v>4227</v>
      </c>
      <c r="J999" s="22" t="s">
        <v>4228</v>
      </c>
      <c r="K999" s="22" t="s">
        <v>4229</v>
      </c>
      <c r="L999" s="24" t="s">
        <v>4230</v>
      </c>
      <c r="M999" s="22" t="str">
        <f>HYPERLINK("https://ceds.ed.gov/cedselementdetails.aspx?termid=21123")</f>
        <v>https://ceds.ed.gov/cedselementdetails.aspx?termid=21123</v>
      </c>
    </row>
    <row r="1000" spans="1:13" ht="72" x14ac:dyDescent="0.3">
      <c r="A1000" s="22" t="s">
        <v>4231</v>
      </c>
      <c r="B1000" s="22" t="s">
        <v>4232</v>
      </c>
      <c r="C1000" s="23" t="s">
        <v>32</v>
      </c>
      <c r="D1000" s="22" t="s">
        <v>61</v>
      </c>
      <c r="E1000" s="22"/>
      <c r="F1000" s="22" t="s">
        <v>1518</v>
      </c>
      <c r="G1000" s="22"/>
      <c r="H1000" s="22"/>
      <c r="I1000" s="25" t="s">
        <v>4233</v>
      </c>
      <c r="J1000" s="22"/>
      <c r="K1000" s="22" t="s">
        <v>4234</v>
      </c>
      <c r="L1000" s="24" t="s">
        <v>64</v>
      </c>
      <c r="M1000" s="22" t="str">
        <f>HYPERLINK("https://ceds.ed.gov/cedselementdetails.aspx?termid=21130")</f>
        <v>https://ceds.ed.gov/cedselementdetails.aspx?termid=21130</v>
      </c>
    </row>
    <row r="1001" spans="1:13" ht="129.6" x14ac:dyDescent="0.3">
      <c r="A1001" s="22" t="s">
        <v>4235</v>
      </c>
      <c r="B1001" s="22" t="s">
        <v>4236</v>
      </c>
      <c r="C1001" s="23" t="s">
        <v>32</v>
      </c>
      <c r="D1001" s="24" t="s">
        <v>4237</v>
      </c>
      <c r="E1001" s="22"/>
      <c r="F1001" s="22" t="s">
        <v>780</v>
      </c>
      <c r="G1001" s="22"/>
      <c r="H1001" s="22" t="s">
        <v>4238</v>
      </c>
      <c r="I1001" s="25" t="s">
        <v>4239</v>
      </c>
      <c r="J1001" s="22"/>
      <c r="K1001" s="22" t="s">
        <v>4240</v>
      </c>
      <c r="L1001" s="22"/>
      <c r="M1001" s="22" t="str">
        <f>HYPERLINK("https://ceds.ed.gov/cedselementdetails.aspx?termid=21609")</f>
        <v>https://ceds.ed.gov/cedselementdetails.aspx?termid=21609</v>
      </c>
    </row>
    <row r="1002" spans="1:13" ht="331.2" x14ac:dyDescent="0.3">
      <c r="A1002" s="22" t="s">
        <v>4241</v>
      </c>
      <c r="B1002" s="22" t="s">
        <v>4242</v>
      </c>
      <c r="C1002" s="26" t="s">
        <v>8433</v>
      </c>
      <c r="D1002" s="24" t="s">
        <v>1989</v>
      </c>
      <c r="E1002" s="22" t="s">
        <v>172</v>
      </c>
      <c r="F1002" s="22"/>
      <c r="G1002" s="22" t="s">
        <v>8209</v>
      </c>
      <c r="H1002" s="22"/>
      <c r="I1002" s="25" t="s">
        <v>4243</v>
      </c>
      <c r="J1002" s="22"/>
      <c r="K1002" s="22" t="s">
        <v>4244</v>
      </c>
      <c r="L1002" s="24" t="s">
        <v>64</v>
      </c>
      <c r="M1002" s="22" t="str">
        <f>HYPERLINK("https://ceds.ed.gov/cedselementdetails.aspx?termid=21131")</f>
        <v>https://ceds.ed.gov/cedselementdetails.aspx?termid=21131</v>
      </c>
    </row>
    <row r="1003" spans="1:13" ht="187.2" x14ac:dyDescent="0.3">
      <c r="A1003" s="22" t="s">
        <v>4245</v>
      </c>
      <c r="B1003" s="22" t="s">
        <v>4246</v>
      </c>
      <c r="C1003" s="26" t="s">
        <v>8913</v>
      </c>
      <c r="D1003" s="22" t="s">
        <v>66</v>
      </c>
      <c r="E1003" s="22"/>
      <c r="F1003" s="22"/>
      <c r="G1003" s="22"/>
      <c r="H1003" s="22" t="s">
        <v>2496</v>
      </c>
      <c r="I1003" s="25" t="s">
        <v>4247</v>
      </c>
      <c r="J1003" s="22"/>
      <c r="K1003" s="22" t="s">
        <v>4248</v>
      </c>
      <c r="L1003" s="22" t="s">
        <v>69</v>
      </c>
      <c r="M1003" s="22" t="str">
        <f>HYPERLINK("https://ceds.ed.gov/cedselementdetails.aspx?termid=21721")</f>
        <v>https://ceds.ed.gov/cedselementdetails.aspx?termid=21721</v>
      </c>
    </row>
    <row r="1004" spans="1:13" ht="43.2" x14ac:dyDescent="0.3">
      <c r="A1004" s="22" t="s">
        <v>4249</v>
      </c>
      <c r="B1004" s="22" t="s">
        <v>8210</v>
      </c>
      <c r="C1004" s="26" t="s">
        <v>22</v>
      </c>
      <c r="D1004" s="22" t="s">
        <v>66</v>
      </c>
      <c r="E1004" s="22"/>
      <c r="F1004" s="22"/>
      <c r="G1004" s="22"/>
      <c r="H1004" s="22" t="s">
        <v>368</v>
      </c>
      <c r="I1004" s="25" t="s">
        <v>4250</v>
      </c>
      <c r="J1004" s="22"/>
      <c r="K1004" s="22" t="s">
        <v>4251</v>
      </c>
      <c r="L1004" s="22" t="s">
        <v>69</v>
      </c>
      <c r="M1004" s="22" t="str">
        <f>HYPERLINK("https://ceds.ed.gov/cedselementdetails.aspx?termid=21720")</f>
        <v>https://ceds.ed.gov/cedselementdetails.aspx?termid=21720</v>
      </c>
    </row>
    <row r="1005" spans="1:13" ht="86.4" x14ac:dyDescent="0.3">
      <c r="A1005" s="22" t="s">
        <v>4252</v>
      </c>
      <c r="B1005" s="22" t="s">
        <v>4253</v>
      </c>
      <c r="C1005" s="26" t="s">
        <v>8914</v>
      </c>
      <c r="D1005" s="22" t="s">
        <v>3234</v>
      </c>
      <c r="E1005" s="22"/>
      <c r="F1005" s="22"/>
      <c r="G1005" s="22"/>
      <c r="H1005" s="22"/>
      <c r="I1005" s="25" t="s">
        <v>4254</v>
      </c>
      <c r="J1005" s="22"/>
      <c r="K1005" s="22" t="s">
        <v>4255</v>
      </c>
      <c r="L1005" s="22"/>
      <c r="M1005" s="22" t="str">
        <f>HYPERLINK("https://ceds.ed.gov/cedselementdetails.aspx?termid=22324")</f>
        <v>https://ceds.ed.gov/cedselementdetails.aspx?termid=22324</v>
      </c>
    </row>
    <row r="1006" spans="1:13" x14ac:dyDescent="0.3">
      <c r="A1006" s="22" t="s">
        <v>4256</v>
      </c>
      <c r="B1006" s="22" t="s">
        <v>4257</v>
      </c>
      <c r="C1006" s="23" t="s">
        <v>32</v>
      </c>
      <c r="D1006" s="22" t="s">
        <v>61</v>
      </c>
      <c r="E1006" s="22"/>
      <c r="F1006" s="22" t="s">
        <v>1844</v>
      </c>
      <c r="G1006" s="22"/>
      <c r="H1006" s="22"/>
      <c r="I1006" s="25" t="s">
        <v>4258</v>
      </c>
      <c r="J1006" s="22"/>
      <c r="K1006" s="22" t="s">
        <v>4259</v>
      </c>
      <c r="L1006" s="22"/>
      <c r="M1006" s="22" t="str">
        <f>HYPERLINK("https://ceds.ed.gov/cedselementdetails.aspx?termid=21132")</f>
        <v>https://ceds.ed.gov/cedselementdetails.aspx?termid=21132</v>
      </c>
    </row>
    <row r="1007" spans="1:13" ht="43.2" x14ac:dyDescent="0.3">
      <c r="A1007" s="22" t="s">
        <v>4260</v>
      </c>
      <c r="B1007" s="22" t="s">
        <v>4261</v>
      </c>
      <c r="C1007" s="26" t="s">
        <v>22</v>
      </c>
      <c r="D1007" s="22" t="s">
        <v>61</v>
      </c>
      <c r="E1007" s="22"/>
      <c r="F1007" s="22"/>
      <c r="G1007" s="22"/>
      <c r="H1007" s="22"/>
      <c r="I1007" s="25" t="s">
        <v>4262</v>
      </c>
      <c r="J1007" s="22"/>
      <c r="K1007" s="22" t="s">
        <v>4263</v>
      </c>
      <c r="L1007" s="22" t="s">
        <v>4264</v>
      </c>
      <c r="M1007" s="22" t="str">
        <f>HYPERLINK("https://ceds.ed.gov/cedselementdetails.aspx?termid=21133")</f>
        <v>https://ceds.ed.gov/cedselementdetails.aspx?termid=21133</v>
      </c>
    </row>
    <row r="1008" spans="1:13" ht="100.8" x14ac:dyDescent="0.3">
      <c r="A1008" s="22" t="s">
        <v>4265</v>
      </c>
      <c r="B1008" s="22" t="s">
        <v>4266</v>
      </c>
      <c r="C1008" s="26" t="s">
        <v>8915</v>
      </c>
      <c r="D1008" s="24" t="s">
        <v>210</v>
      </c>
      <c r="E1008" s="22"/>
      <c r="F1008" s="22"/>
      <c r="G1008" s="22"/>
      <c r="H1008" s="22"/>
      <c r="I1008" s="25" t="s">
        <v>4267</v>
      </c>
      <c r="J1008" s="22"/>
      <c r="K1008" s="22" t="s">
        <v>4268</v>
      </c>
      <c r="L1008" s="22" t="s">
        <v>226</v>
      </c>
      <c r="M1008" s="22" t="str">
        <f>HYPERLINK("https://ceds.ed.gov/cedselementdetails.aspx?termid=21134")</f>
        <v>https://ceds.ed.gov/cedselementdetails.aspx?termid=21134</v>
      </c>
    </row>
    <row r="1009" spans="1:13" ht="43.2" x14ac:dyDescent="0.3">
      <c r="A1009" s="22" t="s">
        <v>4269</v>
      </c>
      <c r="B1009" s="22" t="s">
        <v>4270</v>
      </c>
      <c r="C1009" s="26" t="s">
        <v>22</v>
      </c>
      <c r="D1009" s="22" t="s">
        <v>1536</v>
      </c>
      <c r="E1009" s="22"/>
      <c r="F1009" s="22"/>
      <c r="G1009" s="22"/>
      <c r="H1009" s="22"/>
      <c r="I1009" s="25" t="s">
        <v>4271</v>
      </c>
      <c r="J1009" s="22"/>
      <c r="K1009" s="22" t="s">
        <v>4272</v>
      </c>
      <c r="L1009" s="22" t="s">
        <v>25</v>
      </c>
      <c r="M1009" s="22" t="str">
        <f>HYPERLINK("https://ceds.ed.gov/cedselementdetails.aspx?termid=21135")</f>
        <v>https://ceds.ed.gov/cedselementdetails.aspx?termid=21135</v>
      </c>
    </row>
    <row r="1010" spans="1:13" x14ac:dyDescent="0.3">
      <c r="A1010" s="22" t="s">
        <v>4273</v>
      </c>
      <c r="B1010" s="22" t="s">
        <v>4274</v>
      </c>
      <c r="C1010" s="23" t="s">
        <v>32</v>
      </c>
      <c r="D1010" s="22" t="s">
        <v>1584</v>
      </c>
      <c r="E1010" s="22"/>
      <c r="F1010" s="22" t="s">
        <v>55</v>
      </c>
      <c r="G1010" s="22"/>
      <c r="H1010" s="22"/>
      <c r="I1010" s="25" t="s">
        <v>4275</v>
      </c>
      <c r="J1010" s="22"/>
      <c r="K1010" s="22" t="s">
        <v>4276</v>
      </c>
      <c r="L1010" s="22"/>
      <c r="M1010" s="22" t="str">
        <f>HYPERLINK("https://ceds.ed.gov/cedselementdetails.aspx?termid=22825")</f>
        <v>https://ceds.ed.gov/cedselementdetails.aspx?termid=22825</v>
      </c>
    </row>
    <row r="1011" spans="1:13" x14ac:dyDescent="0.3">
      <c r="A1011" s="22" t="s">
        <v>4277</v>
      </c>
      <c r="B1011" s="22" t="s">
        <v>4278</v>
      </c>
      <c r="C1011" s="23" t="s">
        <v>32</v>
      </c>
      <c r="D1011" s="22" t="s">
        <v>1584</v>
      </c>
      <c r="E1011" s="22"/>
      <c r="F1011" s="22" t="s">
        <v>118</v>
      </c>
      <c r="G1011" s="22"/>
      <c r="H1011" s="22"/>
      <c r="I1011" s="25" t="s">
        <v>4279</v>
      </c>
      <c r="J1011" s="22"/>
      <c r="K1011" s="22" t="s">
        <v>4280</v>
      </c>
      <c r="L1011" s="22"/>
      <c r="M1011" s="22" t="str">
        <f>HYPERLINK("https://ceds.ed.gov/cedselementdetails.aspx?termid=22826")</f>
        <v>https://ceds.ed.gov/cedselementdetails.aspx?termid=22826</v>
      </c>
    </row>
    <row r="1012" spans="1:13" ht="43.2" x14ac:dyDescent="0.3">
      <c r="A1012" s="22" t="s">
        <v>4281</v>
      </c>
      <c r="B1012" s="22" t="s">
        <v>4282</v>
      </c>
      <c r="C1012" s="23" t="s">
        <v>32</v>
      </c>
      <c r="D1012" s="24" t="s">
        <v>8596</v>
      </c>
      <c r="E1012" s="22"/>
      <c r="F1012" s="22" t="s">
        <v>113</v>
      </c>
      <c r="G1012" s="22"/>
      <c r="H1012" s="22"/>
      <c r="I1012" s="25" t="s">
        <v>4283</v>
      </c>
      <c r="J1012" s="22"/>
      <c r="K1012" s="22" t="s">
        <v>4284</v>
      </c>
      <c r="L1012" s="22"/>
      <c r="M1012" s="22" t="str">
        <f>HYPERLINK("https://ceds.ed.gov/cedselementdetails.aspx?termid=22325")</f>
        <v>https://ceds.ed.gov/cedselementdetails.aspx?termid=22325</v>
      </c>
    </row>
    <row r="1013" spans="1:13" ht="43.2" x14ac:dyDescent="0.3">
      <c r="A1013" s="22" t="s">
        <v>4285</v>
      </c>
      <c r="B1013" s="22" t="s">
        <v>4286</v>
      </c>
      <c r="C1013" s="23" t="s">
        <v>32</v>
      </c>
      <c r="D1013" s="24" t="s">
        <v>8596</v>
      </c>
      <c r="E1013" s="22"/>
      <c r="F1013" s="22" t="s">
        <v>328</v>
      </c>
      <c r="G1013" s="22"/>
      <c r="H1013" s="22"/>
      <c r="I1013" s="25" t="s">
        <v>4287</v>
      </c>
      <c r="J1013" s="22"/>
      <c r="K1013" s="22" t="s">
        <v>4288</v>
      </c>
      <c r="L1013" s="22"/>
      <c r="M1013" s="22" t="str">
        <f>HYPERLINK("https://ceds.ed.gov/cedselementdetails.aspx?termid=22326")</f>
        <v>https://ceds.ed.gov/cedselementdetails.aspx?termid=22326</v>
      </c>
    </row>
    <row r="1014" spans="1:13" ht="43.2" x14ac:dyDescent="0.3">
      <c r="A1014" s="22" t="s">
        <v>4289</v>
      </c>
      <c r="B1014" s="22" t="s">
        <v>4290</v>
      </c>
      <c r="C1014" s="23" t="s">
        <v>32</v>
      </c>
      <c r="D1014" s="24" t="s">
        <v>8916</v>
      </c>
      <c r="E1014" s="22"/>
      <c r="F1014" s="22" t="s">
        <v>118</v>
      </c>
      <c r="G1014" s="22"/>
      <c r="H1014" s="22"/>
      <c r="I1014" s="25" t="s">
        <v>4291</v>
      </c>
      <c r="J1014" s="22"/>
      <c r="K1014" s="22" t="s">
        <v>4292</v>
      </c>
      <c r="L1014" s="22"/>
      <c r="M1014" s="22" t="str">
        <f>HYPERLINK("https://ceds.ed.gov/cedselementdetails.aspx?termid=21681")</f>
        <v>https://ceds.ed.gov/cedselementdetails.aspx?termid=21681</v>
      </c>
    </row>
    <row r="1015" spans="1:13" ht="57.6" x14ac:dyDescent="0.3">
      <c r="A1015" s="22" t="s">
        <v>4293</v>
      </c>
      <c r="B1015" s="22" t="s">
        <v>4294</v>
      </c>
      <c r="C1015" s="26" t="s">
        <v>8917</v>
      </c>
      <c r="D1015" s="24" t="s">
        <v>8916</v>
      </c>
      <c r="E1015" s="22"/>
      <c r="F1015" s="22"/>
      <c r="G1015" s="22"/>
      <c r="H1015" s="22"/>
      <c r="I1015" s="25" t="s">
        <v>4295</v>
      </c>
      <c r="J1015" s="22"/>
      <c r="K1015" s="22" t="s">
        <v>4296</v>
      </c>
      <c r="L1015" s="22" t="s">
        <v>2015</v>
      </c>
      <c r="M1015" s="22" t="str">
        <f>HYPERLINK("https://ceds.ed.gov/cedselementdetails.aspx?termid=21309")</f>
        <v>https://ceds.ed.gov/cedselementdetails.aspx?termid=21309</v>
      </c>
    </row>
    <row r="1016" spans="1:13" ht="158.4" x14ac:dyDescent="0.3">
      <c r="A1016" s="22" t="s">
        <v>4297</v>
      </c>
      <c r="B1016" s="22" t="s">
        <v>4298</v>
      </c>
      <c r="C1016" s="26" t="s">
        <v>22</v>
      </c>
      <c r="D1016" s="24" t="s">
        <v>4299</v>
      </c>
      <c r="E1016" s="22"/>
      <c r="F1016" s="22"/>
      <c r="G1016" s="22"/>
      <c r="H1016" s="22"/>
      <c r="I1016" s="25" t="s">
        <v>4300</v>
      </c>
      <c r="J1016" s="22"/>
      <c r="K1016" s="22" t="s">
        <v>4301</v>
      </c>
      <c r="L1016" s="24" t="s">
        <v>1521</v>
      </c>
      <c r="M1016" s="22" t="str">
        <f>HYPERLINK("https://ceds.ed.gov/cedselementdetails.aspx?termid=21137")</f>
        <v>https://ceds.ed.gov/cedselementdetails.aspx?termid=21137</v>
      </c>
    </row>
    <row r="1017" spans="1:13" ht="100.8" x14ac:dyDescent="0.3">
      <c r="A1017" s="22" t="s">
        <v>4302</v>
      </c>
      <c r="B1017" s="22" t="s">
        <v>4303</v>
      </c>
      <c r="C1017" s="26" t="s">
        <v>8918</v>
      </c>
      <c r="D1017" s="24" t="s">
        <v>4304</v>
      </c>
      <c r="E1017" s="22"/>
      <c r="F1017" s="22"/>
      <c r="G1017" s="22"/>
      <c r="H1017" s="22"/>
      <c r="I1017" s="25" t="s">
        <v>4305</v>
      </c>
      <c r="J1017" s="22"/>
      <c r="K1017" s="22" t="s">
        <v>4306</v>
      </c>
      <c r="L1017" s="22"/>
      <c r="M1017" s="22" t="str">
        <f>HYPERLINK("https://ceds.ed.gov/cedselementdetails.aspx?termid=21689")</f>
        <v>https://ceds.ed.gov/cedselementdetails.aspx?termid=21689</v>
      </c>
    </row>
    <row r="1018" spans="1:13" ht="259.2" x14ac:dyDescent="0.3">
      <c r="A1018" s="22" t="s">
        <v>4307</v>
      </c>
      <c r="B1018" s="22" t="s">
        <v>4308</v>
      </c>
      <c r="C1018" s="26" t="s">
        <v>8919</v>
      </c>
      <c r="D1018" s="24" t="s">
        <v>4309</v>
      </c>
      <c r="E1018" s="22"/>
      <c r="F1018" s="22"/>
      <c r="G1018" s="22"/>
      <c r="H1018" s="22" t="s">
        <v>4310</v>
      </c>
      <c r="I1018" s="25" t="s">
        <v>4311</v>
      </c>
      <c r="J1018" s="22"/>
      <c r="K1018" s="22" t="s">
        <v>4312</v>
      </c>
      <c r="L1018" s="24" t="s">
        <v>4313</v>
      </c>
      <c r="M1018" s="22" t="str">
        <f>HYPERLINK("https://ceds.ed.gov/cedselementdetails.aspx?termid=21138")</f>
        <v>https://ceds.ed.gov/cedselementdetails.aspx?termid=21138</v>
      </c>
    </row>
    <row r="1019" spans="1:13" ht="115.2" x14ac:dyDescent="0.3">
      <c r="A1019" s="22" t="s">
        <v>4314</v>
      </c>
      <c r="B1019" s="22" t="s">
        <v>4315</v>
      </c>
      <c r="C1019" s="26" t="s">
        <v>8920</v>
      </c>
      <c r="D1019" s="24" t="s">
        <v>210</v>
      </c>
      <c r="E1019" s="22"/>
      <c r="F1019" s="22"/>
      <c r="G1019" s="22"/>
      <c r="H1019" s="22"/>
      <c r="I1019" s="25" t="s">
        <v>4316</v>
      </c>
      <c r="J1019" s="22"/>
      <c r="K1019" s="22" t="s">
        <v>4317</v>
      </c>
      <c r="L1019" s="22" t="s">
        <v>226</v>
      </c>
      <c r="M1019" s="22" t="str">
        <f>HYPERLINK("https://ceds.ed.gov/cedselementdetails.aspx?termid=21140")</f>
        <v>https://ceds.ed.gov/cedselementdetails.aspx?termid=21140</v>
      </c>
    </row>
    <row r="1020" spans="1:13" x14ac:dyDescent="0.3">
      <c r="A1020" s="22" t="s">
        <v>4318</v>
      </c>
      <c r="B1020" s="22" t="s">
        <v>4319</v>
      </c>
      <c r="C1020" s="23" t="s">
        <v>32</v>
      </c>
      <c r="D1020" s="22" t="s">
        <v>249</v>
      </c>
      <c r="E1020" s="22"/>
      <c r="F1020" s="22" t="s">
        <v>775</v>
      </c>
      <c r="G1020" s="22"/>
      <c r="H1020" s="22" t="s">
        <v>8211</v>
      </c>
      <c r="I1020" s="25" t="s">
        <v>4320</v>
      </c>
      <c r="J1020" s="22"/>
      <c r="K1020" s="22" t="s">
        <v>4321</v>
      </c>
      <c r="L1020" s="22" t="s">
        <v>252</v>
      </c>
      <c r="M1020" s="22" t="str">
        <f>HYPERLINK("https://ceds.ed.gov/cedselementdetails.aspx?termid=21740")</f>
        <v>https://ceds.ed.gov/cedselementdetails.aspx?termid=21740</v>
      </c>
    </row>
    <row r="1021" spans="1:13" ht="100.8" x14ac:dyDescent="0.3">
      <c r="A1021" s="22" t="s">
        <v>4322</v>
      </c>
      <c r="B1021" s="22" t="s">
        <v>4323</v>
      </c>
      <c r="C1021" s="23" t="s">
        <v>32</v>
      </c>
      <c r="D1021" s="24" t="s">
        <v>4324</v>
      </c>
      <c r="E1021" s="22"/>
      <c r="F1021" s="22" t="s">
        <v>317</v>
      </c>
      <c r="G1021" s="22"/>
      <c r="H1021" s="22"/>
      <c r="I1021" s="25" t="s">
        <v>4325</v>
      </c>
      <c r="J1021" s="22"/>
      <c r="K1021" s="22" t="s">
        <v>4326</v>
      </c>
      <c r="L1021" s="24" t="s">
        <v>4327</v>
      </c>
      <c r="M1021" s="22" t="str">
        <f>HYPERLINK("https://ceds.ed.gov/cedselementdetails.aspx?termid=21041")</f>
        <v>https://ceds.ed.gov/cedselementdetails.aspx?termid=21041</v>
      </c>
    </row>
    <row r="1022" spans="1:13" ht="115.2" x14ac:dyDescent="0.3">
      <c r="A1022" s="22" t="s">
        <v>4328</v>
      </c>
      <c r="B1022" s="22" t="s">
        <v>4329</v>
      </c>
      <c r="C1022" s="26" t="s">
        <v>8921</v>
      </c>
      <c r="D1022" s="24" t="s">
        <v>8922</v>
      </c>
      <c r="E1022" s="22"/>
      <c r="F1022" s="22"/>
      <c r="G1022" s="22"/>
      <c r="H1022" s="22"/>
      <c r="I1022" s="25" t="s">
        <v>4330</v>
      </c>
      <c r="J1022" s="22"/>
      <c r="K1022" s="22" t="s">
        <v>4331</v>
      </c>
      <c r="L1022" s="22" t="s">
        <v>207</v>
      </c>
      <c r="M1022" s="22" t="str">
        <f>HYPERLINK("https://ceds.ed.gov/cedselementdetails.aspx?termid=21817")</f>
        <v>https://ceds.ed.gov/cedselementdetails.aspx?termid=21817</v>
      </c>
    </row>
    <row r="1023" spans="1:13" ht="409.6" x14ac:dyDescent="0.3">
      <c r="A1023" s="22" t="s">
        <v>4332</v>
      </c>
      <c r="B1023" s="22" t="s">
        <v>4333</v>
      </c>
      <c r="C1023" s="26" t="s">
        <v>8734</v>
      </c>
      <c r="D1023" s="24" t="s">
        <v>8923</v>
      </c>
      <c r="E1023" s="22"/>
      <c r="F1023" s="22"/>
      <c r="G1023" s="22"/>
      <c r="H1023" s="22"/>
      <c r="I1023" s="25" t="s">
        <v>4334</v>
      </c>
      <c r="J1023" s="22"/>
      <c r="K1023" s="22" t="s">
        <v>4335</v>
      </c>
      <c r="L1023" s="24" t="s">
        <v>4336</v>
      </c>
      <c r="M1023" s="22" t="str">
        <f>HYPERLINK("https://ceds.ed.gov/cedselementdetails.aspx?termid=21141")</f>
        <v>https://ceds.ed.gov/cedselementdetails.aspx?termid=21141</v>
      </c>
    </row>
    <row r="1024" spans="1:13" ht="43.2" x14ac:dyDescent="0.3">
      <c r="A1024" s="22" t="s">
        <v>4337</v>
      </c>
      <c r="B1024" s="22" t="s">
        <v>4338</v>
      </c>
      <c r="C1024" s="26" t="s">
        <v>8924</v>
      </c>
      <c r="D1024" s="22" t="s">
        <v>4339</v>
      </c>
      <c r="E1024" s="22"/>
      <c r="F1024" s="22"/>
      <c r="G1024" s="22"/>
      <c r="H1024" s="22"/>
      <c r="I1024" s="25" t="s">
        <v>4340</v>
      </c>
      <c r="J1024" s="22"/>
      <c r="K1024" s="22" t="s">
        <v>4341</v>
      </c>
      <c r="L1024" s="22" t="s">
        <v>226</v>
      </c>
      <c r="M1024" s="22" t="str">
        <f>HYPERLINK("https://ceds.ed.gov/cedselementdetails.aspx?termid=21142")</f>
        <v>https://ceds.ed.gov/cedselementdetails.aspx?termid=21142</v>
      </c>
    </row>
    <row r="1025" spans="1:13" ht="100.8" x14ac:dyDescent="0.3">
      <c r="A1025" s="22" t="s">
        <v>4342</v>
      </c>
      <c r="B1025" s="22" t="s">
        <v>4343</v>
      </c>
      <c r="C1025" s="23" t="s">
        <v>32</v>
      </c>
      <c r="D1025" s="24" t="s">
        <v>8925</v>
      </c>
      <c r="E1025" s="22"/>
      <c r="F1025" s="22" t="s">
        <v>118</v>
      </c>
      <c r="G1025" s="22"/>
      <c r="H1025" s="22" t="s">
        <v>8212</v>
      </c>
      <c r="I1025" s="25" t="s">
        <v>4344</v>
      </c>
      <c r="J1025" s="22"/>
      <c r="K1025" s="22" t="s">
        <v>4345</v>
      </c>
      <c r="L1025" s="24" t="s">
        <v>4346</v>
      </c>
      <c r="M1025" s="22" t="str">
        <f>HYPERLINK("https://ceds.ed.gov/cedselementdetails.aspx?termid=21143")</f>
        <v>https://ceds.ed.gov/cedselementdetails.aspx?termid=21143</v>
      </c>
    </row>
    <row r="1026" spans="1:13" ht="244.8" x14ac:dyDescent="0.3">
      <c r="A1026" s="22" t="s">
        <v>4347</v>
      </c>
      <c r="B1026" s="22" t="s">
        <v>4348</v>
      </c>
      <c r="C1026" s="26" t="s">
        <v>8601</v>
      </c>
      <c r="D1026" s="24" t="s">
        <v>8602</v>
      </c>
      <c r="E1026" s="22"/>
      <c r="F1026" s="22"/>
      <c r="G1026" s="22"/>
      <c r="H1026" s="22" t="s">
        <v>7958</v>
      </c>
      <c r="I1026" s="25" t="s">
        <v>4349</v>
      </c>
      <c r="J1026" s="22"/>
      <c r="K1026" s="22" t="s">
        <v>4350</v>
      </c>
      <c r="L1026" s="24" t="s">
        <v>365</v>
      </c>
      <c r="M1026" s="22" t="str">
        <f>HYPERLINK("https://ceds.ed.gov/cedselementdetails.aspx?termid=21144")</f>
        <v>https://ceds.ed.gov/cedselementdetails.aspx?termid=21144</v>
      </c>
    </row>
    <row r="1027" spans="1:13" x14ac:dyDescent="0.3">
      <c r="A1027" s="22" t="s">
        <v>7538</v>
      </c>
      <c r="B1027" s="22" t="s">
        <v>7539</v>
      </c>
      <c r="C1027" s="23" t="s">
        <v>32</v>
      </c>
      <c r="D1027" s="22" t="s">
        <v>5816</v>
      </c>
      <c r="E1027" s="22"/>
      <c r="F1027" s="22" t="s">
        <v>118</v>
      </c>
      <c r="G1027" s="22"/>
      <c r="H1027" s="22" t="s">
        <v>7540</v>
      </c>
      <c r="I1027" s="25" t="s">
        <v>7541</v>
      </c>
      <c r="J1027" s="22"/>
      <c r="K1027" s="22" t="s">
        <v>7542</v>
      </c>
      <c r="L1027" s="22"/>
      <c r="M1027" s="22" t="str">
        <f>HYPERLINK("https://ceds.ed.gov/cedselementdetails.aspx?termid=22934")</f>
        <v>https://ceds.ed.gov/cedselementdetails.aspx?termid=22934</v>
      </c>
    </row>
    <row r="1028" spans="1:13" ht="57.6" x14ac:dyDescent="0.3">
      <c r="A1028" s="22" t="s">
        <v>7543</v>
      </c>
      <c r="B1028" s="22" t="s">
        <v>7544</v>
      </c>
      <c r="C1028" s="26" t="s">
        <v>3039</v>
      </c>
      <c r="D1028" s="22" t="s">
        <v>5816</v>
      </c>
      <c r="E1028" s="22"/>
      <c r="F1028" s="22"/>
      <c r="G1028" s="22"/>
      <c r="H1028" s="22" t="s">
        <v>7545</v>
      </c>
      <c r="I1028" s="25" t="s">
        <v>7546</v>
      </c>
      <c r="J1028" s="22"/>
      <c r="K1028" s="22" t="s">
        <v>7547</v>
      </c>
      <c r="L1028" s="22"/>
      <c r="M1028" s="22" t="str">
        <f>HYPERLINK("https://ceds.ed.gov/cedselementdetails.aspx?termid=22935")</f>
        <v>https://ceds.ed.gov/cedselementdetails.aspx?termid=22935</v>
      </c>
    </row>
    <row r="1029" spans="1:13" ht="115.2" x14ac:dyDescent="0.3">
      <c r="A1029" s="22" t="s">
        <v>4351</v>
      </c>
      <c r="B1029" s="22" t="s">
        <v>4352</v>
      </c>
      <c r="C1029" s="26" t="s">
        <v>8926</v>
      </c>
      <c r="D1029" s="24" t="s">
        <v>8927</v>
      </c>
      <c r="E1029" s="22"/>
      <c r="F1029" s="22"/>
      <c r="G1029" s="22"/>
      <c r="H1029" s="22"/>
      <c r="I1029" s="25" t="s">
        <v>4353</v>
      </c>
      <c r="J1029" s="22"/>
      <c r="K1029" s="22" t="s">
        <v>4354</v>
      </c>
      <c r="L1029" s="22" t="s">
        <v>226</v>
      </c>
      <c r="M1029" s="22" t="str">
        <f>HYPERLINK("https://ceds.ed.gov/cedselementdetails.aspx?termid=21146")</f>
        <v>https://ceds.ed.gov/cedselementdetails.aspx?termid=21146</v>
      </c>
    </row>
    <row r="1030" spans="1:13" ht="43.2" x14ac:dyDescent="0.3">
      <c r="A1030" s="22" t="s">
        <v>4355</v>
      </c>
      <c r="B1030" s="22" t="s">
        <v>8213</v>
      </c>
      <c r="C1030" s="26" t="s">
        <v>22</v>
      </c>
      <c r="D1030" s="24" t="s">
        <v>8927</v>
      </c>
      <c r="E1030" s="22"/>
      <c r="F1030" s="22"/>
      <c r="G1030" s="22"/>
      <c r="H1030" s="22"/>
      <c r="I1030" s="25" t="s">
        <v>4356</v>
      </c>
      <c r="J1030" s="22"/>
      <c r="K1030" s="22" t="s">
        <v>4357</v>
      </c>
      <c r="L1030" s="22"/>
      <c r="M1030" s="22" t="str">
        <f>HYPERLINK("https://ceds.ed.gov/cedselementdetails.aspx?termid=21147")</f>
        <v>https://ceds.ed.gov/cedselementdetails.aspx?termid=21147</v>
      </c>
    </row>
    <row r="1031" spans="1:13" ht="43.2" x14ac:dyDescent="0.3">
      <c r="A1031" s="22" t="s">
        <v>4358</v>
      </c>
      <c r="B1031" s="22" t="s">
        <v>4359</v>
      </c>
      <c r="C1031" s="26" t="s">
        <v>22</v>
      </c>
      <c r="D1031" s="22" t="s">
        <v>4360</v>
      </c>
      <c r="E1031" s="22"/>
      <c r="F1031" s="22"/>
      <c r="G1031" s="22"/>
      <c r="H1031" s="22"/>
      <c r="I1031" s="25" t="s">
        <v>4361</v>
      </c>
      <c r="J1031" s="22"/>
      <c r="K1031" s="22" t="s">
        <v>4362</v>
      </c>
      <c r="L1031" s="22" t="s">
        <v>226</v>
      </c>
      <c r="M1031" s="22" t="str">
        <f>HYPERLINK("https://ceds.ed.gov/cedselementdetails.aspx?termid=21148")</f>
        <v>https://ceds.ed.gov/cedselementdetails.aspx?termid=21148</v>
      </c>
    </row>
    <row r="1032" spans="1:13" ht="115.2" x14ac:dyDescent="0.3">
      <c r="A1032" s="22" t="s">
        <v>4363</v>
      </c>
      <c r="B1032" s="22" t="s">
        <v>4364</v>
      </c>
      <c r="C1032" s="26" t="s">
        <v>22</v>
      </c>
      <c r="D1032" s="24" t="s">
        <v>8928</v>
      </c>
      <c r="E1032" s="22"/>
      <c r="F1032" s="22"/>
      <c r="G1032" s="22"/>
      <c r="H1032" s="22"/>
      <c r="I1032" s="25" t="s">
        <v>4365</v>
      </c>
      <c r="J1032" s="22"/>
      <c r="K1032" s="22" t="s">
        <v>4366</v>
      </c>
      <c r="L1032" s="24" t="s">
        <v>4367</v>
      </c>
      <c r="M1032" s="22" t="str">
        <f>HYPERLINK("https://ceds.ed.gov/cedselementdetails.aspx?termid=21149")</f>
        <v>https://ceds.ed.gov/cedselementdetails.aspx?termid=21149</v>
      </c>
    </row>
    <row r="1033" spans="1:13" ht="72" x14ac:dyDescent="0.3">
      <c r="A1033" s="22" t="s">
        <v>4368</v>
      </c>
      <c r="B1033" s="22" t="s">
        <v>4369</v>
      </c>
      <c r="C1033" s="23" t="s">
        <v>32</v>
      </c>
      <c r="D1033" s="22" t="s">
        <v>61</v>
      </c>
      <c r="E1033" s="22"/>
      <c r="F1033" s="22" t="s">
        <v>55</v>
      </c>
      <c r="G1033" s="22"/>
      <c r="H1033" s="22"/>
      <c r="I1033" s="25" t="s">
        <v>4370</v>
      </c>
      <c r="J1033" s="22"/>
      <c r="K1033" s="22" t="s">
        <v>4371</v>
      </c>
      <c r="L1033" s="24" t="s">
        <v>64</v>
      </c>
      <c r="M1033" s="22" t="str">
        <f>HYPERLINK("https://ceds.ed.gov/cedselementdetails.aspx?termid=21150")</f>
        <v>https://ceds.ed.gov/cedselementdetails.aspx?termid=21150</v>
      </c>
    </row>
    <row r="1034" spans="1:13" x14ac:dyDescent="0.3">
      <c r="A1034" s="22" t="s">
        <v>4372</v>
      </c>
      <c r="B1034" s="22" t="s">
        <v>4373</v>
      </c>
      <c r="C1034" s="23" t="s">
        <v>32</v>
      </c>
      <c r="D1034" s="22" t="s">
        <v>8094</v>
      </c>
      <c r="E1034" s="22"/>
      <c r="F1034" s="22" t="s">
        <v>1518</v>
      </c>
      <c r="G1034" s="22"/>
      <c r="H1034" s="22"/>
      <c r="I1034" s="25" t="s">
        <v>4374</v>
      </c>
      <c r="J1034" s="22"/>
      <c r="K1034" s="22" t="s">
        <v>4375</v>
      </c>
      <c r="L1034" s="22" t="s">
        <v>207</v>
      </c>
      <c r="M1034" s="22" t="str">
        <f>HYPERLINK("https://ceds.ed.gov/cedselementdetails.aspx?termid=21796")</f>
        <v>https://ceds.ed.gov/cedselementdetails.aspx?termid=21796</v>
      </c>
    </row>
    <row r="1035" spans="1:13" ht="57.6" x14ac:dyDescent="0.3">
      <c r="A1035" s="22" t="s">
        <v>4376</v>
      </c>
      <c r="B1035" s="22" t="s">
        <v>4377</v>
      </c>
      <c r="C1035" s="23" t="s">
        <v>32</v>
      </c>
      <c r="D1035" s="24" t="s">
        <v>8783</v>
      </c>
      <c r="E1035" s="22"/>
      <c r="F1035" s="22" t="s">
        <v>1518</v>
      </c>
      <c r="G1035" s="22"/>
      <c r="H1035" s="22"/>
      <c r="I1035" s="25" t="s">
        <v>4378</v>
      </c>
      <c r="J1035" s="22"/>
      <c r="K1035" s="22" t="s">
        <v>4379</v>
      </c>
      <c r="L1035" s="24" t="s">
        <v>3059</v>
      </c>
      <c r="M1035" s="22" t="str">
        <f>HYPERLINK("https://ceds.ed.gov/cedselementdetails.aspx?termid=21353")</f>
        <v>https://ceds.ed.gov/cedselementdetails.aspx?termid=21353</v>
      </c>
    </row>
    <row r="1036" spans="1:13" x14ac:dyDescent="0.3">
      <c r="A1036" s="22" t="s">
        <v>4380</v>
      </c>
      <c r="B1036" s="22" t="s">
        <v>4381</v>
      </c>
      <c r="C1036" s="23" t="s">
        <v>32</v>
      </c>
      <c r="D1036" s="22" t="s">
        <v>8094</v>
      </c>
      <c r="E1036" s="22"/>
      <c r="F1036" s="22" t="s">
        <v>1518</v>
      </c>
      <c r="G1036" s="22"/>
      <c r="H1036" s="22"/>
      <c r="I1036" s="25" t="s">
        <v>4382</v>
      </c>
      <c r="J1036" s="22"/>
      <c r="K1036" s="22" t="s">
        <v>4383</v>
      </c>
      <c r="L1036" s="22" t="s">
        <v>207</v>
      </c>
      <c r="M1036" s="22" t="str">
        <f>HYPERLINK("https://ceds.ed.gov/cedselementdetails.aspx?termid=21795")</f>
        <v>https://ceds.ed.gov/cedselementdetails.aspx?termid=21795</v>
      </c>
    </row>
    <row r="1037" spans="1:13" ht="316.8" x14ac:dyDescent="0.3">
      <c r="A1037" s="22" t="s">
        <v>4384</v>
      </c>
      <c r="B1037" s="22" t="s">
        <v>4385</v>
      </c>
      <c r="C1037" s="26" t="s">
        <v>8929</v>
      </c>
      <c r="D1037" s="22" t="s">
        <v>4386</v>
      </c>
      <c r="E1037" s="22"/>
      <c r="F1037" s="22"/>
      <c r="G1037" s="22"/>
      <c r="H1037" s="22" t="s">
        <v>4387</v>
      </c>
      <c r="I1037" s="25" t="s">
        <v>4388</v>
      </c>
      <c r="J1037" s="22"/>
      <c r="K1037" s="22" t="s">
        <v>4389</v>
      </c>
      <c r="L1037" s="22"/>
      <c r="M1037" s="22" t="str">
        <f>HYPERLINK("https://ceds.ed.gov/cedselementdetails.aspx?termid=22714")</f>
        <v>https://ceds.ed.gov/cedselementdetails.aspx?termid=22714</v>
      </c>
    </row>
    <row r="1038" spans="1:13" ht="158.4" x14ac:dyDescent="0.3">
      <c r="A1038" s="22" t="s">
        <v>4390</v>
      </c>
      <c r="B1038" s="22" t="s">
        <v>4391</v>
      </c>
      <c r="C1038" s="26" t="s">
        <v>8930</v>
      </c>
      <c r="D1038" s="22" t="s">
        <v>3180</v>
      </c>
      <c r="E1038" s="22"/>
      <c r="F1038" s="22"/>
      <c r="G1038" s="22"/>
      <c r="H1038" s="22"/>
      <c r="I1038" s="25" t="s">
        <v>4392</v>
      </c>
      <c r="J1038" s="22"/>
      <c r="K1038" s="22" t="s">
        <v>4393</v>
      </c>
      <c r="L1038" s="22" t="s">
        <v>226</v>
      </c>
      <c r="M1038" s="22" t="str">
        <f>HYPERLINK("https://ceds.ed.gov/cedselementdetails.aspx?termid=21547")</f>
        <v>https://ceds.ed.gov/cedselementdetails.aspx?termid=21547</v>
      </c>
    </row>
    <row r="1039" spans="1:13" ht="230.4" x14ac:dyDescent="0.3">
      <c r="A1039" s="22" t="s">
        <v>4394</v>
      </c>
      <c r="B1039" s="22" t="s">
        <v>4395</v>
      </c>
      <c r="C1039" s="26" t="s">
        <v>8931</v>
      </c>
      <c r="D1039" s="24" t="s">
        <v>8932</v>
      </c>
      <c r="E1039" s="22"/>
      <c r="F1039" s="22"/>
      <c r="G1039" s="22"/>
      <c r="H1039" s="22"/>
      <c r="I1039" s="25" t="s">
        <v>4396</v>
      </c>
      <c r="J1039" s="22"/>
      <c r="K1039" s="22" t="s">
        <v>4397</v>
      </c>
      <c r="L1039" s="22" t="s">
        <v>226</v>
      </c>
      <c r="M1039" s="22" t="str">
        <f>HYPERLINK("https://ceds.ed.gov/cedselementdetails.aspx?termid=21550")</f>
        <v>https://ceds.ed.gov/cedselementdetails.aspx?termid=21550</v>
      </c>
    </row>
    <row r="1040" spans="1:13" ht="172.8" x14ac:dyDescent="0.3">
      <c r="A1040" s="22" t="s">
        <v>4398</v>
      </c>
      <c r="B1040" s="22" t="s">
        <v>4399</v>
      </c>
      <c r="C1040" s="26" t="s">
        <v>8933</v>
      </c>
      <c r="D1040" s="24" t="s">
        <v>4400</v>
      </c>
      <c r="E1040" s="22"/>
      <c r="F1040" s="22"/>
      <c r="G1040" s="22"/>
      <c r="H1040" s="22"/>
      <c r="I1040" s="25" t="s">
        <v>4401</v>
      </c>
      <c r="J1040" s="22"/>
      <c r="K1040" s="22" t="s">
        <v>4402</v>
      </c>
      <c r="L1040" s="22" t="s">
        <v>226</v>
      </c>
      <c r="M1040" s="22" t="str">
        <f>HYPERLINK("https://ceds.ed.gov/cedselementdetails.aspx?termid=21526")</f>
        <v>https://ceds.ed.gov/cedselementdetails.aspx?termid=21526</v>
      </c>
    </row>
    <row r="1041" spans="1:13" ht="273.60000000000002" x14ac:dyDescent="0.3">
      <c r="A1041" s="22" t="s">
        <v>4403</v>
      </c>
      <c r="B1041" s="22" t="s">
        <v>4404</v>
      </c>
      <c r="C1041" s="26" t="s">
        <v>8934</v>
      </c>
      <c r="D1041" s="22" t="s">
        <v>3477</v>
      </c>
      <c r="E1041" s="22"/>
      <c r="F1041" s="22"/>
      <c r="G1041" s="22"/>
      <c r="H1041" s="22"/>
      <c r="I1041" s="25" t="s">
        <v>4405</v>
      </c>
      <c r="J1041" s="22"/>
      <c r="K1041" s="22" t="s">
        <v>4406</v>
      </c>
      <c r="L1041" s="22"/>
      <c r="M1041" s="22" t="str">
        <f>HYPERLINK("https://ceds.ed.gov/cedselementdetails.aspx?termid=22710")</f>
        <v>https://ceds.ed.gov/cedselementdetails.aspx?termid=22710</v>
      </c>
    </row>
    <row r="1042" spans="1:13" ht="57.6" x14ac:dyDescent="0.3">
      <c r="A1042" s="22" t="s">
        <v>4407</v>
      </c>
      <c r="B1042" s="22" t="s">
        <v>4408</v>
      </c>
      <c r="C1042" s="26" t="s">
        <v>8935</v>
      </c>
      <c r="D1042" s="22" t="s">
        <v>8214</v>
      </c>
      <c r="E1042" s="22"/>
      <c r="F1042" s="22"/>
      <c r="G1042" s="22"/>
      <c r="H1042" s="22"/>
      <c r="I1042" s="25" t="s">
        <v>4409</v>
      </c>
      <c r="J1042" s="22"/>
      <c r="K1042" s="22" t="s">
        <v>4410</v>
      </c>
      <c r="L1042" s="22"/>
      <c r="M1042" s="22" t="str">
        <f>HYPERLINK("https://ceds.ed.gov/cedselementdetails.aspx?termid=22473")</f>
        <v>https://ceds.ed.gov/cedselementdetails.aspx?termid=22473</v>
      </c>
    </row>
    <row r="1043" spans="1:13" ht="158.4" x14ac:dyDescent="0.3">
      <c r="A1043" s="22" t="s">
        <v>4411</v>
      </c>
      <c r="B1043" s="22" t="s">
        <v>4412</v>
      </c>
      <c r="C1043" s="26" t="s">
        <v>22</v>
      </c>
      <c r="D1043" s="24" t="s">
        <v>8800</v>
      </c>
      <c r="E1043" s="22"/>
      <c r="F1043" s="22"/>
      <c r="G1043" s="22"/>
      <c r="H1043" s="22"/>
      <c r="I1043" s="25" t="s">
        <v>4413</v>
      </c>
      <c r="J1043" s="22"/>
      <c r="K1043" s="22" t="s">
        <v>4414</v>
      </c>
      <c r="L1043" s="24" t="s">
        <v>4415</v>
      </c>
      <c r="M1043" s="22" t="str">
        <f>HYPERLINK("https://ceds.ed.gov/cedselementdetails.aspx?termid=21151")</f>
        <v>https://ceds.ed.gov/cedselementdetails.aspx?termid=21151</v>
      </c>
    </row>
    <row r="1044" spans="1:13" ht="72" x14ac:dyDescent="0.3">
      <c r="A1044" s="22" t="s">
        <v>4416</v>
      </c>
      <c r="B1044" s="22" t="s">
        <v>4417</v>
      </c>
      <c r="C1044" s="26" t="s">
        <v>8936</v>
      </c>
      <c r="D1044" s="24" t="s">
        <v>3175</v>
      </c>
      <c r="E1044" s="22"/>
      <c r="F1044" s="22"/>
      <c r="G1044" s="22"/>
      <c r="H1044" s="22"/>
      <c r="I1044" s="25" t="s">
        <v>4418</v>
      </c>
      <c r="J1044" s="22"/>
      <c r="K1044" s="22" t="s">
        <v>4419</v>
      </c>
      <c r="L1044" s="22" t="s">
        <v>226</v>
      </c>
      <c r="M1044" s="22" t="str">
        <f>HYPERLINK("https://ceds.ed.gov/cedselementdetails.aspx?termid=21532")</f>
        <v>https://ceds.ed.gov/cedselementdetails.aspx?termid=21532</v>
      </c>
    </row>
    <row r="1045" spans="1:13" ht="57.6" x14ac:dyDescent="0.3">
      <c r="A1045" s="22" t="s">
        <v>4420</v>
      </c>
      <c r="B1045" s="22" t="s">
        <v>4421</v>
      </c>
      <c r="C1045" s="26" t="s">
        <v>8937</v>
      </c>
      <c r="D1045" s="24" t="s">
        <v>3175</v>
      </c>
      <c r="E1045" s="22"/>
      <c r="F1045" s="22"/>
      <c r="G1045" s="22"/>
      <c r="H1045" s="22"/>
      <c r="I1045" s="25" t="s">
        <v>4422</v>
      </c>
      <c r="J1045" s="22"/>
      <c r="K1045" s="22" t="s">
        <v>4423</v>
      </c>
      <c r="L1045" s="22" t="s">
        <v>226</v>
      </c>
      <c r="M1045" s="22" t="str">
        <f>HYPERLINK("https://ceds.ed.gov/cedselementdetails.aspx?termid=21530")</f>
        <v>https://ceds.ed.gov/cedselementdetails.aspx?termid=21530</v>
      </c>
    </row>
    <row r="1046" spans="1:13" ht="43.2" x14ac:dyDescent="0.3">
      <c r="A1046" s="22" t="s">
        <v>4424</v>
      </c>
      <c r="B1046" s="22" t="s">
        <v>4425</v>
      </c>
      <c r="C1046" s="26" t="s">
        <v>22</v>
      </c>
      <c r="D1046" s="22" t="s">
        <v>8075</v>
      </c>
      <c r="E1046" s="22"/>
      <c r="F1046" s="22"/>
      <c r="G1046" s="22"/>
      <c r="H1046" s="22"/>
      <c r="I1046" s="25" t="s">
        <v>4426</v>
      </c>
      <c r="J1046" s="22"/>
      <c r="K1046" s="22" t="s">
        <v>4427</v>
      </c>
      <c r="L1046" s="22"/>
      <c r="M1046" s="22" t="str">
        <f>HYPERLINK("https://ceds.ed.gov/cedselementdetails.aspx?termid=22327")</f>
        <v>https://ceds.ed.gov/cedselementdetails.aspx?termid=22327</v>
      </c>
    </row>
    <row r="1047" spans="1:13" ht="72" x14ac:dyDescent="0.3">
      <c r="A1047" s="22" t="s">
        <v>4428</v>
      </c>
      <c r="B1047" s="22" t="s">
        <v>4429</v>
      </c>
      <c r="C1047" s="26" t="s">
        <v>8938</v>
      </c>
      <c r="D1047" s="22" t="s">
        <v>8214</v>
      </c>
      <c r="E1047" s="22"/>
      <c r="F1047" s="22"/>
      <c r="G1047" s="22"/>
      <c r="H1047" s="22" t="s">
        <v>8215</v>
      </c>
      <c r="I1047" s="25" t="s">
        <v>4430</v>
      </c>
      <c r="J1047" s="22"/>
      <c r="K1047" s="22" t="s">
        <v>4431</v>
      </c>
      <c r="L1047" s="22"/>
      <c r="M1047" s="22" t="str">
        <f>HYPERLINK("https://ceds.ed.gov/cedselementdetails.aspx?termid=22637")</f>
        <v>https://ceds.ed.gov/cedselementdetails.aspx?termid=22637</v>
      </c>
    </row>
    <row r="1048" spans="1:13" x14ac:dyDescent="0.3">
      <c r="A1048" s="22" t="s">
        <v>4432</v>
      </c>
      <c r="B1048" s="22" t="s">
        <v>4433</v>
      </c>
      <c r="C1048" s="23" t="s">
        <v>32</v>
      </c>
      <c r="D1048" s="22" t="s">
        <v>8075</v>
      </c>
      <c r="E1048" s="22"/>
      <c r="F1048" s="22" t="s">
        <v>118</v>
      </c>
      <c r="G1048" s="22"/>
      <c r="H1048" s="22"/>
      <c r="I1048" s="25" t="s">
        <v>4434</v>
      </c>
      <c r="J1048" s="22"/>
      <c r="K1048" s="22" t="s">
        <v>4435</v>
      </c>
      <c r="L1048" s="22"/>
      <c r="M1048" s="22" t="str">
        <f>HYPERLINK("https://ceds.ed.gov/cedselementdetails.aspx?termid=22472")</f>
        <v>https://ceds.ed.gov/cedselementdetails.aspx?termid=22472</v>
      </c>
    </row>
    <row r="1049" spans="1:13" x14ac:dyDescent="0.3">
      <c r="A1049" s="22" t="s">
        <v>4436</v>
      </c>
      <c r="B1049" s="22" t="s">
        <v>4437</v>
      </c>
      <c r="C1049" s="23" t="s">
        <v>32</v>
      </c>
      <c r="D1049" s="22" t="s">
        <v>8075</v>
      </c>
      <c r="E1049" s="22"/>
      <c r="F1049" s="22" t="s">
        <v>118</v>
      </c>
      <c r="G1049" s="22"/>
      <c r="H1049" s="22"/>
      <c r="I1049" s="25" t="s">
        <v>4438</v>
      </c>
      <c r="J1049" s="22"/>
      <c r="K1049" s="22" t="s">
        <v>4439</v>
      </c>
      <c r="L1049" s="22"/>
      <c r="M1049" s="22" t="str">
        <f>HYPERLINK("https://ceds.ed.gov/cedselementdetails.aspx?termid=22331")</f>
        <v>https://ceds.ed.gov/cedselementdetails.aspx?termid=22331</v>
      </c>
    </row>
    <row r="1050" spans="1:13" ht="43.2" x14ac:dyDescent="0.3">
      <c r="A1050" s="22" t="s">
        <v>4440</v>
      </c>
      <c r="B1050" s="22" t="s">
        <v>4441</v>
      </c>
      <c r="C1050" s="26" t="s">
        <v>22</v>
      </c>
      <c r="D1050" s="22" t="s">
        <v>8075</v>
      </c>
      <c r="E1050" s="22"/>
      <c r="F1050" s="22"/>
      <c r="G1050" s="22"/>
      <c r="H1050" s="22"/>
      <c r="I1050" s="25" t="s">
        <v>4442</v>
      </c>
      <c r="J1050" s="22"/>
      <c r="K1050" s="22" t="s">
        <v>4443</v>
      </c>
      <c r="L1050" s="22"/>
      <c r="M1050" s="22" t="str">
        <f>HYPERLINK("https://ceds.ed.gov/cedselementdetails.aspx?termid=22330")</f>
        <v>https://ceds.ed.gov/cedselementdetails.aspx?termid=22330</v>
      </c>
    </row>
    <row r="1051" spans="1:13" x14ac:dyDescent="0.3">
      <c r="A1051" s="22" t="s">
        <v>4444</v>
      </c>
      <c r="B1051" s="22" t="s">
        <v>4445</v>
      </c>
      <c r="C1051" s="23" t="s">
        <v>32</v>
      </c>
      <c r="D1051" s="22" t="s">
        <v>4446</v>
      </c>
      <c r="E1051" s="22"/>
      <c r="F1051" s="22" t="s">
        <v>328</v>
      </c>
      <c r="G1051" s="22"/>
      <c r="H1051" s="22"/>
      <c r="I1051" s="25" t="s">
        <v>4447</v>
      </c>
      <c r="J1051" s="22"/>
      <c r="K1051" s="22" t="s">
        <v>4448</v>
      </c>
      <c r="L1051" s="22"/>
      <c r="M1051" s="22" t="str">
        <f>HYPERLINK("https://ceds.ed.gov/cedselementdetails.aspx?termid=22685")</f>
        <v>https://ceds.ed.gov/cedselementdetails.aspx?termid=22685</v>
      </c>
    </row>
    <row r="1052" spans="1:13" ht="72" x14ac:dyDescent="0.3">
      <c r="A1052" s="22" t="s">
        <v>4449</v>
      </c>
      <c r="B1052" s="22" t="s">
        <v>4450</v>
      </c>
      <c r="C1052" s="26" t="s">
        <v>8647</v>
      </c>
      <c r="D1052" s="22" t="s">
        <v>557</v>
      </c>
      <c r="E1052" s="22"/>
      <c r="F1052" s="22"/>
      <c r="G1052" s="22"/>
      <c r="H1052" s="22"/>
      <c r="I1052" s="25" t="s">
        <v>4451</v>
      </c>
      <c r="J1052" s="22"/>
      <c r="K1052" s="22" t="s">
        <v>4452</v>
      </c>
      <c r="L1052" s="22"/>
      <c r="M1052" s="22" t="str">
        <f>HYPERLINK("https://ceds.ed.gov/cedselementdetails.aspx?termid=22141")</f>
        <v>https://ceds.ed.gov/cedselementdetails.aspx?termid=22141</v>
      </c>
    </row>
    <row r="1053" spans="1:13" x14ac:dyDescent="0.3">
      <c r="A1053" s="22" t="s">
        <v>4453</v>
      </c>
      <c r="B1053" s="22" t="s">
        <v>4454</v>
      </c>
      <c r="C1053" s="23" t="s">
        <v>32</v>
      </c>
      <c r="D1053" s="22" t="s">
        <v>4455</v>
      </c>
      <c r="E1053" s="22"/>
      <c r="F1053" s="22" t="s">
        <v>328</v>
      </c>
      <c r="G1053" s="22"/>
      <c r="H1053" s="22"/>
      <c r="I1053" s="25" t="s">
        <v>4456</v>
      </c>
      <c r="J1053" s="22"/>
      <c r="K1053" s="22" t="s">
        <v>4457</v>
      </c>
      <c r="L1053" s="22"/>
      <c r="M1053" s="22" t="str">
        <f>HYPERLINK("https://ceds.ed.gov/cedselementdetails.aspx?termid=22668")</f>
        <v>https://ceds.ed.gov/cedselementdetails.aspx?termid=22668</v>
      </c>
    </row>
    <row r="1054" spans="1:13" ht="115.2" x14ac:dyDescent="0.3">
      <c r="A1054" s="22" t="s">
        <v>4458</v>
      </c>
      <c r="B1054" s="22" t="s">
        <v>4459</v>
      </c>
      <c r="C1054" s="26" t="s">
        <v>8939</v>
      </c>
      <c r="D1054" s="22" t="s">
        <v>1480</v>
      </c>
      <c r="E1054" s="22"/>
      <c r="F1054" s="22"/>
      <c r="G1054" s="22"/>
      <c r="H1054" s="22"/>
      <c r="I1054" s="25" t="s">
        <v>4460</v>
      </c>
      <c r="J1054" s="22"/>
      <c r="K1054" s="22" t="s">
        <v>4461</v>
      </c>
      <c r="L1054" s="22"/>
      <c r="M1054" s="22" t="str">
        <f>HYPERLINK("https://ceds.ed.gov/cedselementdetails.aspx?termid=22700")</f>
        <v>https://ceds.ed.gov/cedselementdetails.aspx?termid=22700</v>
      </c>
    </row>
    <row r="1055" spans="1:13" x14ac:dyDescent="0.3">
      <c r="A1055" s="22" t="s">
        <v>4462</v>
      </c>
      <c r="B1055" s="22" t="s">
        <v>4463</v>
      </c>
      <c r="C1055" s="23" t="s">
        <v>32</v>
      </c>
      <c r="D1055" s="22" t="s">
        <v>1480</v>
      </c>
      <c r="E1055" s="22"/>
      <c r="F1055" s="22" t="s">
        <v>328</v>
      </c>
      <c r="G1055" s="22"/>
      <c r="H1055" s="22"/>
      <c r="I1055" s="25" t="s">
        <v>4464</v>
      </c>
      <c r="J1055" s="22"/>
      <c r="K1055" s="22" t="s">
        <v>4465</v>
      </c>
      <c r="L1055" s="22"/>
      <c r="M1055" s="22" t="str">
        <f>HYPERLINK("https://ceds.ed.gov/cedselementdetails.aspx?termid=22704")</f>
        <v>https://ceds.ed.gov/cedselementdetails.aspx?termid=22704</v>
      </c>
    </row>
    <row r="1056" spans="1:13" x14ac:dyDescent="0.3">
      <c r="A1056" s="22" t="s">
        <v>4466</v>
      </c>
      <c r="B1056" s="22" t="s">
        <v>4467</v>
      </c>
      <c r="C1056" s="23" t="s">
        <v>32</v>
      </c>
      <c r="D1056" s="22" t="s">
        <v>1480</v>
      </c>
      <c r="E1056" s="22"/>
      <c r="F1056" s="22" t="s">
        <v>328</v>
      </c>
      <c r="G1056" s="22"/>
      <c r="H1056" s="22"/>
      <c r="I1056" s="25" t="s">
        <v>4468</v>
      </c>
      <c r="J1056" s="22"/>
      <c r="K1056" s="22" t="s">
        <v>4469</v>
      </c>
      <c r="L1056" s="22"/>
      <c r="M1056" s="22" t="str">
        <f>HYPERLINK("https://ceds.ed.gov/cedselementdetails.aspx?termid=22705")</f>
        <v>https://ceds.ed.gov/cedselementdetails.aspx?termid=22705</v>
      </c>
    </row>
    <row r="1057" spans="1:13" ht="43.2" x14ac:dyDescent="0.3">
      <c r="A1057" s="22" t="s">
        <v>4470</v>
      </c>
      <c r="B1057" s="22" t="s">
        <v>4471</v>
      </c>
      <c r="C1057" s="26" t="s">
        <v>8940</v>
      </c>
      <c r="D1057" s="22" t="s">
        <v>3477</v>
      </c>
      <c r="E1057" s="22"/>
      <c r="F1057" s="22"/>
      <c r="G1057" s="22"/>
      <c r="H1057" s="22"/>
      <c r="I1057" s="25" t="s">
        <v>4472</v>
      </c>
      <c r="J1057" s="22"/>
      <c r="K1057" s="22" t="s">
        <v>4473</v>
      </c>
      <c r="L1057" s="22"/>
      <c r="M1057" s="22" t="str">
        <f>HYPERLINK("https://ceds.ed.gov/cedselementdetails.aspx?termid=22709")</f>
        <v>https://ceds.ed.gov/cedselementdetails.aspx?termid=22709</v>
      </c>
    </row>
    <row r="1058" spans="1:13" ht="57.6" x14ac:dyDescent="0.3">
      <c r="A1058" s="22" t="s">
        <v>4474</v>
      </c>
      <c r="B1058" s="22" t="s">
        <v>4475</v>
      </c>
      <c r="C1058" s="26" t="s">
        <v>8941</v>
      </c>
      <c r="D1058" s="24" t="s">
        <v>4126</v>
      </c>
      <c r="E1058" s="22"/>
      <c r="F1058" s="22"/>
      <c r="G1058" s="22"/>
      <c r="H1058" s="22"/>
      <c r="I1058" s="25" t="s">
        <v>4476</v>
      </c>
      <c r="J1058" s="22"/>
      <c r="K1058" s="22" t="s">
        <v>4477</v>
      </c>
      <c r="L1058" s="22"/>
      <c r="M1058" s="22" t="str">
        <f>HYPERLINK("https://ceds.ed.gov/cedselementdetails.aspx?termid=22679")</f>
        <v>https://ceds.ed.gov/cedselementdetails.aspx?termid=22679</v>
      </c>
    </row>
    <row r="1059" spans="1:13" x14ac:dyDescent="0.3">
      <c r="A1059" s="22" t="s">
        <v>4478</v>
      </c>
      <c r="B1059" s="22" t="s">
        <v>4479</v>
      </c>
      <c r="C1059" s="23" t="s">
        <v>32</v>
      </c>
      <c r="D1059" s="22" t="s">
        <v>4480</v>
      </c>
      <c r="E1059" s="22"/>
      <c r="F1059" s="22" t="s">
        <v>328</v>
      </c>
      <c r="G1059" s="22"/>
      <c r="H1059" s="22"/>
      <c r="I1059" s="25" t="s">
        <v>4481</v>
      </c>
      <c r="J1059" s="22"/>
      <c r="K1059" s="22" t="s">
        <v>4482</v>
      </c>
      <c r="L1059" s="22"/>
      <c r="M1059" s="22" t="str">
        <f>HYPERLINK("https://ceds.ed.gov/cedselementdetails.aspx?termid=22686")</f>
        <v>https://ceds.ed.gov/cedselementdetails.aspx?termid=22686</v>
      </c>
    </row>
    <row r="1060" spans="1:13" x14ac:dyDescent="0.3">
      <c r="A1060" s="22" t="s">
        <v>4483</v>
      </c>
      <c r="B1060" s="22" t="s">
        <v>4484</v>
      </c>
      <c r="C1060" s="23" t="s">
        <v>32</v>
      </c>
      <c r="D1060" s="22" t="s">
        <v>4480</v>
      </c>
      <c r="E1060" s="22"/>
      <c r="F1060" s="22" t="s">
        <v>328</v>
      </c>
      <c r="G1060" s="22"/>
      <c r="H1060" s="22"/>
      <c r="I1060" s="25" t="s">
        <v>4485</v>
      </c>
      <c r="J1060" s="22"/>
      <c r="K1060" s="22" t="s">
        <v>4486</v>
      </c>
      <c r="L1060" s="22"/>
      <c r="M1060" s="22" t="str">
        <f>HYPERLINK("https://ceds.ed.gov/cedselementdetails.aspx?termid=22687")</f>
        <v>https://ceds.ed.gov/cedselementdetails.aspx?termid=22687</v>
      </c>
    </row>
    <row r="1061" spans="1:13" x14ac:dyDescent="0.3">
      <c r="A1061" s="22" t="s">
        <v>4487</v>
      </c>
      <c r="B1061" s="22" t="s">
        <v>4488</v>
      </c>
      <c r="C1061" s="23" t="s">
        <v>32</v>
      </c>
      <c r="D1061" s="22" t="s">
        <v>4480</v>
      </c>
      <c r="E1061" s="22"/>
      <c r="F1061" s="22" t="s">
        <v>328</v>
      </c>
      <c r="G1061" s="22"/>
      <c r="H1061" s="22"/>
      <c r="I1061" s="25" t="s">
        <v>4489</v>
      </c>
      <c r="J1061" s="22"/>
      <c r="K1061" s="22" t="s">
        <v>4490</v>
      </c>
      <c r="L1061" s="22"/>
      <c r="M1061" s="22" t="str">
        <f>HYPERLINK("https://ceds.ed.gov/cedselementdetails.aspx?termid=22688")</f>
        <v>https://ceds.ed.gov/cedselementdetails.aspx?termid=22688</v>
      </c>
    </row>
    <row r="1062" spans="1:13" x14ac:dyDescent="0.3">
      <c r="A1062" s="22" t="s">
        <v>4491</v>
      </c>
      <c r="B1062" s="22" t="s">
        <v>4492</v>
      </c>
      <c r="C1062" s="23" t="s">
        <v>32</v>
      </c>
      <c r="D1062" s="22" t="s">
        <v>4480</v>
      </c>
      <c r="E1062" s="22"/>
      <c r="F1062" s="22" t="s">
        <v>328</v>
      </c>
      <c r="G1062" s="22"/>
      <c r="H1062" s="22"/>
      <c r="I1062" s="25" t="s">
        <v>4493</v>
      </c>
      <c r="J1062" s="22"/>
      <c r="K1062" s="22" t="s">
        <v>4494</v>
      </c>
      <c r="L1062" s="22"/>
      <c r="M1062" s="22" t="str">
        <f>HYPERLINK("https://ceds.ed.gov/cedselementdetails.aspx?termid=22691")</f>
        <v>https://ceds.ed.gov/cedselementdetails.aspx?termid=22691</v>
      </c>
    </row>
    <row r="1063" spans="1:13" x14ac:dyDescent="0.3">
      <c r="A1063" s="22" t="s">
        <v>4495</v>
      </c>
      <c r="B1063" s="22" t="s">
        <v>4496</v>
      </c>
      <c r="C1063" s="23" t="s">
        <v>32</v>
      </c>
      <c r="D1063" s="22" t="s">
        <v>4480</v>
      </c>
      <c r="E1063" s="22"/>
      <c r="F1063" s="22" t="s">
        <v>328</v>
      </c>
      <c r="G1063" s="22"/>
      <c r="H1063" s="22"/>
      <c r="I1063" s="25" t="s">
        <v>4497</v>
      </c>
      <c r="J1063" s="22"/>
      <c r="K1063" s="22" t="s">
        <v>4498</v>
      </c>
      <c r="L1063" s="22"/>
      <c r="M1063" s="22" t="str">
        <f>HYPERLINK("https://ceds.ed.gov/cedselementdetails.aspx?termid=22689")</f>
        <v>https://ceds.ed.gov/cedselementdetails.aspx?termid=22689</v>
      </c>
    </row>
    <row r="1064" spans="1:13" x14ac:dyDescent="0.3">
      <c r="A1064" s="22" t="s">
        <v>4499</v>
      </c>
      <c r="B1064" s="22" t="s">
        <v>4500</v>
      </c>
      <c r="C1064" s="23" t="s">
        <v>32</v>
      </c>
      <c r="D1064" s="22" t="s">
        <v>4480</v>
      </c>
      <c r="E1064" s="22"/>
      <c r="F1064" s="22" t="s">
        <v>328</v>
      </c>
      <c r="G1064" s="22"/>
      <c r="H1064" s="22"/>
      <c r="I1064" s="25" t="s">
        <v>4501</v>
      </c>
      <c r="J1064" s="22"/>
      <c r="K1064" s="22" t="s">
        <v>4502</v>
      </c>
      <c r="L1064" s="22"/>
      <c r="M1064" s="22" t="str">
        <f>HYPERLINK("https://ceds.ed.gov/cedselementdetails.aspx?termid=22692")</f>
        <v>https://ceds.ed.gov/cedselementdetails.aspx?termid=22692</v>
      </c>
    </row>
    <row r="1065" spans="1:13" x14ac:dyDescent="0.3">
      <c r="A1065" s="22" t="s">
        <v>4503</v>
      </c>
      <c r="B1065" s="22" t="s">
        <v>4504</v>
      </c>
      <c r="C1065" s="23" t="s">
        <v>32</v>
      </c>
      <c r="D1065" s="22" t="s">
        <v>4480</v>
      </c>
      <c r="E1065" s="22"/>
      <c r="F1065" s="22" t="s">
        <v>328</v>
      </c>
      <c r="G1065" s="22"/>
      <c r="H1065" s="22"/>
      <c r="I1065" s="25" t="s">
        <v>4505</v>
      </c>
      <c r="J1065" s="22"/>
      <c r="K1065" s="22" t="s">
        <v>4506</v>
      </c>
      <c r="L1065" s="22"/>
      <c r="M1065" s="22" t="str">
        <f>HYPERLINK("https://ceds.ed.gov/cedselementdetails.aspx?termid=22690")</f>
        <v>https://ceds.ed.gov/cedselementdetails.aspx?termid=22690</v>
      </c>
    </row>
    <row r="1066" spans="1:13" x14ac:dyDescent="0.3">
      <c r="A1066" s="22" t="s">
        <v>4507</v>
      </c>
      <c r="B1066" s="22" t="s">
        <v>4508</v>
      </c>
      <c r="C1066" s="23" t="s">
        <v>32</v>
      </c>
      <c r="D1066" s="22" t="s">
        <v>4509</v>
      </c>
      <c r="E1066" s="22"/>
      <c r="F1066" s="22" t="s">
        <v>328</v>
      </c>
      <c r="G1066" s="22"/>
      <c r="H1066" s="22"/>
      <c r="I1066" s="25" t="s">
        <v>4510</v>
      </c>
      <c r="J1066" s="22"/>
      <c r="K1066" s="22" t="s">
        <v>4511</v>
      </c>
      <c r="L1066" s="22"/>
      <c r="M1066" s="22" t="str">
        <f>HYPERLINK("https://ceds.ed.gov/cedselementdetails.aspx?termid=22663")</f>
        <v>https://ceds.ed.gov/cedselementdetails.aspx?termid=22663</v>
      </c>
    </row>
    <row r="1067" spans="1:13" ht="72" x14ac:dyDescent="0.3">
      <c r="A1067" s="22" t="s">
        <v>4512</v>
      </c>
      <c r="B1067" s="22" t="s">
        <v>4513</v>
      </c>
      <c r="C1067" s="23" t="s">
        <v>32</v>
      </c>
      <c r="D1067" s="24" t="s">
        <v>8942</v>
      </c>
      <c r="E1067" s="22"/>
      <c r="F1067" s="22" t="s">
        <v>118</v>
      </c>
      <c r="G1067" s="22"/>
      <c r="H1067" s="22"/>
      <c r="I1067" s="25" t="s">
        <v>4514</v>
      </c>
      <c r="J1067" s="22"/>
      <c r="K1067" s="22" t="s">
        <v>4515</v>
      </c>
      <c r="L1067" s="24" t="s">
        <v>4516</v>
      </c>
      <c r="M1067" s="22" t="str">
        <f>HYPERLINK("https://ceds.ed.gov/cedselementdetails.aspx?termid=21306")</f>
        <v>https://ceds.ed.gov/cedselementdetails.aspx?termid=21306</v>
      </c>
    </row>
    <row r="1068" spans="1:13" ht="43.2" x14ac:dyDescent="0.3">
      <c r="A1068" s="22" t="s">
        <v>4517</v>
      </c>
      <c r="B1068" s="22" t="s">
        <v>4518</v>
      </c>
      <c r="C1068" s="26" t="s">
        <v>22</v>
      </c>
      <c r="D1068" s="22" t="s">
        <v>8096</v>
      </c>
      <c r="E1068" s="22"/>
      <c r="F1068" s="22"/>
      <c r="G1068" s="22"/>
      <c r="H1068" s="22"/>
      <c r="I1068" s="25" t="s">
        <v>4519</v>
      </c>
      <c r="J1068" s="22"/>
      <c r="K1068" s="22" t="s">
        <v>4520</v>
      </c>
      <c r="L1068" s="22" t="s">
        <v>109</v>
      </c>
      <c r="M1068" s="22" t="str">
        <f>HYPERLINK("https://ceds.ed.gov/cedselementdetails.aspx?termid=21849")</f>
        <v>https://ceds.ed.gov/cedselementdetails.aspx?termid=21849</v>
      </c>
    </row>
    <row r="1069" spans="1:13" ht="43.2" x14ac:dyDescent="0.3">
      <c r="A1069" s="22" t="s">
        <v>4521</v>
      </c>
      <c r="B1069" s="22" t="s">
        <v>4522</v>
      </c>
      <c r="C1069" s="26" t="s">
        <v>22</v>
      </c>
      <c r="D1069" s="22" t="s">
        <v>2480</v>
      </c>
      <c r="E1069" s="22"/>
      <c r="F1069" s="22"/>
      <c r="G1069" s="22"/>
      <c r="H1069" s="22"/>
      <c r="I1069" s="25" t="s">
        <v>4523</v>
      </c>
      <c r="J1069" s="22"/>
      <c r="K1069" s="22" t="s">
        <v>4524</v>
      </c>
      <c r="L1069" s="22" t="s">
        <v>1553</v>
      </c>
      <c r="M1069" s="22" t="str">
        <f>HYPERLINK("https://ceds.ed.gov/cedselementdetails.aspx?termid=21428")</f>
        <v>https://ceds.ed.gov/cedselementdetails.aspx?termid=21428</v>
      </c>
    </row>
    <row r="1070" spans="1:13" ht="316.8" x14ac:dyDescent="0.3">
      <c r="A1070" s="22" t="s">
        <v>4525</v>
      </c>
      <c r="B1070" s="22" t="s">
        <v>4526</v>
      </c>
      <c r="C1070" s="26" t="s">
        <v>8943</v>
      </c>
      <c r="D1070" s="24" t="s">
        <v>8942</v>
      </c>
      <c r="E1070" s="22"/>
      <c r="F1070" s="22"/>
      <c r="G1070" s="22"/>
      <c r="H1070" s="22"/>
      <c r="I1070" s="25" t="s">
        <v>4527</v>
      </c>
      <c r="J1070" s="22"/>
      <c r="K1070" s="22" t="s">
        <v>4528</v>
      </c>
      <c r="L1070" s="22"/>
      <c r="M1070" s="22" t="str">
        <f>HYPERLINK("https://ceds.ed.gov/cedselementdetails.aspx?termid=22214")</f>
        <v>https://ceds.ed.gov/cedselementdetails.aspx?termid=22214</v>
      </c>
    </row>
    <row r="1071" spans="1:13" ht="409.6" x14ac:dyDescent="0.3">
      <c r="A1071" s="22" t="s">
        <v>4529</v>
      </c>
      <c r="B1071" s="22" t="s">
        <v>4530</v>
      </c>
      <c r="C1071" s="26" t="s">
        <v>8944</v>
      </c>
      <c r="D1071" s="22" t="s">
        <v>4034</v>
      </c>
      <c r="E1071" s="22"/>
      <c r="F1071" s="22"/>
      <c r="G1071" s="22"/>
      <c r="H1071" s="22"/>
      <c r="I1071" s="25" t="s">
        <v>4531</v>
      </c>
      <c r="J1071" s="22"/>
      <c r="K1071" s="22" t="s">
        <v>4532</v>
      </c>
      <c r="L1071" s="22"/>
      <c r="M1071" s="22" t="str">
        <f>HYPERLINK("https://ceds.ed.gov/cedselementdetails.aspx?termid=21500")</f>
        <v>https://ceds.ed.gov/cedselementdetails.aspx?termid=21500</v>
      </c>
    </row>
    <row r="1072" spans="1:13" x14ac:dyDescent="0.3">
      <c r="A1072" s="22" t="s">
        <v>4533</v>
      </c>
      <c r="B1072" s="22" t="s">
        <v>8216</v>
      </c>
      <c r="C1072" s="23" t="s">
        <v>32</v>
      </c>
      <c r="D1072" s="22" t="s">
        <v>4034</v>
      </c>
      <c r="E1072" s="22"/>
      <c r="F1072" s="22" t="s">
        <v>85</v>
      </c>
      <c r="G1072" s="22"/>
      <c r="H1072" s="22"/>
      <c r="I1072" s="25" t="s">
        <v>4534</v>
      </c>
      <c r="J1072" s="22"/>
      <c r="K1072" s="22" t="s">
        <v>4535</v>
      </c>
      <c r="L1072" s="22"/>
      <c r="M1072" s="22" t="str">
        <f>HYPERLINK("https://ceds.ed.gov/cedselementdetails.aspx?termid=21496")</f>
        <v>https://ceds.ed.gov/cedselementdetails.aspx?termid=21496</v>
      </c>
    </row>
    <row r="1073" spans="1:13" x14ac:dyDescent="0.3">
      <c r="A1073" s="22" t="s">
        <v>4536</v>
      </c>
      <c r="B1073" s="22" t="s">
        <v>4537</v>
      </c>
      <c r="C1073" s="23" t="s">
        <v>32</v>
      </c>
      <c r="D1073" s="22" t="s">
        <v>4034</v>
      </c>
      <c r="E1073" s="22"/>
      <c r="F1073" s="22" t="s">
        <v>118</v>
      </c>
      <c r="G1073" s="22"/>
      <c r="H1073" s="22"/>
      <c r="I1073" s="25" t="s">
        <v>4538</v>
      </c>
      <c r="J1073" s="22"/>
      <c r="K1073" s="22" t="s">
        <v>4539</v>
      </c>
      <c r="L1073" s="22"/>
      <c r="M1073" s="22" t="str">
        <f>HYPERLINK("https://ceds.ed.gov/cedselementdetails.aspx?termid=21493")</f>
        <v>https://ceds.ed.gov/cedselementdetails.aspx?termid=21493</v>
      </c>
    </row>
    <row r="1074" spans="1:13" x14ac:dyDescent="0.3">
      <c r="A1074" s="22" t="s">
        <v>4540</v>
      </c>
      <c r="B1074" s="22" t="s">
        <v>4541</v>
      </c>
      <c r="C1074" s="23" t="s">
        <v>32</v>
      </c>
      <c r="D1074" s="22" t="s">
        <v>4034</v>
      </c>
      <c r="E1074" s="22"/>
      <c r="F1074" s="22" t="s">
        <v>328</v>
      </c>
      <c r="G1074" s="22"/>
      <c r="H1074" s="22"/>
      <c r="I1074" s="25" t="s">
        <v>4542</v>
      </c>
      <c r="J1074" s="22"/>
      <c r="K1074" s="22" t="s">
        <v>4543</v>
      </c>
      <c r="L1074" s="22"/>
      <c r="M1074" s="22" t="str">
        <f>HYPERLINK("https://ceds.ed.gov/cedselementdetails.aspx?termid=21499")</f>
        <v>https://ceds.ed.gov/cedselementdetails.aspx?termid=21499</v>
      </c>
    </row>
    <row r="1075" spans="1:13" x14ac:dyDescent="0.3">
      <c r="A1075" s="22" t="s">
        <v>4544</v>
      </c>
      <c r="B1075" s="22" t="s">
        <v>4545</v>
      </c>
      <c r="C1075" s="23" t="s">
        <v>32</v>
      </c>
      <c r="D1075" s="22" t="s">
        <v>4034</v>
      </c>
      <c r="E1075" s="22"/>
      <c r="F1075" s="22" t="s">
        <v>132</v>
      </c>
      <c r="G1075" s="22"/>
      <c r="H1075" s="22" t="s">
        <v>7945</v>
      </c>
      <c r="I1075" s="25" t="s">
        <v>4546</v>
      </c>
      <c r="J1075" s="22"/>
      <c r="K1075" s="22" t="s">
        <v>4547</v>
      </c>
      <c r="L1075" s="22"/>
      <c r="M1075" s="22" t="str">
        <f>HYPERLINK("https://ceds.ed.gov/cedselementdetails.aspx?termid=21492")</f>
        <v>https://ceds.ed.gov/cedselementdetails.aspx?termid=21492</v>
      </c>
    </row>
    <row r="1076" spans="1:13" ht="86.4" x14ac:dyDescent="0.3">
      <c r="A1076" s="22" t="s">
        <v>4548</v>
      </c>
      <c r="B1076" s="22" t="s">
        <v>4549</v>
      </c>
      <c r="C1076" s="26" t="s">
        <v>8945</v>
      </c>
      <c r="D1076" s="22" t="s">
        <v>4034</v>
      </c>
      <c r="E1076" s="22"/>
      <c r="F1076" s="22"/>
      <c r="G1076" s="22"/>
      <c r="H1076" s="22" t="s">
        <v>4550</v>
      </c>
      <c r="I1076" s="25" t="s">
        <v>4551</v>
      </c>
      <c r="J1076" s="22"/>
      <c r="K1076" s="22" t="s">
        <v>4552</v>
      </c>
      <c r="L1076" s="22"/>
      <c r="M1076" s="22" t="str">
        <f>HYPERLINK("https://ceds.ed.gov/cedselementdetails.aspx?termid=21501")</f>
        <v>https://ceds.ed.gov/cedselementdetails.aspx?termid=21501</v>
      </c>
    </row>
    <row r="1077" spans="1:13" ht="409.6" x14ac:dyDescent="0.3">
      <c r="A1077" s="22" t="s">
        <v>4553</v>
      </c>
      <c r="B1077" s="22" t="s">
        <v>4554</v>
      </c>
      <c r="C1077" s="26" t="s">
        <v>8946</v>
      </c>
      <c r="D1077" s="22" t="s">
        <v>4034</v>
      </c>
      <c r="E1077" s="22"/>
      <c r="F1077" s="22"/>
      <c r="G1077" s="22"/>
      <c r="H1077" s="22"/>
      <c r="I1077" s="25" t="s">
        <v>4555</v>
      </c>
      <c r="J1077" s="22"/>
      <c r="K1077" s="22" t="s">
        <v>4556</v>
      </c>
      <c r="L1077" s="22"/>
      <c r="M1077" s="22" t="str">
        <f>HYPERLINK("https://ceds.ed.gov/cedselementdetails.aspx?termid=21610")</f>
        <v>https://ceds.ed.gov/cedselementdetails.aspx?termid=21610</v>
      </c>
    </row>
    <row r="1078" spans="1:13" ht="43.2" x14ac:dyDescent="0.3">
      <c r="A1078" s="22" t="s">
        <v>4557</v>
      </c>
      <c r="B1078" s="22" t="s">
        <v>4558</v>
      </c>
      <c r="C1078" s="26" t="s">
        <v>8947</v>
      </c>
      <c r="D1078" s="22" t="s">
        <v>4034</v>
      </c>
      <c r="E1078" s="22"/>
      <c r="F1078" s="22"/>
      <c r="G1078" s="22"/>
      <c r="H1078" s="22"/>
      <c r="I1078" s="25" t="s">
        <v>4559</v>
      </c>
      <c r="J1078" s="22"/>
      <c r="K1078" s="22" t="s">
        <v>4560</v>
      </c>
      <c r="L1078" s="22"/>
      <c r="M1078" s="22" t="str">
        <f>HYPERLINK("https://ceds.ed.gov/cedselementdetails.aspx?termid=22337")</f>
        <v>https://ceds.ed.gov/cedselementdetails.aspx?termid=22337</v>
      </c>
    </row>
    <row r="1079" spans="1:13" x14ac:dyDescent="0.3">
      <c r="A1079" s="22" t="s">
        <v>4561</v>
      </c>
      <c r="B1079" s="22" t="s">
        <v>4562</v>
      </c>
      <c r="C1079" s="23" t="s">
        <v>32</v>
      </c>
      <c r="D1079" s="22" t="s">
        <v>4034</v>
      </c>
      <c r="E1079" s="22"/>
      <c r="F1079" s="22" t="s">
        <v>132</v>
      </c>
      <c r="G1079" s="22"/>
      <c r="H1079" s="22" t="s">
        <v>7945</v>
      </c>
      <c r="I1079" s="25" t="s">
        <v>4563</v>
      </c>
      <c r="J1079" s="22"/>
      <c r="K1079" s="22" t="s">
        <v>4564</v>
      </c>
      <c r="L1079" s="22"/>
      <c r="M1079" s="22" t="str">
        <f>HYPERLINK("https://ceds.ed.gov/cedselementdetails.aspx?termid=22338")</f>
        <v>https://ceds.ed.gov/cedselementdetails.aspx?termid=22338</v>
      </c>
    </row>
    <row r="1080" spans="1:13" ht="86.4" x14ac:dyDescent="0.3">
      <c r="A1080" s="22" t="s">
        <v>4565</v>
      </c>
      <c r="B1080" s="22" t="s">
        <v>4566</v>
      </c>
      <c r="C1080" s="26" t="s">
        <v>8945</v>
      </c>
      <c r="D1080" s="22" t="s">
        <v>4034</v>
      </c>
      <c r="E1080" s="22"/>
      <c r="F1080" s="22"/>
      <c r="G1080" s="22"/>
      <c r="H1080" s="22"/>
      <c r="I1080" s="25" t="s">
        <v>4567</v>
      </c>
      <c r="J1080" s="22"/>
      <c r="K1080" s="22" t="s">
        <v>4568</v>
      </c>
      <c r="L1080" s="22"/>
      <c r="M1080" s="22" t="str">
        <f>HYPERLINK("https://ceds.ed.gov/cedselementdetails.aspx?termid=22339")</f>
        <v>https://ceds.ed.gov/cedselementdetails.aspx?termid=22339</v>
      </c>
    </row>
    <row r="1081" spans="1:13" ht="409.6" x14ac:dyDescent="0.3">
      <c r="A1081" s="22" t="s">
        <v>4569</v>
      </c>
      <c r="B1081" s="22" t="s">
        <v>4570</v>
      </c>
      <c r="C1081" s="26" t="s">
        <v>8948</v>
      </c>
      <c r="D1081" s="22" t="s">
        <v>4034</v>
      </c>
      <c r="E1081" s="22"/>
      <c r="F1081" s="22"/>
      <c r="G1081" s="22"/>
      <c r="H1081" s="22"/>
      <c r="I1081" s="25" t="s">
        <v>4571</v>
      </c>
      <c r="J1081" s="22"/>
      <c r="K1081" s="22" t="s">
        <v>4572</v>
      </c>
      <c r="L1081" s="22"/>
      <c r="M1081" s="22" t="str">
        <f>HYPERLINK("https://ceds.ed.gov/cedselementdetails.aspx?termid=22340")</f>
        <v>https://ceds.ed.gov/cedselementdetails.aspx?termid=22340</v>
      </c>
    </row>
    <row r="1082" spans="1:13" ht="72" x14ac:dyDescent="0.3">
      <c r="A1082" s="22" t="s">
        <v>4573</v>
      </c>
      <c r="B1082" s="22" t="s">
        <v>4574</v>
      </c>
      <c r="C1082" s="26" t="s">
        <v>8949</v>
      </c>
      <c r="D1082" s="22" t="s">
        <v>4034</v>
      </c>
      <c r="E1082" s="22"/>
      <c r="F1082" s="22"/>
      <c r="G1082" s="22"/>
      <c r="H1082" s="22"/>
      <c r="I1082" s="25" t="s">
        <v>4575</v>
      </c>
      <c r="J1082" s="22"/>
      <c r="K1082" s="22" t="s">
        <v>4576</v>
      </c>
      <c r="L1082" s="22"/>
      <c r="M1082" s="22" t="str">
        <f>HYPERLINK("https://ceds.ed.gov/cedselementdetails.aspx?termid=22341")</f>
        <v>https://ceds.ed.gov/cedselementdetails.aspx?termid=22341</v>
      </c>
    </row>
    <row r="1083" spans="1:13" x14ac:dyDescent="0.3">
      <c r="A1083" s="22" t="s">
        <v>4577</v>
      </c>
      <c r="B1083" s="22" t="s">
        <v>4578</v>
      </c>
      <c r="C1083" s="23" t="s">
        <v>32</v>
      </c>
      <c r="D1083" s="22" t="s">
        <v>4034</v>
      </c>
      <c r="E1083" s="22"/>
      <c r="F1083" s="22" t="s">
        <v>780</v>
      </c>
      <c r="G1083" s="22"/>
      <c r="H1083" s="22"/>
      <c r="I1083" s="25" t="s">
        <v>4579</v>
      </c>
      <c r="J1083" s="22"/>
      <c r="K1083" s="22" t="s">
        <v>4580</v>
      </c>
      <c r="L1083" s="22"/>
      <c r="M1083" s="22" t="str">
        <f>HYPERLINK("https://ceds.ed.gov/cedselementdetails.aspx?termid=22342")</f>
        <v>https://ceds.ed.gov/cedselementdetails.aspx?termid=22342</v>
      </c>
    </row>
    <row r="1084" spans="1:13" ht="43.2" x14ac:dyDescent="0.3">
      <c r="A1084" s="22" t="s">
        <v>4581</v>
      </c>
      <c r="B1084" s="22" t="s">
        <v>4582</v>
      </c>
      <c r="C1084" s="26" t="s">
        <v>22</v>
      </c>
      <c r="D1084" s="22" t="s">
        <v>4034</v>
      </c>
      <c r="E1084" s="22"/>
      <c r="F1084" s="22"/>
      <c r="G1084" s="22"/>
      <c r="H1084" s="22" t="s">
        <v>4583</v>
      </c>
      <c r="I1084" s="25" t="s">
        <v>4584</v>
      </c>
      <c r="J1084" s="22"/>
      <c r="K1084" s="22" t="s">
        <v>4585</v>
      </c>
      <c r="L1084" s="22"/>
      <c r="M1084" s="22" t="str">
        <f>HYPERLINK("https://ceds.ed.gov/cedselementdetails.aspx?termid=22343")</f>
        <v>https://ceds.ed.gov/cedselementdetails.aspx?termid=22343</v>
      </c>
    </row>
    <row r="1085" spans="1:13" ht="43.2" x14ac:dyDescent="0.3">
      <c r="A1085" s="22" t="s">
        <v>4586</v>
      </c>
      <c r="B1085" s="22" t="s">
        <v>4587</v>
      </c>
      <c r="C1085" s="26" t="s">
        <v>22</v>
      </c>
      <c r="D1085" s="22" t="s">
        <v>4034</v>
      </c>
      <c r="E1085" s="22"/>
      <c r="F1085" s="22"/>
      <c r="G1085" s="22"/>
      <c r="H1085" s="22"/>
      <c r="I1085" s="25" t="s">
        <v>4588</v>
      </c>
      <c r="J1085" s="22"/>
      <c r="K1085" s="22" t="s">
        <v>4589</v>
      </c>
      <c r="L1085" s="22"/>
      <c r="M1085" s="22" t="str">
        <f>HYPERLINK("https://ceds.ed.gov/cedselementdetails.aspx?termid=22345")</f>
        <v>https://ceds.ed.gov/cedselementdetails.aspx?termid=22345</v>
      </c>
    </row>
    <row r="1086" spans="1:13" ht="409.6" x14ac:dyDescent="0.3">
      <c r="A1086" s="22" t="s">
        <v>4590</v>
      </c>
      <c r="B1086" s="22" t="s">
        <v>4591</v>
      </c>
      <c r="C1086" s="26" t="s">
        <v>8950</v>
      </c>
      <c r="D1086" s="22" t="s">
        <v>4034</v>
      </c>
      <c r="E1086" s="22"/>
      <c r="F1086" s="22"/>
      <c r="G1086" s="22"/>
      <c r="H1086" s="22"/>
      <c r="I1086" s="25" t="s">
        <v>4592</v>
      </c>
      <c r="J1086" s="22"/>
      <c r="K1086" s="22" t="s">
        <v>4593</v>
      </c>
      <c r="L1086" s="22"/>
      <c r="M1086" s="22" t="str">
        <f>HYPERLINK("https://ceds.ed.gov/cedselementdetails.aspx?termid=21497")</f>
        <v>https://ceds.ed.gov/cedselementdetails.aspx?termid=21497</v>
      </c>
    </row>
    <row r="1087" spans="1:13" x14ac:dyDescent="0.3">
      <c r="A1087" s="22" t="s">
        <v>4594</v>
      </c>
      <c r="B1087" s="22" t="s">
        <v>4595</v>
      </c>
      <c r="C1087" s="23" t="s">
        <v>32</v>
      </c>
      <c r="D1087" s="22" t="s">
        <v>4034</v>
      </c>
      <c r="E1087" s="22"/>
      <c r="F1087" s="22" t="s">
        <v>430</v>
      </c>
      <c r="G1087" s="22"/>
      <c r="H1087" s="22"/>
      <c r="I1087" s="25" t="s">
        <v>4596</v>
      </c>
      <c r="J1087" s="22"/>
      <c r="K1087" s="22" t="s">
        <v>4597</v>
      </c>
      <c r="L1087" s="22"/>
      <c r="M1087" s="22" t="str">
        <f>HYPERLINK("https://ceds.ed.gov/cedselementdetails.aspx?termid=21494")</f>
        <v>https://ceds.ed.gov/cedselementdetails.aspx?termid=21494</v>
      </c>
    </row>
    <row r="1088" spans="1:13" ht="187.2" x14ac:dyDescent="0.3">
      <c r="A1088" s="22" t="s">
        <v>4598</v>
      </c>
      <c r="B1088" s="22" t="s">
        <v>4599</v>
      </c>
      <c r="C1088" s="26" t="s">
        <v>8951</v>
      </c>
      <c r="D1088" s="22" t="s">
        <v>4034</v>
      </c>
      <c r="E1088" s="22"/>
      <c r="F1088" s="22"/>
      <c r="G1088" s="22"/>
      <c r="H1088" s="22"/>
      <c r="I1088" s="25" t="s">
        <v>4600</v>
      </c>
      <c r="J1088" s="22"/>
      <c r="K1088" s="22" t="s">
        <v>4601</v>
      </c>
      <c r="L1088" s="22"/>
      <c r="M1088" s="22" t="str">
        <f>HYPERLINK("https://ceds.ed.gov/cedselementdetails.aspx?termid=21506")</f>
        <v>https://ceds.ed.gov/cedselementdetails.aspx?termid=21506</v>
      </c>
    </row>
    <row r="1089" spans="1:13" x14ac:dyDescent="0.3">
      <c r="A1089" s="22" t="s">
        <v>4602</v>
      </c>
      <c r="B1089" s="22" t="s">
        <v>4603</v>
      </c>
      <c r="C1089" s="23" t="s">
        <v>32</v>
      </c>
      <c r="D1089" s="22" t="s">
        <v>4034</v>
      </c>
      <c r="E1089" s="22"/>
      <c r="F1089" s="22" t="s">
        <v>132</v>
      </c>
      <c r="G1089" s="22"/>
      <c r="H1089" s="22" t="s">
        <v>7945</v>
      </c>
      <c r="I1089" s="25" t="s">
        <v>4604</v>
      </c>
      <c r="J1089" s="22"/>
      <c r="K1089" s="22" t="s">
        <v>4605</v>
      </c>
      <c r="L1089" s="22"/>
      <c r="M1089" s="22" t="str">
        <f>HYPERLINK("https://ceds.ed.gov/cedselementdetails.aspx?termid=22346")</f>
        <v>https://ceds.ed.gov/cedselementdetails.aspx?termid=22346</v>
      </c>
    </row>
    <row r="1090" spans="1:13" ht="409.6" x14ac:dyDescent="0.3">
      <c r="A1090" s="22" t="s">
        <v>4606</v>
      </c>
      <c r="B1090" s="22" t="s">
        <v>4607</v>
      </c>
      <c r="C1090" s="26" t="s">
        <v>8948</v>
      </c>
      <c r="D1090" s="22" t="s">
        <v>4034</v>
      </c>
      <c r="E1090" s="22"/>
      <c r="F1090" s="22"/>
      <c r="G1090" s="22"/>
      <c r="H1090" s="22"/>
      <c r="I1090" s="25" t="s">
        <v>4608</v>
      </c>
      <c r="J1090" s="22"/>
      <c r="K1090" s="22" t="s">
        <v>4609</v>
      </c>
      <c r="L1090" s="22"/>
      <c r="M1090" s="22" t="str">
        <f>HYPERLINK("https://ceds.ed.gov/cedselementdetails.aspx?termid=22347")</f>
        <v>https://ceds.ed.gov/cedselementdetails.aspx?termid=22347</v>
      </c>
    </row>
    <row r="1091" spans="1:13" x14ac:dyDescent="0.3">
      <c r="A1091" s="22" t="s">
        <v>4610</v>
      </c>
      <c r="B1091" s="22" t="s">
        <v>4611</v>
      </c>
      <c r="C1091" s="23" t="s">
        <v>32</v>
      </c>
      <c r="D1091" s="22" t="s">
        <v>4034</v>
      </c>
      <c r="E1091" s="22"/>
      <c r="F1091" s="22" t="s">
        <v>132</v>
      </c>
      <c r="G1091" s="22"/>
      <c r="H1091" s="22" t="s">
        <v>7945</v>
      </c>
      <c r="I1091" s="25" t="s">
        <v>4612</v>
      </c>
      <c r="J1091" s="22"/>
      <c r="K1091" s="22" t="s">
        <v>4613</v>
      </c>
      <c r="L1091" s="22"/>
      <c r="M1091" s="22" t="str">
        <f>HYPERLINK("https://ceds.ed.gov/cedselementdetails.aspx?termid=22348")</f>
        <v>https://ceds.ed.gov/cedselementdetails.aspx?termid=22348</v>
      </c>
    </row>
    <row r="1092" spans="1:13" ht="409.6" x14ac:dyDescent="0.3">
      <c r="A1092" s="22" t="s">
        <v>4614</v>
      </c>
      <c r="B1092" s="22" t="s">
        <v>4615</v>
      </c>
      <c r="C1092" s="26" t="s">
        <v>8948</v>
      </c>
      <c r="D1092" s="22" t="s">
        <v>4034</v>
      </c>
      <c r="E1092" s="22"/>
      <c r="F1092" s="22"/>
      <c r="G1092" s="22"/>
      <c r="H1092" s="22"/>
      <c r="I1092" s="25" t="s">
        <v>4616</v>
      </c>
      <c r="J1092" s="22"/>
      <c r="K1092" s="22" t="s">
        <v>4617</v>
      </c>
      <c r="L1092" s="22"/>
      <c r="M1092" s="22" t="str">
        <f>HYPERLINK("https://ceds.ed.gov/cedselementdetails.aspx?termid=22349")</f>
        <v>https://ceds.ed.gov/cedselementdetails.aspx?termid=22349</v>
      </c>
    </row>
    <row r="1093" spans="1:13" ht="72" x14ac:dyDescent="0.3">
      <c r="A1093" s="22" t="s">
        <v>4618</v>
      </c>
      <c r="B1093" s="22" t="s">
        <v>4619</v>
      </c>
      <c r="C1093" s="26" t="s">
        <v>22</v>
      </c>
      <c r="D1093" s="24" t="s">
        <v>8952</v>
      </c>
      <c r="E1093" s="22"/>
      <c r="F1093" s="22"/>
      <c r="G1093" s="22"/>
      <c r="H1093" s="22"/>
      <c r="I1093" s="25" t="s">
        <v>4620</v>
      </c>
      <c r="J1093" s="22"/>
      <c r="K1093" s="22" t="s">
        <v>4621</v>
      </c>
      <c r="L1093" s="22"/>
      <c r="M1093" s="22" t="str">
        <f>HYPERLINK("https://ceds.ed.gov/cedselementdetails.aspx?termid=22591")</f>
        <v>https://ceds.ed.gov/cedselementdetails.aspx?termid=22591</v>
      </c>
    </row>
    <row r="1094" spans="1:13" ht="100.8" x14ac:dyDescent="0.3">
      <c r="A1094" s="22" t="s">
        <v>4622</v>
      </c>
      <c r="B1094" s="22" t="s">
        <v>4623</v>
      </c>
      <c r="C1094" s="26" t="s">
        <v>22</v>
      </c>
      <c r="D1094" s="24" t="s">
        <v>8953</v>
      </c>
      <c r="E1094" s="22"/>
      <c r="F1094" s="22"/>
      <c r="G1094" s="22"/>
      <c r="H1094" s="22"/>
      <c r="I1094" s="25" t="s">
        <v>4624</v>
      </c>
      <c r="J1094" s="22"/>
      <c r="K1094" s="22" t="s">
        <v>4625</v>
      </c>
      <c r="L1094" s="22"/>
      <c r="M1094" s="22" t="str">
        <f>HYPERLINK("https://ceds.ed.gov/cedselementdetails.aspx?termid=22615")</f>
        <v>https://ceds.ed.gov/cedselementdetails.aspx?termid=22615</v>
      </c>
    </row>
    <row r="1095" spans="1:13" ht="43.2" x14ac:dyDescent="0.3">
      <c r="A1095" s="22" t="s">
        <v>4626</v>
      </c>
      <c r="B1095" s="22" t="s">
        <v>4627</v>
      </c>
      <c r="C1095" s="26" t="s">
        <v>8954</v>
      </c>
      <c r="D1095" s="22" t="s">
        <v>8120</v>
      </c>
      <c r="E1095" s="22"/>
      <c r="F1095" s="22"/>
      <c r="G1095" s="22"/>
      <c r="H1095" s="22"/>
      <c r="I1095" s="25" t="s">
        <v>4628</v>
      </c>
      <c r="J1095" s="22"/>
      <c r="K1095" s="22" t="s">
        <v>4629</v>
      </c>
      <c r="L1095" s="22"/>
      <c r="M1095" s="22" t="str">
        <f>HYPERLINK("https://ceds.ed.gov/cedselementdetails.aspx?termid=21333")</f>
        <v>https://ceds.ed.gov/cedselementdetails.aspx?termid=21333</v>
      </c>
    </row>
    <row r="1096" spans="1:13" ht="158.4" x14ac:dyDescent="0.3">
      <c r="A1096" s="22" t="s">
        <v>4630</v>
      </c>
      <c r="B1096" s="22" t="s">
        <v>4631</v>
      </c>
      <c r="C1096" s="26" t="s">
        <v>8955</v>
      </c>
      <c r="D1096" s="24" t="s">
        <v>8956</v>
      </c>
      <c r="E1096" s="22"/>
      <c r="F1096" s="22"/>
      <c r="G1096" s="22"/>
      <c r="H1096" s="22" t="s">
        <v>7548</v>
      </c>
      <c r="I1096" s="25" t="s">
        <v>4632</v>
      </c>
      <c r="J1096" s="22"/>
      <c r="K1096" s="22" t="s">
        <v>4633</v>
      </c>
      <c r="L1096" s="22" t="s">
        <v>226</v>
      </c>
      <c r="M1096" s="22" t="str">
        <f>HYPERLINK("https://ceds.ed.gov/cedselementdetails.aspx?termid=21164")</f>
        <v>https://ceds.ed.gov/cedselementdetails.aspx?termid=21164</v>
      </c>
    </row>
    <row r="1097" spans="1:13" x14ac:dyDescent="0.3">
      <c r="A1097" s="22" t="s">
        <v>4634</v>
      </c>
      <c r="B1097" s="22" t="s">
        <v>4635</v>
      </c>
      <c r="C1097" s="23" t="s">
        <v>32</v>
      </c>
      <c r="D1097" s="22" t="s">
        <v>4636</v>
      </c>
      <c r="E1097" s="22"/>
      <c r="F1097" s="22" t="s">
        <v>1518</v>
      </c>
      <c r="G1097" s="22"/>
      <c r="H1097" s="22"/>
      <c r="I1097" s="25" t="s">
        <v>4637</v>
      </c>
      <c r="J1097" s="22"/>
      <c r="K1097" s="22" t="s">
        <v>4638</v>
      </c>
      <c r="L1097" s="22"/>
      <c r="M1097" s="22" t="str">
        <f>HYPERLINK("https://ceds.ed.gov/cedselementdetails.aspx?termid=22874")</f>
        <v>https://ceds.ed.gov/cedselementdetails.aspx?termid=22874</v>
      </c>
    </row>
    <row r="1098" spans="1:13" x14ac:dyDescent="0.3">
      <c r="A1098" s="22" t="s">
        <v>4639</v>
      </c>
      <c r="B1098" s="22" t="s">
        <v>4640</v>
      </c>
      <c r="C1098" s="23" t="s">
        <v>32</v>
      </c>
      <c r="D1098" s="22" t="s">
        <v>4641</v>
      </c>
      <c r="E1098" s="22"/>
      <c r="F1098" s="22" t="s">
        <v>328</v>
      </c>
      <c r="G1098" s="22"/>
      <c r="H1098" s="22"/>
      <c r="I1098" s="25" t="s">
        <v>4642</v>
      </c>
      <c r="J1098" s="22"/>
      <c r="K1098" s="22" t="s">
        <v>4643</v>
      </c>
      <c r="L1098" s="22"/>
      <c r="M1098" s="22" t="str">
        <f>HYPERLINK("https://ceds.ed.gov/cedselementdetails.aspx?termid=22667")</f>
        <v>https://ceds.ed.gov/cedselementdetails.aspx?termid=22667</v>
      </c>
    </row>
    <row r="1099" spans="1:13" x14ac:dyDescent="0.3">
      <c r="A1099" s="22" t="s">
        <v>4644</v>
      </c>
      <c r="B1099" s="22" t="s">
        <v>4645</v>
      </c>
      <c r="C1099" s="23" t="s">
        <v>32</v>
      </c>
      <c r="D1099" s="22" t="s">
        <v>4641</v>
      </c>
      <c r="E1099" s="22"/>
      <c r="F1099" s="22" t="s">
        <v>328</v>
      </c>
      <c r="G1099" s="22"/>
      <c r="H1099" s="22"/>
      <c r="I1099" s="25" t="s">
        <v>4646</v>
      </c>
      <c r="J1099" s="22"/>
      <c r="K1099" s="22" t="s">
        <v>4647</v>
      </c>
      <c r="L1099" s="22"/>
      <c r="M1099" s="22" t="str">
        <f>HYPERLINK("https://ceds.ed.gov/cedselementdetails.aspx?termid=22666")</f>
        <v>https://ceds.ed.gov/cedselementdetails.aspx?termid=22666</v>
      </c>
    </row>
    <row r="1100" spans="1:13" ht="43.2" x14ac:dyDescent="0.3">
      <c r="A1100" s="22" t="s">
        <v>4648</v>
      </c>
      <c r="B1100" s="22" t="s">
        <v>4649</v>
      </c>
      <c r="C1100" s="23" t="s">
        <v>32</v>
      </c>
      <c r="D1100" s="24" t="s">
        <v>8957</v>
      </c>
      <c r="E1100" s="22"/>
      <c r="F1100" s="22" t="s">
        <v>118</v>
      </c>
      <c r="G1100" s="22"/>
      <c r="H1100" s="22"/>
      <c r="I1100" s="25" t="s">
        <v>4650</v>
      </c>
      <c r="J1100" s="22"/>
      <c r="K1100" s="22" t="s">
        <v>4651</v>
      </c>
      <c r="L1100" s="22"/>
      <c r="M1100" s="22" t="str">
        <f>HYPERLINK("https://ceds.ed.gov/cedselementdetails.aspx?termid=22197")</f>
        <v>https://ceds.ed.gov/cedselementdetails.aspx?termid=22197</v>
      </c>
    </row>
    <row r="1101" spans="1:13" ht="72" x14ac:dyDescent="0.3">
      <c r="A1101" s="22" t="s">
        <v>4652</v>
      </c>
      <c r="B1101" s="22" t="s">
        <v>4657</v>
      </c>
      <c r="C1101" s="23" t="s">
        <v>32</v>
      </c>
      <c r="D1101" s="24" t="s">
        <v>8459</v>
      </c>
      <c r="E1101" s="22" t="s">
        <v>172</v>
      </c>
      <c r="F1101" s="22" t="s">
        <v>317</v>
      </c>
      <c r="G1101" s="22" t="s">
        <v>8217</v>
      </c>
      <c r="H1101" s="22"/>
      <c r="I1101" s="25" t="s">
        <v>4654</v>
      </c>
      <c r="J1101" s="22"/>
      <c r="K1101" s="22" t="s">
        <v>4655</v>
      </c>
      <c r="L1101" s="22"/>
      <c r="M1101" s="22" t="str">
        <f>HYPERLINK("https://ceds.ed.gov/cedselementdetails.aspx?termid=22199")</f>
        <v>https://ceds.ed.gov/cedselementdetails.aspx?termid=22199</v>
      </c>
    </row>
    <row r="1102" spans="1:13" ht="72" x14ac:dyDescent="0.3">
      <c r="A1102" s="22" t="s">
        <v>4656</v>
      </c>
      <c r="B1102" s="22" t="s">
        <v>4653</v>
      </c>
      <c r="C1102" s="23" t="s">
        <v>32</v>
      </c>
      <c r="D1102" s="24" t="s">
        <v>8459</v>
      </c>
      <c r="E1102" s="22" t="s">
        <v>172</v>
      </c>
      <c r="F1102" s="22" t="s">
        <v>317</v>
      </c>
      <c r="G1102" s="22" t="s">
        <v>8217</v>
      </c>
      <c r="H1102" s="22"/>
      <c r="I1102" s="25" t="s">
        <v>4658</v>
      </c>
      <c r="J1102" s="22"/>
      <c r="K1102" s="22" t="s">
        <v>4659</v>
      </c>
      <c r="L1102" s="22"/>
      <c r="M1102" s="22" t="str">
        <f>HYPERLINK("https://ceds.ed.gov/cedselementdetails.aspx?termid=22198")</f>
        <v>https://ceds.ed.gov/cedselementdetails.aspx?termid=22198</v>
      </c>
    </row>
    <row r="1103" spans="1:13" x14ac:dyDescent="0.3">
      <c r="A1103" s="22" t="s">
        <v>4660</v>
      </c>
      <c r="B1103" s="22" t="s">
        <v>4661</v>
      </c>
      <c r="C1103" s="23" t="s">
        <v>32</v>
      </c>
      <c r="D1103" s="22" t="s">
        <v>8084</v>
      </c>
      <c r="E1103" s="22"/>
      <c r="F1103" s="22" t="s">
        <v>1518</v>
      </c>
      <c r="G1103" s="22"/>
      <c r="H1103" s="22"/>
      <c r="I1103" s="25" t="s">
        <v>4662</v>
      </c>
      <c r="J1103" s="22"/>
      <c r="K1103" s="22" t="s">
        <v>4663</v>
      </c>
      <c r="L1103" s="22"/>
      <c r="M1103" s="22" t="str">
        <f>HYPERLINK("https://ceds.ed.gov/cedselementdetails.aspx?termid=22493")</f>
        <v>https://ceds.ed.gov/cedselementdetails.aspx?termid=22493</v>
      </c>
    </row>
    <row r="1104" spans="1:13" ht="144" x14ac:dyDescent="0.3">
      <c r="A1104" s="22" t="s">
        <v>4664</v>
      </c>
      <c r="B1104" s="22" t="s">
        <v>4665</v>
      </c>
      <c r="C1104" s="26" t="s">
        <v>8958</v>
      </c>
      <c r="D1104" s="22" t="s">
        <v>8084</v>
      </c>
      <c r="E1104" s="22"/>
      <c r="F1104" s="22"/>
      <c r="G1104" s="22"/>
      <c r="H1104" s="22"/>
      <c r="I1104" s="25" t="s">
        <v>4666</v>
      </c>
      <c r="J1104" s="22"/>
      <c r="K1104" s="22" t="s">
        <v>4667</v>
      </c>
      <c r="L1104" s="22"/>
      <c r="M1104" s="22" t="str">
        <f>HYPERLINK("https://ceds.ed.gov/cedselementdetails.aspx?termid=22492")</f>
        <v>https://ceds.ed.gov/cedselementdetails.aspx?termid=22492</v>
      </c>
    </row>
    <row r="1105" spans="1:13" x14ac:dyDescent="0.3">
      <c r="A1105" s="22" t="s">
        <v>4668</v>
      </c>
      <c r="B1105" s="22" t="s">
        <v>4669</v>
      </c>
      <c r="C1105" s="23" t="s">
        <v>32</v>
      </c>
      <c r="D1105" s="22" t="s">
        <v>8084</v>
      </c>
      <c r="E1105" s="22"/>
      <c r="F1105" s="22" t="s">
        <v>118</v>
      </c>
      <c r="G1105" s="22"/>
      <c r="H1105" s="22" t="s">
        <v>4670</v>
      </c>
      <c r="I1105" s="25" t="s">
        <v>4671</v>
      </c>
      <c r="J1105" s="22"/>
      <c r="K1105" s="22" t="s">
        <v>4672</v>
      </c>
      <c r="L1105" s="22"/>
      <c r="M1105" s="22" t="str">
        <f>HYPERLINK("https://ceds.ed.gov/cedselementdetails.aspx?termid=22350")</f>
        <v>https://ceds.ed.gov/cedselementdetails.aspx?termid=22350</v>
      </c>
    </row>
    <row r="1106" spans="1:13" ht="273.60000000000002" x14ac:dyDescent="0.3">
      <c r="A1106" s="22" t="s">
        <v>4673</v>
      </c>
      <c r="B1106" s="22" t="s">
        <v>4674</v>
      </c>
      <c r="C1106" s="26" t="s">
        <v>8959</v>
      </c>
      <c r="D1106" s="22" t="s">
        <v>8084</v>
      </c>
      <c r="E1106" s="22"/>
      <c r="F1106" s="22"/>
      <c r="G1106" s="22"/>
      <c r="H1106" s="22"/>
      <c r="I1106" s="25" t="s">
        <v>4675</v>
      </c>
      <c r="J1106" s="22"/>
      <c r="K1106" s="22" t="s">
        <v>4676</v>
      </c>
      <c r="L1106" s="22"/>
      <c r="M1106" s="22" t="str">
        <f>HYPERLINK("https://ceds.ed.gov/cedselementdetails.aspx?termid=22352")</f>
        <v>https://ceds.ed.gov/cedselementdetails.aspx?termid=22352</v>
      </c>
    </row>
    <row r="1107" spans="1:13" x14ac:dyDescent="0.3">
      <c r="A1107" s="22" t="s">
        <v>4677</v>
      </c>
      <c r="B1107" s="22" t="s">
        <v>4678</v>
      </c>
      <c r="C1107" s="23" t="s">
        <v>32</v>
      </c>
      <c r="D1107" s="22" t="s">
        <v>4679</v>
      </c>
      <c r="E1107" s="22"/>
      <c r="F1107" s="22" t="s">
        <v>328</v>
      </c>
      <c r="G1107" s="22"/>
      <c r="H1107" s="22"/>
      <c r="I1107" s="25" t="s">
        <v>4680</v>
      </c>
      <c r="J1107" s="22"/>
      <c r="K1107" s="22" t="s">
        <v>4681</v>
      </c>
      <c r="L1107" s="22"/>
      <c r="M1107" s="22" t="str">
        <f>HYPERLINK("https://ceds.ed.gov/cedselementdetails.aspx?termid=22670")</f>
        <v>https://ceds.ed.gov/cedselementdetails.aspx?termid=22670</v>
      </c>
    </row>
    <row r="1108" spans="1:13" x14ac:dyDescent="0.3">
      <c r="A1108" s="22" t="s">
        <v>4682</v>
      </c>
      <c r="B1108" s="22" t="s">
        <v>4683</v>
      </c>
      <c r="C1108" s="23" t="s">
        <v>32</v>
      </c>
      <c r="D1108" s="22" t="s">
        <v>4679</v>
      </c>
      <c r="E1108" s="22"/>
      <c r="F1108" s="22" t="s">
        <v>328</v>
      </c>
      <c r="G1108" s="22"/>
      <c r="H1108" s="22"/>
      <c r="I1108" s="25" t="s">
        <v>4684</v>
      </c>
      <c r="J1108" s="22"/>
      <c r="K1108" s="22" t="s">
        <v>4685</v>
      </c>
      <c r="L1108" s="22"/>
      <c r="M1108" s="22" t="str">
        <f>HYPERLINK("https://ceds.ed.gov/cedselementdetails.aspx?termid=22669")</f>
        <v>https://ceds.ed.gov/cedselementdetails.aspx?termid=22669</v>
      </c>
    </row>
    <row r="1109" spans="1:13" ht="43.2" x14ac:dyDescent="0.3">
      <c r="A1109" s="22" t="s">
        <v>4686</v>
      </c>
      <c r="B1109" s="22" t="s">
        <v>4687</v>
      </c>
      <c r="C1109" s="23" t="s">
        <v>32</v>
      </c>
      <c r="D1109" s="24" t="s">
        <v>8957</v>
      </c>
      <c r="E1109" s="22"/>
      <c r="F1109" s="22" t="s">
        <v>118</v>
      </c>
      <c r="G1109" s="22"/>
      <c r="H1109" s="22"/>
      <c r="I1109" s="25" t="s">
        <v>4688</v>
      </c>
      <c r="J1109" s="22"/>
      <c r="K1109" s="22" t="s">
        <v>4689</v>
      </c>
      <c r="L1109" s="22"/>
      <c r="M1109" s="22" t="str">
        <f>HYPERLINK("https://ceds.ed.gov/cedselementdetails.aspx?termid=22201")</f>
        <v>https://ceds.ed.gov/cedselementdetails.aspx?termid=22201</v>
      </c>
    </row>
    <row r="1110" spans="1:13" ht="86.4" x14ac:dyDescent="0.3">
      <c r="A1110" s="22" t="s">
        <v>4690</v>
      </c>
      <c r="B1110" s="22" t="s">
        <v>4691</v>
      </c>
      <c r="C1110" s="26" t="s">
        <v>8960</v>
      </c>
      <c r="D1110" s="24" t="s">
        <v>8957</v>
      </c>
      <c r="E1110" s="22"/>
      <c r="F1110" s="22"/>
      <c r="G1110" s="22"/>
      <c r="H1110" s="22"/>
      <c r="I1110" s="25" t="s">
        <v>4692</v>
      </c>
      <c r="J1110" s="22"/>
      <c r="K1110" s="22" t="s">
        <v>4693</v>
      </c>
      <c r="L1110" s="22"/>
      <c r="M1110" s="22" t="str">
        <f>HYPERLINK("https://ceds.ed.gov/cedselementdetails.aspx?termid=22196")</f>
        <v>https://ceds.ed.gov/cedselementdetails.aspx?termid=22196</v>
      </c>
    </row>
    <row r="1111" spans="1:13" x14ac:dyDescent="0.3">
      <c r="A1111" s="22" t="s">
        <v>4694</v>
      </c>
      <c r="B1111" s="22" t="s">
        <v>4695</v>
      </c>
      <c r="C1111" s="23" t="s">
        <v>32</v>
      </c>
      <c r="D1111" s="22" t="s">
        <v>4509</v>
      </c>
      <c r="E1111" s="22"/>
      <c r="F1111" s="22" t="s">
        <v>118</v>
      </c>
      <c r="G1111" s="22"/>
      <c r="H1111" s="22" t="s">
        <v>143</v>
      </c>
      <c r="I1111" s="25" t="s">
        <v>4696</v>
      </c>
      <c r="J1111" s="22"/>
      <c r="K1111" s="22" t="s">
        <v>4697</v>
      </c>
      <c r="L1111" s="22"/>
      <c r="M1111" s="22" t="str">
        <f>HYPERLINK("https://ceds.ed.gov/cedselementdetails.aspx?termid=22664")</f>
        <v>https://ceds.ed.gov/cedselementdetails.aspx?termid=22664</v>
      </c>
    </row>
    <row r="1112" spans="1:13" x14ac:dyDescent="0.3">
      <c r="A1112" s="22" t="s">
        <v>4698</v>
      </c>
      <c r="B1112" s="22" t="s">
        <v>4699</v>
      </c>
      <c r="C1112" s="23" t="s">
        <v>32</v>
      </c>
      <c r="D1112" s="22" t="s">
        <v>4509</v>
      </c>
      <c r="E1112" s="22"/>
      <c r="F1112" s="22" t="s">
        <v>118</v>
      </c>
      <c r="G1112" s="22"/>
      <c r="H1112" s="22"/>
      <c r="I1112" s="25" t="s">
        <v>4700</v>
      </c>
      <c r="J1112" s="22"/>
      <c r="K1112" s="22" t="s">
        <v>4701</v>
      </c>
      <c r="L1112" s="22"/>
      <c r="M1112" s="22" t="str">
        <f>HYPERLINK("https://ceds.ed.gov/cedselementdetails.aspx?termid=22665")</f>
        <v>https://ceds.ed.gov/cedselementdetails.aspx?termid=22665</v>
      </c>
    </row>
    <row r="1113" spans="1:13" ht="230.4" x14ac:dyDescent="0.3">
      <c r="A1113" s="22" t="s">
        <v>4702</v>
      </c>
      <c r="B1113" s="22" t="s">
        <v>4703</v>
      </c>
      <c r="C1113" s="26" t="s">
        <v>8961</v>
      </c>
      <c r="D1113" s="24" t="s">
        <v>8957</v>
      </c>
      <c r="E1113" s="22"/>
      <c r="F1113" s="22"/>
      <c r="G1113" s="22"/>
      <c r="H1113" s="22"/>
      <c r="I1113" s="25" t="s">
        <v>4704</v>
      </c>
      <c r="J1113" s="22"/>
      <c r="K1113" s="22" t="s">
        <v>4705</v>
      </c>
      <c r="L1113" s="22"/>
      <c r="M1113" s="22" t="str">
        <f>HYPERLINK("https://ceds.ed.gov/cedselementdetails.aspx?termid=22202")</f>
        <v>https://ceds.ed.gov/cedselementdetails.aspx?termid=22202</v>
      </c>
    </row>
    <row r="1114" spans="1:13" ht="43.2" x14ac:dyDescent="0.3">
      <c r="A1114" s="22" t="s">
        <v>4706</v>
      </c>
      <c r="B1114" s="22" t="s">
        <v>4707</v>
      </c>
      <c r="C1114" s="23" t="s">
        <v>32</v>
      </c>
      <c r="D1114" s="24" t="s">
        <v>8957</v>
      </c>
      <c r="E1114" s="22"/>
      <c r="F1114" s="22" t="s">
        <v>328</v>
      </c>
      <c r="G1114" s="22"/>
      <c r="H1114" s="22"/>
      <c r="I1114" s="25" t="s">
        <v>4708</v>
      </c>
      <c r="J1114" s="22"/>
      <c r="K1114" s="22" t="s">
        <v>4709</v>
      </c>
      <c r="L1114" s="22"/>
      <c r="M1114" s="22" t="str">
        <f>HYPERLINK("https://ceds.ed.gov/cedselementdetails.aspx?termid=22203")</f>
        <v>https://ceds.ed.gov/cedselementdetails.aspx?termid=22203</v>
      </c>
    </row>
    <row r="1115" spans="1:13" x14ac:dyDescent="0.3">
      <c r="A1115" s="22" t="s">
        <v>4710</v>
      </c>
      <c r="B1115" s="22" t="s">
        <v>4711</v>
      </c>
      <c r="C1115" s="23" t="s">
        <v>32</v>
      </c>
      <c r="D1115" s="22" t="s">
        <v>4712</v>
      </c>
      <c r="E1115" s="22"/>
      <c r="F1115" s="22" t="s">
        <v>118</v>
      </c>
      <c r="G1115" s="22"/>
      <c r="H1115" s="22"/>
      <c r="I1115" s="25" t="s">
        <v>4713</v>
      </c>
      <c r="J1115" s="22"/>
      <c r="K1115" s="22" t="s">
        <v>4714</v>
      </c>
      <c r="L1115" s="22"/>
      <c r="M1115" s="22" t="str">
        <f>HYPERLINK("https://ceds.ed.gov/cedselementdetails.aspx?termid=22680")</f>
        <v>https://ceds.ed.gov/cedselementdetails.aspx?termid=22680</v>
      </c>
    </row>
    <row r="1116" spans="1:13" x14ac:dyDescent="0.3">
      <c r="A1116" s="22" t="s">
        <v>4715</v>
      </c>
      <c r="B1116" s="22" t="s">
        <v>4716</v>
      </c>
      <c r="C1116" s="23" t="s">
        <v>32</v>
      </c>
      <c r="D1116" s="22" t="s">
        <v>4712</v>
      </c>
      <c r="E1116" s="22"/>
      <c r="F1116" s="22" t="s">
        <v>328</v>
      </c>
      <c r="G1116" s="22"/>
      <c r="H1116" s="22"/>
      <c r="I1116" s="25" t="s">
        <v>4717</v>
      </c>
      <c r="J1116" s="22"/>
      <c r="K1116" s="22" t="s">
        <v>4718</v>
      </c>
      <c r="L1116" s="22"/>
      <c r="M1116" s="22" t="str">
        <f>HYPERLINK("https://ceds.ed.gov/cedselementdetails.aspx?termid=22681")</f>
        <v>https://ceds.ed.gov/cedselementdetails.aspx?termid=22681</v>
      </c>
    </row>
    <row r="1117" spans="1:13" ht="100.8" x14ac:dyDescent="0.3">
      <c r="A1117" s="22" t="s">
        <v>4719</v>
      </c>
      <c r="B1117" s="22" t="s">
        <v>4720</v>
      </c>
      <c r="C1117" s="26" t="s">
        <v>8962</v>
      </c>
      <c r="D1117" s="22" t="s">
        <v>4509</v>
      </c>
      <c r="E1117" s="22"/>
      <c r="F1117" s="22"/>
      <c r="G1117" s="22"/>
      <c r="H1117" s="22"/>
      <c r="I1117" s="25" t="s">
        <v>4721</v>
      </c>
      <c r="J1117" s="22"/>
      <c r="K1117" s="22" t="s">
        <v>4722</v>
      </c>
      <c r="L1117" s="22"/>
      <c r="M1117" s="22" t="str">
        <f>HYPERLINK("https://ceds.ed.gov/cedselementdetails.aspx?termid=22662")</f>
        <v>https://ceds.ed.gov/cedselementdetails.aspx?termid=22662</v>
      </c>
    </row>
    <row r="1118" spans="1:13" ht="72" x14ac:dyDescent="0.3">
      <c r="A1118" s="22" t="s">
        <v>4723</v>
      </c>
      <c r="B1118" s="22" t="s">
        <v>4724</v>
      </c>
      <c r="C1118" s="26" t="s">
        <v>8963</v>
      </c>
      <c r="D1118" s="24" t="s">
        <v>4725</v>
      </c>
      <c r="E1118" s="22"/>
      <c r="F1118" s="22"/>
      <c r="G1118" s="22"/>
      <c r="H1118" s="22"/>
      <c r="I1118" s="25" t="s">
        <v>4726</v>
      </c>
      <c r="J1118" s="22"/>
      <c r="K1118" s="22" t="s">
        <v>4727</v>
      </c>
      <c r="L1118" s="22"/>
      <c r="M1118" s="22" t="str">
        <f>HYPERLINK("https://ceds.ed.gov/cedselementdetails.aspx?termid=22682")</f>
        <v>https://ceds.ed.gov/cedselementdetails.aspx?termid=22682</v>
      </c>
    </row>
    <row r="1119" spans="1:13" ht="43.2" x14ac:dyDescent="0.3">
      <c r="A1119" s="22" t="s">
        <v>4728</v>
      </c>
      <c r="B1119" s="22" t="s">
        <v>4729</v>
      </c>
      <c r="C1119" s="23" t="s">
        <v>32</v>
      </c>
      <c r="D1119" s="24" t="s">
        <v>8957</v>
      </c>
      <c r="E1119" s="22"/>
      <c r="F1119" s="22" t="s">
        <v>118</v>
      </c>
      <c r="G1119" s="22"/>
      <c r="H1119" s="22"/>
      <c r="I1119" s="25" t="s">
        <v>4730</v>
      </c>
      <c r="J1119" s="22"/>
      <c r="K1119" s="22" t="s">
        <v>4731</v>
      </c>
      <c r="L1119" s="22"/>
      <c r="M1119" s="22" t="str">
        <f>HYPERLINK("https://ceds.ed.gov/cedselementdetails.aspx?termid=22207")</f>
        <v>https://ceds.ed.gov/cedselementdetails.aspx?termid=22207</v>
      </c>
    </row>
    <row r="1120" spans="1:13" ht="43.2" x14ac:dyDescent="0.3">
      <c r="A1120" s="22" t="s">
        <v>4732</v>
      </c>
      <c r="B1120" s="22" t="s">
        <v>4733</v>
      </c>
      <c r="C1120" s="23" t="s">
        <v>32</v>
      </c>
      <c r="D1120" s="24" t="s">
        <v>8957</v>
      </c>
      <c r="E1120" s="22"/>
      <c r="F1120" s="22" t="s">
        <v>118</v>
      </c>
      <c r="G1120" s="22"/>
      <c r="H1120" s="22"/>
      <c r="I1120" s="25" t="s">
        <v>4734</v>
      </c>
      <c r="J1120" s="22"/>
      <c r="K1120" s="22" t="s">
        <v>4735</v>
      </c>
      <c r="L1120" s="22"/>
      <c r="M1120" s="22" t="str">
        <f>HYPERLINK("https://ceds.ed.gov/cedselementdetails.aspx?termid=22205")</f>
        <v>https://ceds.ed.gov/cedselementdetails.aspx?termid=22205</v>
      </c>
    </row>
    <row r="1121" spans="1:13" ht="43.2" x14ac:dyDescent="0.3">
      <c r="A1121" s="22" t="s">
        <v>4736</v>
      </c>
      <c r="B1121" s="22" t="s">
        <v>4737</v>
      </c>
      <c r="C1121" s="23" t="s">
        <v>32</v>
      </c>
      <c r="D1121" s="24" t="s">
        <v>8957</v>
      </c>
      <c r="E1121" s="22"/>
      <c r="F1121" s="22" t="s">
        <v>328</v>
      </c>
      <c r="G1121" s="22"/>
      <c r="H1121" s="22"/>
      <c r="I1121" s="25" t="s">
        <v>4738</v>
      </c>
      <c r="J1121" s="22"/>
      <c r="K1121" s="22" t="s">
        <v>4739</v>
      </c>
      <c r="L1121" s="22"/>
      <c r="M1121" s="22" t="str">
        <f>HYPERLINK("https://ceds.ed.gov/cedselementdetails.aspx?termid=22204")</f>
        <v>https://ceds.ed.gov/cedselementdetails.aspx?termid=22204</v>
      </c>
    </row>
    <row r="1122" spans="1:13" ht="72" x14ac:dyDescent="0.3">
      <c r="A1122" s="22" t="s">
        <v>4740</v>
      </c>
      <c r="B1122" s="22" t="s">
        <v>4741</v>
      </c>
      <c r="C1122" s="26" t="s">
        <v>8964</v>
      </c>
      <c r="D1122" s="22" t="s">
        <v>4509</v>
      </c>
      <c r="E1122" s="22"/>
      <c r="F1122" s="22"/>
      <c r="G1122" s="22"/>
      <c r="H1122" s="22"/>
      <c r="I1122" s="25" t="s">
        <v>4742</v>
      </c>
      <c r="J1122" s="22"/>
      <c r="K1122" s="22" t="s">
        <v>4743</v>
      </c>
      <c r="L1122" s="22"/>
      <c r="M1122" s="22" t="str">
        <f>HYPERLINK("https://ceds.ed.gov/cedselementdetails.aspx?termid=22200")</f>
        <v>https://ceds.ed.gov/cedselementdetails.aspx?termid=22200</v>
      </c>
    </row>
    <row r="1123" spans="1:13" ht="244.8" x14ac:dyDescent="0.3">
      <c r="A1123" s="22" t="s">
        <v>4744</v>
      </c>
      <c r="B1123" s="22" t="s">
        <v>4745</v>
      </c>
      <c r="C1123" s="26" t="s">
        <v>8965</v>
      </c>
      <c r="D1123" s="24" t="s">
        <v>8966</v>
      </c>
      <c r="E1123" s="22"/>
      <c r="F1123" s="22"/>
      <c r="G1123" s="22"/>
      <c r="H1123" s="22"/>
      <c r="I1123" s="25" t="s">
        <v>4746</v>
      </c>
      <c r="J1123" s="22"/>
      <c r="K1123" s="22" t="s">
        <v>4747</v>
      </c>
      <c r="L1123" s="24" t="s">
        <v>399</v>
      </c>
      <c r="M1123" s="22" t="str">
        <f>HYPERLINK("https://ceds.ed.gov/cedselementdetails.aspx?termid=21320")</f>
        <v>https://ceds.ed.gov/cedselementdetails.aspx?termid=21320</v>
      </c>
    </row>
    <row r="1124" spans="1:13" ht="43.2" x14ac:dyDescent="0.3">
      <c r="A1124" s="22" t="s">
        <v>4748</v>
      </c>
      <c r="B1124" s="22" t="s">
        <v>8218</v>
      </c>
      <c r="C1124" s="23" t="s">
        <v>32</v>
      </c>
      <c r="D1124" s="22" t="s">
        <v>2114</v>
      </c>
      <c r="E1124" s="22"/>
      <c r="F1124" s="22" t="s">
        <v>85</v>
      </c>
      <c r="G1124" s="22"/>
      <c r="H1124" s="22"/>
      <c r="I1124" s="25" t="s">
        <v>4749</v>
      </c>
      <c r="J1124" s="22"/>
      <c r="K1124" s="22" t="s">
        <v>4750</v>
      </c>
      <c r="L1124" s="24" t="s">
        <v>198</v>
      </c>
      <c r="M1124" s="22" t="str">
        <f>HYPERLINK("https://ceds.ed.gov/cedselementdetails.aspx?termid=21165")</f>
        <v>https://ceds.ed.gov/cedselementdetails.aspx?termid=21165</v>
      </c>
    </row>
    <row r="1125" spans="1:13" ht="28.8" x14ac:dyDescent="0.3">
      <c r="A1125" s="22" t="s">
        <v>4751</v>
      </c>
      <c r="B1125" s="22" t="s">
        <v>4752</v>
      </c>
      <c r="C1125" s="23" t="s">
        <v>32</v>
      </c>
      <c r="D1125" s="22" t="s">
        <v>8053</v>
      </c>
      <c r="E1125" s="22"/>
      <c r="F1125" s="22" t="s">
        <v>118</v>
      </c>
      <c r="G1125" s="22"/>
      <c r="H1125" s="22"/>
      <c r="I1125" s="25" t="s">
        <v>4753</v>
      </c>
      <c r="J1125" s="22"/>
      <c r="K1125" s="22" t="s">
        <v>4754</v>
      </c>
      <c r="L1125" s="24" t="s">
        <v>2487</v>
      </c>
      <c r="M1125" s="22" t="str">
        <f>HYPERLINK("https://ceds.ed.gov/cedselementdetails.aspx?termid=21347")</f>
        <v>https://ceds.ed.gov/cedselementdetails.aspx?termid=21347</v>
      </c>
    </row>
    <row r="1126" spans="1:13" ht="43.2" x14ac:dyDescent="0.3">
      <c r="A1126" s="22" t="s">
        <v>4755</v>
      </c>
      <c r="B1126" s="22" t="s">
        <v>4756</v>
      </c>
      <c r="C1126" s="23" t="s">
        <v>32</v>
      </c>
      <c r="D1126" s="24" t="s">
        <v>4107</v>
      </c>
      <c r="E1126" s="22"/>
      <c r="F1126" s="22" t="s">
        <v>1518</v>
      </c>
      <c r="G1126" s="22"/>
      <c r="H1126" s="22"/>
      <c r="I1126" s="25" t="s">
        <v>4757</v>
      </c>
      <c r="J1126" s="22"/>
      <c r="K1126" s="22" t="s">
        <v>4758</v>
      </c>
      <c r="L1126" s="22" t="s">
        <v>214</v>
      </c>
      <c r="M1126" s="22" t="str">
        <f>HYPERLINK("https://ceds.ed.gov/cedselementdetails.aspx?termid=21451")</f>
        <v>https://ceds.ed.gov/cedselementdetails.aspx?termid=21451</v>
      </c>
    </row>
    <row r="1127" spans="1:13" ht="43.2" x14ac:dyDescent="0.3">
      <c r="A1127" s="22" t="s">
        <v>4759</v>
      </c>
      <c r="B1127" s="22" t="s">
        <v>4760</v>
      </c>
      <c r="C1127" s="23" t="s">
        <v>32</v>
      </c>
      <c r="D1127" s="24" t="s">
        <v>4107</v>
      </c>
      <c r="E1127" s="22"/>
      <c r="F1127" s="22" t="s">
        <v>1518</v>
      </c>
      <c r="G1127" s="22"/>
      <c r="H1127" s="22"/>
      <c r="I1127" s="25" t="s">
        <v>4761</v>
      </c>
      <c r="J1127" s="22"/>
      <c r="K1127" s="22" t="s">
        <v>4762</v>
      </c>
      <c r="L1127" s="22" t="s">
        <v>214</v>
      </c>
      <c r="M1127" s="22" t="str">
        <f>HYPERLINK("https://ceds.ed.gov/cedselementdetails.aspx?termid=21452")</f>
        <v>https://ceds.ed.gov/cedselementdetails.aspx?termid=21452</v>
      </c>
    </row>
    <row r="1128" spans="1:13" ht="43.2" x14ac:dyDescent="0.3">
      <c r="A1128" s="22" t="s">
        <v>4763</v>
      </c>
      <c r="B1128" s="22" t="s">
        <v>4764</v>
      </c>
      <c r="C1128" s="23" t="s">
        <v>32</v>
      </c>
      <c r="D1128" s="24" t="s">
        <v>4107</v>
      </c>
      <c r="E1128" s="22"/>
      <c r="F1128" s="22" t="s">
        <v>1518</v>
      </c>
      <c r="G1128" s="22"/>
      <c r="H1128" s="22"/>
      <c r="I1128" s="25" t="s">
        <v>4765</v>
      </c>
      <c r="J1128" s="22"/>
      <c r="K1128" s="22" t="s">
        <v>4766</v>
      </c>
      <c r="L1128" s="22" t="s">
        <v>214</v>
      </c>
      <c r="M1128" s="22" t="str">
        <f>HYPERLINK("https://ceds.ed.gov/cedselementdetails.aspx?termid=21454")</f>
        <v>https://ceds.ed.gov/cedselementdetails.aspx?termid=21454</v>
      </c>
    </row>
    <row r="1129" spans="1:13" x14ac:dyDescent="0.3">
      <c r="A1129" s="22" t="s">
        <v>4767</v>
      </c>
      <c r="B1129" s="22" t="s">
        <v>4768</v>
      </c>
      <c r="C1129" s="23" t="s">
        <v>32</v>
      </c>
      <c r="D1129" s="22" t="s">
        <v>1584</v>
      </c>
      <c r="E1129" s="22"/>
      <c r="F1129" s="22" t="s">
        <v>1844</v>
      </c>
      <c r="G1129" s="22"/>
      <c r="H1129" s="22"/>
      <c r="I1129" s="25" t="s">
        <v>4769</v>
      </c>
      <c r="J1129" s="22"/>
      <c r="K1129" s="22" t="s">
        <v>4770</v>
      </c>
      <c r="L1129" s="22"/>
      <c r="M1129" s="22" t="str">
        <f>HYPERLINK("https://ceds.ed.gov/cedselementdetails.aspx?termid=22829")</f>
        <v>https://ceds.ed.gov/cedselementdetails.aspx?termid=22829</v>
      </c>
    </row>
    <row r="1130" spans="1:13" ht="43.2" x14ac:dyDescent="0.3">
      <c r="A1130" s="22" t="s">
        <v>4771</v>
      </c>
      <c r="B1130" s="22" t="s">
        <v>4772</v>
      </c>
      <c r="C1130" s="23" t="s">
        <v>32</v>
      </c>
      <c r="D1130" s="22" t="s">
        <v>239</v>
      </c>
      <c r="E1130" s="22"/>
      <c r="F1130" s="22" t="s">
        <v>2888</v>
      </c>
      <c r="G1130" s="22"/>
      <c r="H1130" s="22"/>
      <c r="I1130" s="25" t="s">
        <v>4773</v>
      </c>
      <c r="J1130" s="22" t="s">
        <v>4774</v>
      </c>
      <c r="K1130" s="22" t="s">
        <v>4775</v>
      </c>
      <c r="L1130" s="24" t="s">
        <v>198</v>
      </c>
      <c r="M1130" s="22" t="str">
        <f>HYPERLINK("https://ceds.ed.gov/cedselementdetails.aspx?termid=21166")</f>
        <v>https://ceds.ed.gov/cedselementdetails.aspx?termid=21166</v>
      </c>
    </row>
    <row r="1131" spans="1:13" ht="129.6" x14ac:dyDescent="0.3">
      <c r="A1131" s="22" t="s">
        <v>4776</v>
      </c>
      <c r="B1131" s="22" t="s">
        <v>4777</v>
      </c>
      <c r="C1131" s="26" t="s">
        <v>8967</v>
      </c>
      <c r="D1131" s="24" t="s">
        <v>8968</v>
      </c>
      <c r="E1131" s="22"/>
      <c r="F1131" s="22"/>
      <c r="G1131" s="22"/>
      <c r="H1131" s="22"/>
      <c r="I1131" s="25" t="s">
        <v>4778</v>
      </c>
      <c r="J1131" s="22"/>
      <c r="K1131" s="22" t="s">
        <v>4779</v>
      </c>
      <c r="L1131" s="22"/>
      <c r="M1131" s="22" t="str">
        <f>HYPERLINK("https://ceds.ed.gov/cedselementdetails.aspx?termid=21167")</f>
        <v>https://ceds.ed.gov/cedselementdetails.aspx?termid=21167</v>
      </c>
    </row>
    <row r="1132" spans="1:13" ht="43.2" x14ac:dyDescent="0.3">
      <c r="A1132" s="22" t="s">
        <v>4780</v>
      </c>
      <c r="B1132" s="22" t="s">
        <v>4781</v>
      </c>
      <c r="C1132" s="26" t="s">
        <v>22</v>
      </c>
      <c r="D1132" s="22" t="s">
        <v>239</v>
      </c>
      <c r="E1132" s="22"/>
      <c r="F1132" s="22"/>
      <c r="G1132" s="22"/>
      <c r="H1132" s="22" t="s">
        <v>368</v>
      </c>
      <c r="I1132" s="25" t="s">
        <v>4782</v>
      </c>
      <c r="J1132" s="22"/>
      <c r="K1132" s="22" t="s">
        <v>4783</v>
      </c>
      <c r="L1132" s="22" t="s">
        <v>1568</v>
      </c>
      <c r="M1132" s="22" t="str">
        <f>HYPERLINK("https://ceds.ed.gov/cedselementdetails.aspx?termid=21727")</f>
        <v>https://ceds.ed.gov/cedselementdetails.aspx?termid=21727</v>
      </c>
    </row>
    <row r="1133" spans="1:13" ht="86.4" x14ac:dyDescent="0.3">
      <c r="A1133" s="22" t="s">
        <v>4784</v>
      </c>
      <c r="B1133" s="22" t="s">
        <v>8219</v>
      </c>
      <c r="C1133" s="26" t="s">
        <v>8969</v>
      </c>
      <c r="D1133" s="22" t="s">
        <v>66</v>
      </c>
      <c r="E1133" s="22"/>
      <c r="F1133" s="22"/>
      <c r="G1133" s="22"/>
      <c r="H1133" s="22" t="s">
        <v>4785</v>
      </c>
      <c r="I1133" s="25" t="s">
        <v>4786</v>
      </c>
      <c r="J1133" s="22"/>
      <c r="K1133" s="22" t="s">
        <v>4787</v>
      </c>
      <c r="L1133" s="22" t="s">
        <v>69</v>
      </c>
      <c r="M1133" s="22" t="str">
        <f>HYPERLINK("https://ceds.ed.gov/cedselementdetails.aspx?termid=21719")</f>
        <v>https://ceds.ed.gov/cedselementdetails.aspx?termid=21719</v>
      </c>
    </row>
    <row r="1134" spans="1:13" ht="129.6" x14ac:dyDescent="0.3">
      <c r="A1134" s="22" t="s">
        <v>4788</v>
      </c>
      <c r="B1134" s="22" t="s">
        <v>4789</v>
      </c>
      <c r="C1134" s="23" t="s">
        <v>7423</v>
      </c>
      <c r="D1134" s="24" t="s">
        <v>162</v>
      </c>
      <c r="E1134" s="22"/>
      <c r="F1134" s="22"/>
      <c r="G1134" s="22"/>
      <c r="H1134" s="22" t="s">
        <v>7994</v>
      </c>
      <c r="I1134" s="25" t="s">
        <v>4790</v>
      </c>
      <c r="J1134" s="22"/>
      <c r="K1134" s="22" t="s">
        <v>4791</v>
      </c>
      <c r="L1134" s="22" t="s">
        <v>214</v>
      </c>
      <c r="M1134" s="22" t="str">
        <f>HYPERLINK("https://ceds.ed.gov/cedselementdetails.aspx?termid=21438")</f>
        <v>https://ceds.ed.gov/cedselementdetails.aspx?termid=21438</v>
      </c>
    </row>
    <row r="1135" spans="1:13" ht="43.2" x14ac:dyDescent="0.3">
      <c r="A1135" s="22" t="s">
        <v>4792</v>
      </c>
      <c r="B1135" s="22" t="s">
        <v>4793</v>
      </c>
      <c r="C1135" s="23" t="s">
        <v>32</v>
      </c>
      <c r="D1135" s="22" t="s">
        <v>3218</v>
      </c>
      <c r="E1135" s="22"/>
      <c r="F1135" s="22" t="s">
        <v>1518</v>
      </c>
      <c r="G1135" s="22"/>
      <c r="H1135" s="22"/>
      <c r="I1135" s="25" t="s">
        <v>4794</v>
      </c>
      <c r="J1135" s="22"/>
      <c r="K1135" s="22" t="s">
        <v>4795</v>
      </c>
      <c r="L1135" s="24" t="s">
        <v>198</v>
      </c>
      <c r="M1135" s="22" t="str">
        <f>HYPERLINK("https://ceds.ed.gov/cedselementdetails.aspx?termid=21168")</f>
        <v>https://ceds.ed.gov/cedselementdetails.aspx?termid=21168</v>
      </c>
    </row>
    <row r="1136" spans="1:13" ht="43.2" x14ac:dyDescent="0.3">
      <c r="A1136" s="22" t="s">
        <v>4796</v>
      </c>
      <c r="B1136" s="22" t="s">
        <v>4797</v>
      </c>
      <c r="C1136" s="23" t="s">
        <v>32</v>
      </c>
      <c r="D1136" s="24" t="s">
        <v>4798</v>
      </c>
      <c r="E1136" s="22"/>
      <c r="F1136" s="22" t="s">
        <v>1518</v>
      </c>
      <c r="G1136" s="22"/>
      <c r="H1136" s="22"/>
      <c r="I1136" s="25" t="s">
        <v>4799</v>
      </c>
      <c r="J1136" s="22"/>
      <c r="K1136" s="22" t="s">
        <v>4800</v>
      </c>
      <c r="L1136" s="22" t="s">
        <v>4801</v>
      </c>
      <c r="M1136" s="22" t="str">
        <f>HYPERLINK("https://ceds.ed.gov/cedselementdetails.aspx?termid=21361")</f>
        <v>https://ceds.ed.gov/cedselementdetails.aspx?termid=21361</v>
      </c>
    </row>
    <row r="1137" spans="1:13" ht="43.2" x14ac:dyDescent="0.3">
      <c r="A1137" s="22" t="s">
        <v>4802</v>
      </c>
      <c r="B1137" s="22" t="s">
        <v>4803</v>
      </c>
      <c r="C1137" s="26" t="s">
        <v>8970</v>
      </c>
      <c r="D1137" s="22" t="s">
        <v>3218</v>
      </c>
      <c r="E1137" s="22"/>
      <c r="F1137" s="22"/>
      <c r="G1137" s="22"/>
      <c r="H1137" s="22"/>
      <c r="I1137" s="25" t="s">
        <v>4804</v>
      </c>
      <c r="J1137" s="22"/>
      <c r="K1137" s="22" t="s">
        <v>4805</v>
      </c>
      <c r="L1137" s="24" t="s">
        <v>198</v>
      </c>
      <c r="M1137" s="22" t="str">
        <f>HYPERLINK("https://ceds.ed.gov/cedselementdetails.aspx?termid=21169")</f>
        <v>https://ceds.ed.gov/cedselementdetails.aspx?termid=21169</v>
      </c>
    </row>
    <row r="1138" spans="1:13" ht="43.2" x14ac:dyDescent="0.3">
      <c r="A1138" s="22" t="s">
        <v>4806</v>
      </c>
      <c r="B1138" s="22" t="s">
        <v>4807</v>
      </c>
      <c r="C1138" s="23" t="s">
        <v>32</v>
      </c>
      <c r="D1138" s="24" t="s">
        <v>8460</v>
      </c>
      <c r="E1138" s="22" t="s">
        <v>172</v>
      </c>
      <c r="F1138" s="22" t="s">
        <v>317</v>
      </c>
      <c r="G1138" s="22" t="s">
        <v>8050</v>
      </c>
      <c r="H1138" s="22"/>
      <c r="I1138" s="25" t="s">
        <v>4808</v>
      </c>
      <c r="J1138" s="22"/>
      <c r="K1138" s="22" t="s">
        <v>4809</v>
      </c>
      <c r="L1138" s="22"/>
      <c r="M1138" s="22" t="str">
        <f>HYPERLINK("https://ceds.ed.gov/cedselementdetails.aspx?termid=21490")</f>
        <v>https://ceds.ed.gov/cedselementdetails.aspx?termid=21490</v>
      </c>
    </row>
    <row r="1139" spans="1:13" ht="28.8" x14ac:dyDescent="0.3">
      <c r="A1139" s="22" t="s">
        <v>4810</v>
      </c>
      <c r="B1139" s="22" t="s">
        <v>4811</v>
      </c>
      <c r="C1139" s="23" t="s">
        <v>32</v>
      </c>
      <c r="D1139" s="22" t="s">
        <v>1252</v>
      </c>
      <c r="E1139" s="22"/>
      <c r="F1139" s="22" t="s">
        <v>780</v>
      </c>
      <c r="G1139" s="22"/>
      <c r="H1139" s="22"/>
      <c r="I1139" s="25" t="s">
        <v>4812</v>
      </c>
      <c r="J1139" s="22"/>
      <c r="K1139" s="22" t="s">
        <v>4813</v>
      </c>
      <c r="L1139" s="24" t="s">
        <v>638</v>
      </c>
      <c r="M1139" s="22" t="str">
        <f>HYPERLINK("https://ceds.ed.gov/cedselementdetails.aspx?termid=21369")</f>
        <v>https://ceds.ed.gov/cedselementdetails.aspx?termid=21369</v>
      </c>
    </row>
    <row r="1140" spans="1:13" ht="86.4" x14ac:dyDescent="0.3">
      <c r="A1140" s="22" t="s">
        <v>4814</v>
      </c>
      <c r="B1140" s="22" t="s">
        <v>4815</v>
      </c>
      <c r="C1140" s="26" t="s">
        <v>8461</v>
      </c>
      <c r="D1140" s="24" t="s">
        <v>8462</v>
      </c>
      <c r="E1140" s="22" t="s">
        <v>172</v>
      </c>
      <c r="F1140" s="22"/>
      <c r="G1140" s="22" t="s">
        <v>7946</v>
      </c>
      <c r="H1140" s="22" t="s">
        <v>4816</v>
      </c>
      <c r="I1140" s="25" t="s">
        <v>4817</v>
      </c>
      <c r="J1140" s="22"/>
      <c r="K1140" s="22" t="s">
        <v>4818</v>
      </c>
      <c r="L1140" s="22" t="s">
        <v>69</v>
      </c>
      <c r="M1140" s="22" t="str">
        <f>HYPERLINK("https://ceds.ed.gov/cedselementdetails.aspx?termid=21712")</f>
        <v>https://ceds.ed.gov/cedselementdetails.aspx?termid=21712</v>
      </c>
    </row>
    <row r="1141" spans="1:13" ht="86.4" x14ac:dyDescent="0.3">
      <c r="A1141" s="22" t="s">
        <v>4819</v>
      </c>
      <c r="B1141" s="22" t="s">
        <v>4820</v>
      </c>
      <c r="C1141" s="26" t="s">
        <v>8971</v>
      </c>
      <c r="D1141" s="22" t="s">
        <v>66</v>
      </c>
      <c r="E1141" s="22"/>
      <c r="F1141" s="22"/>
      <c r="G1141" s="22"/>
      <c r="H1141" s="22" t="s">
        <v>2496</v>
      </c>
      <c r="I1141" s="25" t="s">
        <v>4821</v>
      </c>
      <c r="J1141" s="22"/>
      <c r="K1141" s="22" t="s">
        <v>4822</v>
      </c>
      <c r="L1141" s="22" t="s">
        <v>69</v>
      </c>
      <c r="M1141" s="22" t="str">
        <f>HYPERLINK("https://ceds.ed.gov/cedselementdetails.aspx?termid=21716")</f>
        <v>https://ceds.ed.gov/cedselementdetails.aspx?termid=21716</v>
      </c>
    </row>
    <row r="1142" spans="1:13" ht="43.2" x14ac:dyDescent="0.3">
      <c r="A1142" s="22" t="s">
        <v>4823</v>
      </c>
      <c r="B1142" s="22" t="s">
        <v>8220</v>
      </c>
      <c r="C1142" s="26" t="s">
        <v>22</v>
      </c>
      <c r="D1142" s="22" t="s">
        <v>66</v>
      </c>
      <c r="E1142" s="22"/>
      <c r="F1142" s="22"/>
      <c r="G1142" s="22"/>
      <c r="H1142" s="22" t="s">
        <v>3900</v>
      </c>
      <c r="I1142" s="25" t="s">
        <v>4824</v>
      </c>
      <c r="J1142" s="22"/>
      <c r="K1142" s="22" t="s">
        <v>4825</v>
      </c>
      <c r="L1142" s="22"/>
      <c r="M1142" s="22" t="str">
        <f>HYPERLINK("https://ceds.ed.gov/cedselementdetails.aspx?termid=21709")</f>
        <v>https://ceds.ed.gov/cedselementdetails.aspx?termid=21709</v>
      </c>
    </row>
    <row r="1143" spans="1:13" ht="187.2" x14ac:dyDescent="0.3">
      <c r="A1143" s="22" t="s">
        <v>4826</v>
      </c>
      <c r="B1143" s="22" t="s">
        <v>4827</v>
      </c>
      <c r="C1143" s="26" t="s">
        <v>8786</v>
      </c>
      <c r="D1143" s="24" t="s">
        <v>8787</v>
      </c>
      <c r="E1143" s="22"/>
      <c r="F1143" s="22"/>
      <c r="G1143" s="22"/>
      <c r="H1143" s="22" t="s">
        <v>8077</v>
      </c>
      <c r="I1143" s="25" t="s">
        <v>4828</v>
      </c>
      <c r="J1143" s="22"/>
      <c r="K1143" s="22" t="s">
        <v>4829</v>
      </c>
      <c r="L1143" s="22" t="s">
        <v>3099</v>
      </c>
      <c r="M1143" s="22" t="str">
        <f>HYPERLINK("https://ceds.ed.gov/cedselementdetails.aspx?termid=21334")</f>
        <v>https://ceds.ed.gov/cedselementdetails.aspx?termid=21334</v>
      </c>
    </row>
    <row r="1144" spans="1:13" x14ac:dyDescent="0.3">
      <c r="A1144" s="22" t="s">
        <v>4830</v>
      </c>
      <c r="B1144" s="22" t="s">
        <v>4831</v>
      </c>
      <c r="C1144" s="23" t="s">
        <v>32</v>
      </c>
      <c r="D1144" s="22" t="s">
        <v>4636</v>
      </c>
      <c r="E1144" s="22"/>
      <c r="F1144" s="22" t="s">
        <v>1518</v>
      </c>
      <c r="G1144" s="22"/>
      <c r="H1144" s="22"/>
      <c r="I1144" s="25" t="s">
        <v>4832</v>
      </c>
      <c r="J1144" s="22"/>
      <c r="K1144" s="22" t="s">
        <v>4833</v>
      </c>
      <c r="L1144" s="22"/>
      <c r="M1144" s="22" t="str">
        <f>HYPERLINK("https://ceds.ed.gov/cedselementdetails.aspx?termid=22875")</f>
        <v>https://ceds.ed.gov/cedselementdetails.aspx?termid=22875</v>
      </c>
    </row>
    <row r="1145" spans="1:13" ht="86.4" x14ac:dyDescent="0.3">
      <c r="A1145" s="22" t="s">
        <v>4834</v>
      </c>
      <c r="B1145" s="22" t="s">
        <v>4835</v>
      </c>
      <c r="C1145" s="26" t="s">
        <v>8972</v>
      </c>
      <c r="D1145" s="22" t="s">
        <v>1536</v>
      </c>
      <c r="E1145" s="22"/>
      <c r="F1145" s="22"/>
      <c r="G1145" s="22"/>
      <c r="H1145" s="22"/>
      <c r="I1145" s="25" t="s">
        <v>4836</v>
      </c>
      <c r="J1145" s="22"/>
      <c r="K1145" s="22" t="s">
        <v>4837</v>
      </c>
      <c r="L1145" s="22" t="s">
        <v>226</v>
      </c>
      <c r="M1145" s="22" t="str">
        <f>HYPERLINK("https://ceds.ed.gov/cedselementdetails.aspx?termid=21170")</f>
        <v>https://ceds.ed.gov/cedselementdetails.aspx?termid=21170</v>
      </c>
    </row>
    <row r="1146" spans="1:13" x14ac:dyDescent="0.3">
      <c r="A1146" s="22" t="s">
        <v>4838</v>
      </c>
      <c r="B1146" s="22" t="s">
        <v>4839</v>
      </c>
      <c r="C1146" s="23" t="s">
        <v>32</v>
      </c>
      <c r="D1146" s="22" t="s">
        <v>516</v>
      </c>
      <c r="E1146" s="22"/>
      <c r="F1146" s="22" t="s">
        <v>118</v>
      </c>
      <c r="G1146" s="22"/>
      <c r="H1146" s="22"/>
      <c r="I1146" s="25" t="s">
        <v>4840</v>
      </c>
      <c r="J1146" s="22"/>
      <c r="K1146" s="22" t="s">
        <v>4841</v>
      </c>
      <c r="L1146" s="22"/>
      <c r="M1146" s="22" t="str">
        <f>HYPERLINK("https://ceds.ed.gov/cedselementdetails.aspx?termid=22137")</f>
        <v>https://ceds.ed.gov/cedselementdetails.aspx?termid=22137</v>
      </c>
    </row>
    <row r="1147" spans="1:13" ht="72" x14ac:dyDescent="0.3">
      <c r="A1147" s="22" t="s">
        <v>8221</v>
      </c>
      <c r="B1147" s="22" t="s">
        <v>8222</v>
      </c>
      <c r="C1147" s="26" t="s">
        <v>22</v>
      </c>
      <c r="D1147" s="24" t="s">
        <v>8389</v>
      </c>
      <c r="E1147" s="22" t="s">
        <v>167</v>
      </c>
      <c r="F1147" s="22" t="s">
        <v>2</v>
      </c>
      <c r="G1147" s="22" t="s">
        <v>7949</v>
      </c>
      <c r="H1147" s="22"/>
      <c r="I1147" s="25" t="s">
        <v>8368</v>
      </c>
      <c r="J1147" s="22"/>
      <c r="K1147" s="22" t="s">
        <v>8223</v>
      </c>
      <c r="L1147" s="22"/>
      <c r="M1147" s="22" t="str">
        <f>HYPERLINK("https://ceds.ed.gov/cedselementdetails.aspx?termid=22989")</f>
        <v>https://ceds.ed.gov/cedselementdetails.aspx?termid=22989</v>
      </c>
    </row>
    <row r="1148" spans="1:13" ht="57.6" x14ac:dyDescent="0.3">
      <c r="A1148" s="22" t="s">
        <v>4842</v>
      </c>
      <c r="B1148" s="22" t="s">
        <v>4843</v>
      </c>
      <c r="C1148" s="26" t="s">
        <v>8463</v>
      </c>
      <c r="D1148" s="24" t="s">
        <v>8464</v>
      </c>
      <c r="E1148" s="22" t="s">
        <v>172</v>
      </c>
      <c r="F1148" s="22"/>
      <c r="G1148" s="22" t="s">
        <v>7946</v>
      </c>
      <c r="H1148" s="22"/>
      <c r="I1148" s="25" t="s">
        <v>4844</v>
      </c>
      <c r="J1148" s="22"/>
      <c r="K1148" s="22" t="s">
        <v>4845</v>
      </c>
      <c r="L1148" s="22" t="s">
        <v>226</v>
      </c>
      <c r="M1148" s="22" t="str">
        <f>HYPERLINK("https://ceds.ed.gov/cedselementdetails.aspx?termid=21580")</f>
        <v>https://ceds.ed.gov/cedselementdetails.aspx?termid=21580</v>
      </c>
    </row>
    <row r="1149" spans="1:13" ht="43.2" x14ac:dyDescent="0.3">
      <c r="A1149" s="22" t="s">
        <v>7549</v>
      </c>
      <c r="B1149" s="22" t="s">
        <v>7550</v>
      </c>
      <c r="C1149" s="26" t="s">
        <v>22</v>
      </c>
      <c r="D1149" s="22" t="s">
        <v>8032</v>
      </c>
      <c r="E1149" s="22"/>
      <c r="F1149" s="22"/>
      <c r="G1149" s="22"/>
      <c r="H1149" s="22" t="s">
        <v>7551</v>
      </c>
      <c r="I1149" s="25" t="s">
        <v>7552</v>
      </c>
      <c r="J1149" s="22"/>
      <c r="K1149" s="22" t="s">
        <v>7553</v>
      </c>
      <c r="L1149" s="22"/>
      <c r="M1149" s="22" t="str">
        <f>HYPERLINK("https://ceds.ed.gov/cedselementdetails.aspx?termid=22936")</f>
        <v>https://ceds.ed.gov/cedselementdetails.aspx?termid=22936</v>
      </c>
    </row>
    <row r="1150" spans="1:13" ht="172.8" x14ac:dyDescent="0.3">
      <c r="A1150" s="22" t="s">
        <v>7554</v>
      </c>
      <c r="B1150" s="22" t="s">
        <v>7555</v>
      </c>
      <c r="C1150" s="26" t="s">
        <v>8973</v>
      </c>
      <c r="D1150" s="22" t="s">
        <v>8032</v>
      </c>
      <c r="E1150" s="22"/>
      <c r="F1150" s="22"/>
      <c r="G1150" s="22"/>
      <c r="H1150" s="22" t="s">
        <v>7556</v>
      </c>
      <c r="I1150" s="25" t="s">
        <v>7557</v>
      </c>
      <c r="J1150" s="22"/>
      <c r="K1150" s="22" t="s">
        <v>7558</v>
      </c>
      <c r="L1150" s="22"/>
      <c r="M1150" s="22" t="str">
        <f>HYPERLINK("https://ceds.ed.gov/cedselementdetails.aspx?termid=22937")</f>
        <v>https://ceds.ed.gov/cedselementdetails.aspx?termid=22937</v>
      </c>
    </row>
    <row r="1151" spans="1:13" ht="158.4" x14ac:dyDescent="0.3">
      <c r="A1151" s="22" t="s">
        <v>7559</v>
      </c>
      <c r="B1151" s="22" t="s">
        <v>7560</v>
      </c>
      <c r="C1151" s="23" t="s">
        <v>32</v>
      </c>
      <c r="D1151" s="24" t="s">
        <v>8974</v>
      </c>
      <c r="E1151" s="22"/>
      <c r="F1151" s="22" t="s">
        <v>148</v>
      </c>
      <c r="G1151" s="22"/>
      <c r="H1151" s="22" t="s">
        <v>7561</v>
      </c>
      <c r="I1151" s="25" t="s">
        <v>7562</v>
      </c>
      <c r="J1151" s="22"/>
      <c r="K1151" s="22" t="s">
        <v>7563</v>
      </c>
      <c r="L1151" s="22"/>
      <c r="M1151" s="22" t="str">
        <f>HYPERLINK("https://ceds.ed.gov/cedselementdetails.aspx?termid=22938")</f>
        <v>https://ceds.ed.gov/cedselementdetails.aspx?termid=22938</v>
      </c>
    </row>
    <row r="1152" spans="1:13" ht="57.6" x14ac:dyDescent="0.3">
      <c r="A1152" s="22" t="s">
        <v>7564</v>
      </c>
      <c r="B1152" s="22" t="s">
        <v>7565</v>
      </c>
      <c r="C1152" s="26" t="s">
        <v>8975</v>
      </c>
      <c r="D1152" s="22" t="s">
        <v>8032</v>
      </c>
      <c r="E1152" s="22"/>
      <c r="F1152" s="22"/>
      <c r="G1152" s="22"/>
      <c r="H1152" s="22" t="s">
        <v>7566</v>
      </c>
      <c r="I1152" s="25" t="s">
        <v>7567</v>
      </c>
      <c r="J1152" s="22"/>
      <c r="K1152" s="22" t="s">
        <v>7568</v>
      </c>
      <c r="L1152" s="22"/>
      <c r="M1152" s="22" t="str">
        <f>HYPERLINK("https://ceds.ed.gov/cedselementdetails.aspx?termid=22939")</f>
        <v>https://ceds.ed.gov/cedselementdetails.aspx?termid=22939</v>
      </c>
    </row>
    <row r="1153" spans="1:13" ht="158.4" x14ac:dyDescent="0.3">
      <c r="A1153" s="22" t="s">
        <v>7569</v>
      </c>
      <c r="B1153" s="22" t="s">
        <v>7570</v>
      </c>
      <c r="C1153" s="23" t="s">
        <v>32</v>
      </c>
      <c r="D1153" s="24" t="s">
        <v>8974</v>
      </c>
      <c r="E1153" s="22"/>
      <c r="F1153" s="22" t="s">
        <v>845</v>
      </c>
      <c r="G1153" s="22"/>
      <c r="H1153" s="22" t="s">
        <v>7571</v>
      </c>
      <c r="I1153" s="25" t="s">
        <v>7572</v>
      </c>
      <c r="J1153" s="22"/>
      <c r="K1153" s="22" t="s">
        <v>7573</v>
      </c>
      <c r="L1153" s="22"/>
      <c r="M1153" s="22" t="str">
        <f>HYPERLINK("https://ceds.ed.gov/cedselementdetails.aspx?termid=22940")</f>
        <v>https://ceds.ed.gov/cedselementdetails.aspx?termid=22940</v>
      </c>
    </row>
    <row r="1154" spans="1:13" ht="158.4" x14ac:dyDescent="0.3">
      <c r="A1154" s="22" t="s">
        <v>7574</v>
      </c>
      <c r="B1154" s="22" t="s">
        <v>7575</v>
      </c>
      <c r="C1154" s="23" t="s">
        <v>32</v>
      </c>
      <c r="D1154" s="24" t="s">
        <v>8974</v>
      </c>
      <c r="E1154" s="22"/>
      <c r="F1154" s="22" t="s">
        <v>148</v>
      </c>
      <c r="G1154" s="22"/>
      <c r="H1154" s="22" t="s">
        <v>7576</v>
      </c>
      <c r="I1154" s="25" t="s">
        <v>7577</v>
      </c>
      <c r="J1154" s="22"/>
      <c r="K1154" s="22" t="s">
        <v>7578</v>
      </c>
      <c r="L1154" s="22"/>
      <c r="M1154" s="22" t="str">
        <f>HYPERLINK("https://ceds.ed.gov/cedselementdetails.aspx?termid=22941")</f>
        <v>https://ceds.ed.gov/cedselementdetails.aspx?termid=22941</v>
      </c>
    </row>
    <row r="1155" spans="1:13" x14ac:dyDescent="0.3">
      <c r="A1155" s="22" t="s">
        <v>4846</v>
      </c>
      <c r="B1155" s="22" t="s">
        <v>8224</v>
      </c>
      <c r="C1155" s="23" t="s">
        <v>32</v>
      </c>
      <c r="D1155" s="22" t="s">
        <v>1536</v>
      </c>
      <c r="E1155" s="22"/>
      <c r="F1155" s="22" t="s">
        <v>317</v>
      </c>
      <c r="G1155" s="22"/>
      <c r="H1155" s="22"/>
      <c r="I1155" s="25" t="s">
        <v>4847</v>
      </c>
      <c r="J1155" s="22"/>
      <c r="K1155" s="22" t="s">
        <v>4848</v>
      </c>
      <c r="L1155" s="22"/>
      <c r="M1155" s="22" t="str">
        <f>HYPERLINK("https://ceds.ed.gov/cedselementdetails.aspx?termid=21665")</f>
        <v>https://ceds.ed.gov/cedselementdetails.aspx?termid=21665</v>
      </c>
    </row>
    <row r="1156" spans="1:13" x14ac:dyDescent="0.3">
      <c r="A1156" s="22" t="s">
        <v>4849</v>
      </c>
      <c r="B1156" s="22" t="s">
        <v>8225</v>
      </c>
      <c r="C1156" s="23" t="s">
        <v>32</v>
      </c>
      <c r="D1156" s="22" t="s">
        <v>1536</v>
      </c>
      <c r="E1156" s="22"/>
      <c r="F1156" s="22" t="s">
        <v>317</v>
      </c>
      <c r="G1156" s="22"/>
      <c r="H1156" s="22"/>
      <c r="I1156" s="25" t="s">
        <v>4850</v>
      </c>
      <c r="J1156" s="22"/>
      <c r="K1156" s="22" t="s">
        <v>4851</v>
      </c>
      <c r="L1156" s="22"/>
      <c r="M1156" s="22" t="str">
        <f>HYPERLINK("https://ceds.ed.gov/cedselementdetails.aspx?termid=21664")</f>
        <v>https://ceds.ed.gov/cedselementdetails.aspx?termid=21664</v>
      </c>
    </row>
    <row r="1157" spans="1:13" x14ac:dyDescent="0.3">
      <c r="A1157" s="22" t="s">
        <v>4852</v>
      </c>
      <c r="B1157" s="22" t="s">
        <v>8226</v>
      </c>
      <c r="C1157" s="23" t="s">
        <v>32</v>
      </c>
      <c r="D1157" s="22" t="s">
        <v>1536</v>
      </c>
      <c r="E1157" s="22"/>
      <c r="F1157" s="22" t="s">
        <v>317</v>
      </c>
      <c r="G1157" s="22"/>
      <c r="H1157" s="22"/>
      <c r="I1157" s="25" t="s">
        <v>4853</v>
      </c>
      <c r="J1157" s="22"/>
      <c r="K1157" s="22" t="s">
        <v>4854</v>
      </c>
      <c r="L1157" s="22"/>
      <c r="M1157" s="22" t="str">
        <f>HYPERLINK("https://ceds.ed.gov/cedselementdetails.aspx?termid=21661")</f>
        <v>https://ceds.ed.gov/cedselementdetails.aspx?termid=21661</v>
      </c>
    </row>
    <row r="1158" spans="1:13" x14ac:dyDescent="0.3">
      <c r="A1158" s="22" t="s">
        <v>4855</v>
      </c>
      <c r="B1158" s="22" t="s">
        <v>8227</v>
      </c>
      <c r="C1158" s="23" t="s">
        <v>32</v>
      </c>
      <c r="D1158" s="22" t="s">
        <v>1536</v>
      </c>
      <c r="E1158" s="22"/>
      <c r="F1158" s="22" t="s">
        <v>317</v>
      </c>
      <c r="G1158" s="22"/>
      <c r="H1158" s="22"/>
      <c r="I1158" s="25" t="s">
        <v>4856</v>
      </c>
      <c r="J1158" s="22"/>
      <c r="K1158" s="22" t="s">
        <v>4857</v>
      </c>
      <c r="L1158" s="22"/>
      <c r="M1158" s="22" t="str">
        <f>HYPERLINK("https://ceds.ed.gov/cedselementdetails.aspx?termid=21660")</f>
        <v>https://ceds.ed.gov/cedselementdetails.aspx?termid=21660</v>
      </c>
    </row>
    <row r="1159" spans="1:13" x14ac:dyDescent="0.3">
      <c r="A1159" s="22" t="s">
        <v>4858</v>
      </c>
      <c r="B1159" s="22" t="s">
        <v>8228</v>
      </c>
      <c r="C1159" s="23" t="s">
        <v>32</v>
      </c>
      <c r="D1159" s="22" t="s">
        <v>1536</v>
      </c>
      <c r="E1159" s="22"/>
      <c r="F1159" s="22" t="s">
        <v>317</v>
      </c>
      <c r="G1159" s="22"/>
      <c r="H1159" s="22"/>
      <c r="I1159" s="25" t="s">
        <v>4859</v>
      </c>
      <c r="J1159" s="22"/>
      <c r="K1159" s="22" t="s">
        <v>4860</v>
      </c>
      <c r="L1159" s="22"/>
      <c r="M1159" s="22" t="str">
        <f>HYPERLINK("https://ceds.ed.gov/cedselementdetails.aspx?termid=21663")</f>
        <v>https://ceds.ed.gov/cedselementdetails.aspx?termid=21663</v>
      </c>
    </row>
    <row r="1160" spans="1:13" x14ac:dyDescent="0.3">
      <c r="A1160" s="22" t="s">
        <v>4861</v>
      </c>
      <c r="B1160" s="22" t="s">
        <v>8229</v>
      </c>
      <c r="C1160" s="23" t="s">
        <v>32</v>
      </c>
      <c r="D1160" s="22" t="s">
        <v>1536</v>
      </c>
      <c r="E1160" s="22"/>
      <c r="F1160" s="22" t="s">
        <v>317</v>
      </c>
      <c r="G1160" s="22"/>
      <c r="H1160" s="22"/>
      <c r="I1160" s="25" t="s">
        <v>4862</v>
      </c>
      <c r="J1160" s="22"/>
      <c r="K1160" s="22" t="s">
        <v>4863</v>
      </c>
      <c r="L1160" s="22"/>
      <c r="M1160" s="22" t="str">
        <f>HYPERLINK("https://ceds.ed.gov/cedselementdetails.aspx?termid=21662")</f>
        <v>https://ceds.ed.gov/cedselementdetails.aspx?termid=21662</v>
      </c>
    </row>
    <row r="1161" spans="1:13" x14ac:dyDescent="0.3">
      <c r="A1161" s="22" t="s">
        <v>4864</v>
      </c>
      <c r="B1161" s="22" t="s">
        <v>8230</v>
      </c>
      <c r="C1161" s="23" t="s">
        <v>32</v>
      </c>
      <c r="D1161" s="22" t="s">
        <v>239</v>
      </c>
      <c r="E1161" s="22"/>
      <c r="F1161" s="22" t="s">
        <v>79</v>
      </c>
      <c r="G1161" s="22"/>
      <c r="H1161" s="22"/>
      <c r="I1161" s="25" t="s">
        <v>4865</v>
      </c>
      <c r="J1161" s="22"/>
      <c r="K1161" s="22" t="s">
        <v>4866</v>
      </c>
      <c r="L1161" s="22" t="s">
        <v>242</v>
      </c>
      <c r="M1161" s="22" t="str">
        <f>HYPERLINK("https://ceds.ed.gov/cedselementdetails.aspx?termid=22592")</f>
        <v>https://ceds.ed.gov/cedselementdetails.aspx?termid=22592</v>
      </c>
    </row>
    <row r="1162" spans="1:13" ht="409.6" x14ac:dyDescent="0.3">
      <c r="A1162" s="22" t="s">
        <v>4867</v>
      </c>
      <c r="B1162" s="22" t="s">
        <v>4868</v>
      </c>
      <c r="C1162" s="26" t="s">
        <v>8976</v>
      </c>
      <c r="D1162" s="22" t="s">
        <v>4869</v>
      </c>
      <c r="E1162" s="22"/>
      <c r="F1162" s="22"/>
      <c r="G1162" s="22"/>
      <c r="H1162" s="22"/>
      <c r="I1162" s="25" t="s">
        <v>4870</v>
      </c>
      <c r="J1162" s="22"/>
      <c r="K1162" s="22" t="s">
        <v>4871</v>
      </c>
      <c r="L1162" s="22"/>
      <c r="M1162" s="22" t="str">
        <f>HYPERLINK("https://ceds.ed.gov/cedselementdetails.aspx?termid=22652")</f>
        <v>https://ceds.ed.gov/cedselementdetails.aspx?termid=22652</v>
      </c>
    </row>
    <row r="1163" spans="1:13" ht="201.6" x14ac:dyDescent="0.3">
      <c r="A1163" s="22" t="s">
        <v>4872</v>
      </c>
      <c r="B1163" s="22" t="s">
        <v>4873</v>
      </c>
      <c r="C1163" s="26" t="s">
        <v>8977</v>
      </c>
      <c r="D1163" s="22" t="s">
        <v>4869</v>
      </c>
      <c r="E1163" s="22"/>
      <c r="F1163" s="22"/>
      <c r="G1163" s="22"/>
      <c r="H1163" s="22" t="s">
        <v>4874</v>
      </c>
      <c r="I1163" s="25" t="s">
        <v>4875</v>
      </c>
      <c r="J1163" s="22"/>
      <c r="K1163" s="22" t="s">
        <v>4876</v>
      </c>
      <c r="L1163" s="22"/>
      <c r="M1163" s="22" t="str">
        <f>HYPERLINK("https://ceds.ed.gov/cedselementdetails.aspx?termid=22640")</f>
        <v>https://ceds.ed.gov/cedselementdetails.aspx?termid=22640</v>
      </c>
    </row>
    <row r="1164" spans="1:13" ht="86.4" x14ac:dyDescent="0.3">
      <c r="A1164" s="22" t="s">
        <v>4877</v>
      </c>
      <c r="B1164" s="22" t="s">
        <v>4878</v>
      </c>
      <c r="C1164" s="26" t="s">
        <v>8978</v>
      </c>
      <c r="D1164" s="22" t="s">
        <v>4869</v>
      </c>
      <c r="E1164" s="22"/>
      <c r="F1164" s="22"/>
      <c r="G1164" s="22"/>
      <c r="H1164" s="22"/>
      <c r="I1164" s="25" t="s">
        <v>4879</v>
      </c>
      <c r="J1164" s="22"/>
      <c r="K1164" s="22" t="s">
        <v>4880</v>
      </c>
      <c r="L1164" s="22"/>
      <c r="M1164" s="22" t="str">
        <f>HYPERLINK("https://ceds.ed.gov/cedselementdetails.aspx?termid=22661")</f>
        <v>https://ceds.ed.gov/cedselementdetails.aspx?termid=22661</v>
      </c>
    </row>
    <row r="1165" spans="1:13" ht="409.6" x14ac:dyDescent="0.3">
      <c r="A1165" s="22" t="s">
        <v>4881</v>
      </c>
      <c r="B1165" s="22" t="s">
        <v>4882</v>
      </c>
      <c r="C1165" s="26" t="s">
        <v>8979</v>
      </c>
      <c r="D1165" s="22" t="s">
        <v>4869</v>
      </c>
      <c r="E1165" s="22"/>
      <c r="F1165" s="22"/>
      <c r="G1165" s="22"/>
      <c r="H1165" s="22"/>
      <c r="I1165" s="25" t="s">
        <v>4883</v>
      </c>
      <c r="J1165" s="22"/>
      <c r="K1165" s="22" t="s">
        <v>4884</v>
      </c>
      <c r="L1165" s="22"/>
      <c r="M1165" s="22" t="str">
        <f>HYPERLINK("https://ceds.ed.gov/cedselementdetails.aspx?termid=22654")</f>
        <v>https://ceds.ed.gov/cedselementdetails.aspx?termid=22654</v>
      </c>
    </row>
    <row r="1166" spans="1:13" ht="86.4" x14ac:dyDescent="0.3">
      <c r="A1166" s="22" t="s">
        <v>4885</v>
      </c>
      <c r="B1166" s="22" t="s">
        <v>4886</v>
      </c>
      <c r="C1166" s="26" t="s">
        <v>8980</v>
      </c>
      <c r="D1166" s="22" t="s">
        <v>4869</v>
      </c>
      <c r="E1166" s="22"/>
      <c r="F1166" s="22"/>
      <c r="G1166" s="22"/>
      <c r="H1166" s="22"/>
      <c r="I1166" s="25" t="s">
        <v>4887</v>
      </c>
      <c r="J1166" s="22"/>
      <c r="K1166" s="22" t="s">
        <v>4888</v>
      </c>
      <c r="L1166" s="22"/>
      <c r="M1166" s="22" t="str">
        <f>HYPERLINK("https://ceds.ed.gov/cedselementdetails.aspx?termid=22655")</f>
        <v>https://ceds.ed.gov/cedselementdetails.aspx?termid=22655</v>
      </c>
    </row>
    <row r="1167" spans="1:13" ht="244.8" x14ac:dyDescent="0.3">
      <c r="A1167" s="22" t="s">
        <v>4889</v>
      </c>
      <c r="B1167" s="22" t="s">
        <v>4890</v>
      </c>
      <c r="C1167" s="26" t="s">
        <v>8981</v>
      </c>
      <c r="D1167" s="22" t="s">
        <v>4869</v>
      </c>
      <c r="E1167" s="22"/>
      <c r="F1167" s="22"/>
      <c r="G1167" s="22"/>
      <c r="H1167" s="22"/>
      <c r="I1167" s="25" t="s">
        <v>4891</v>
      </c>
      <c r="J1167" s="22"/>
      <c r="K1167" s="22" t="s">
        <v>4892</v>
      </c>
      <c r="L1167" s="22"/>
      <c r="M1167" s="22" t="str">
        <f>HYPERLINK("https://ceds.ed.gov/cedselementdetails.aspx?termid=22659")</f>
        <v>https://ceds.ed.gov/cedselementdetails.aspx?termid=22659</v>
      </c>
    </row>
    <row r="1168" spans="1:13" ht="409.6" x14ac:dyDescent="0.3">
      <c r="A1168" s="22" t="s">
        <v>4893</v>
      </c>
      <c r="B1168" s="22" t="s">
        <v>4894</v>
      </c>
      <c r="C1168" s="26" t="s">
        <v>8982</v>
      </c>
      <c r="D1168" s="22" t="s">
        <v>4869</v>
      </c>
      <c r="E1168" s="22"/>
      <c r="F1168" s="22"/>
      <c r="G1168" s="22"/>
      <c r="H1168" s="22"/>
      <c r="I1168" s="25" t="s">
        <v>4895</v>
      </c>
      <c r="J1168" s="22"/>
      <c r="K1168" s="22" t="s">
        <v>4896</v>
      </c>
      <c r="L1168" s="22"/>
      <c r="M1168" s="22" t="str">
        <f>HYPERLINK("https://ceds.ed.gov/cedselementdetails.aspx?termid=22651")</f>
        <v>https://ceds.ed.gov/cedselementdetails.aspx?termid=22651</v>
      </c>
    </row>
    <row r="1169" spans="1:13" ht="201.6" x14ac:dyDescent="0.3">
      <c r="A1169" s="22" t="s">
        <v>4897</v>
      </c>
      <c r="B1169" s="22" t="s">
        <v>4898</v>
      </c>
      <c r="C1169" s="26" t="s">
        <v>8983</v>
      </c>
      <c r="D1169" s="22" t="s">
        <v>4869</v>
      </c>
      <c r="E1169" s="22"/>
      <c r="F1169" s="22"/>
      <c r="G1169" s="22"/>
      <c r="H1169" s="22" t="s">
        <v>4874</v>
      </c>
      <c r="I1169" s="25" t="s">
        <v>4899</v>
      </c>
      <c r="J1169" s="22"/>
      <c r="K1169" s="22" t="s">
        <v>4900</v>
      </c>
      <c r="L1169" s="22"/>
      <c r="M1169" s="22" t="str">
        <f>HYPERLINK("https://ceds.ed.gov/cedselementdetails.aspx?termid=22656")</f>
        <v>https://ceds.ed.gov/cedselementdetails.aspx?termid=22656</v>
      </c>
    </row>
    <row r="1170" spans="1:13" ht="409.6" x14ac:dyDescent="0.3">
      <c r="A1170" s="22" t="s">
        <v>4901</v>
      </c>
      <c r="B1170" s="22" t="s">
        <v>4902</v>
      </c>
      <c r="C1170" s="26" t="s">
        <v>8984</v>
      </c>
      <c r="D1170" s="22" t="s">
        <v>4869</v>
      </c>
      <c r="E1170" s="22"/>
      <c r="F1170" s="22"/>
      <c r="G1170" s="22"/>
      <c r="H1170" s="22"/>
      <c r="I1170" s="25" t="s">
        <v>4903</v>
      </c>
      <c r="J1170" s="22"/>
      <c r="K1170" s="22" t="s">
        <v>4904</v>
      </c>
      <c r="L1170" s="22"/>
      <c r="M1170" s="22" t="str">
        <f>HYPERLINK("https://ceds.ed.gov/cedselementdetails.aspx?termid=22653")</f>
        <v>https://ceds.ed.gov/cedselementdetails.aspx?termid=22653</v>
      </c>
    </row>
    <row r="1171" spans="1:13" ht="273.60000000000002" x14ac:dyDescent="0.3">
      <c r="A1171" s="22" t="s">
        <v>4905</v>
      </c>
      <c r="B1171" s="22" t="s">
        <v>4906</v>
      </c>
      <c r="C1171" s="26" t="s">
        <v>8985</v>
      </c>
      <c r="D1171" s="22" t="s">
        <v>4869</v>
      </c>
      <c r="E1171" s="22"/>
      <c r="F1171" s="22"/>
      <c r="G1171" s="22"/>
      <c r="H1171" s="22"/>
      <c r="I1171" s="25" t="s">
        <v>4907</v>
      </c>
      <c r="J1171" s="22"/>
      <c r="K1171" s="22" t="s">
        <v>4908</v>
      </c>
      <c r="L1171" s="22"/>
      <c r="M1171" s="22" t="str">
        <f>HYPERLINK("https://ceds.ed.gov/cedselementdetails.aspx?termid=22658")</f>
        <v>https://ceds.ed.gov/cedselementdetails.aspx?termid=22658</v>
      </c>
    </row>
    <row r="1172" spans="1:13" ht="100.8" x14ac:dyDescent="0.3">
      <c r="A1172" s="22" t="s">
        <v>4909</v>
      </c>
      <c r="B1172" s="22" t="s">
        <v>4910</v>
      </c>
      <c r="C1172" s="26" t="s">
        <v>8986</v>
      </c>
      <c r="D1172" s="22" t="s">
        <v>4869</v>
      </c>
      <c r="E1172" s="22"/>
      <c r="F1172" s="22"/>
      <c r="G1172" s="22"/>
      <c r="H1172" s="22"/>
      <c r="I1172" s="25" t="s">
        <v>4911</v>
      </c>
      <c r="J1172" s="22"/>
      <c r="K1172" s="22" t="s">
        <v>4912</v>
      </c>
      <c r="L1172" s="22"/>
      <c r="M1172" s="22" t="str">
        <f>HYPERLINK("https://ceds.ed.gov/cedselementdetails.aspx?termid=22660")</f>
        <v>https://ceds.ed.gov/cedselementdetails.aspx?termid=22660</v>
      </c>
    </row>
    <row r="1173" spans="1:13" ht="115.2" x14ac:dyDescent="0.3">
      <c r="A1173" s="22" t="s">
        <v>4913</v>
      </c>
      <c r="B1173" s="22" t="s">
        <v>4914</v>
      </c>
      <c r="C1173" s="26" t="s">
        <v>8987</v>
      </c>
      <c r="D1173" s="22" t="s">
        <v>4869</v>
      </c>
      <c r="E1173" s="22"/>
      <c r="F1173" s="22"/>
      <c r="G1173" s="22"/>
      <c r="H1173" s="22" t="s">
        <v>4915</v>
      </c>
      <c r="I1173" s="25" t="s">
        <v>4916</v>
      </c>
      <c r="J1173" s="22"/>
      <c r="K1173" s="22" t="s">
        <v>4917</v>
      </c>
      <c r="L1173" s="22"/>
      <c r="M1173" s="22" t="str">
        <f>HYPERLINK("https://ceds.ed.gov/cedselementdetails.aspx?termid=22657")</f>
        <v>https://ceds.ed.gov/cedselementdetails.aspx?termid=22657</v>
      </c>
    </row>
    <row r="1174" spans="1:13" ht="360" x14ac:dyDescent="0.3">
      <c r="A1174" s="22" t="s">
        <v>4918</v>
      </c>
      <c r="B1174" s="22" t="s">
        <v>4919</v>
      </c>
      <c r="C1174" s="26" t="s">
        <v>8465</v>
      </c>
      <c r="D1174" s="24" t="s">
        <v>8398</v>
      </c>
      <c r="E1174" s="22" t="s">
        <v>172</v>
      </c>
      <c r="F1174" s="22"/>
      <c r="G1174" s="22" t="s">
        <v>7946</v>
      </c>
      <c r="H1174" s="22" t="s">
        <v>4920</v>
      </c>
      <c r="I1174" s="25" t="s">
        <v>4921</v>
      </c>
      <c r="J1174" s="22"/>
      <c r="K1174" s="22" t="s">
        <v>4922</v>
      </c>
      <c r="L1174" s="22" t="s">
        <v>69</v>
      </c>
      <c r="M1174" s="22" t="str">
        <f>HYPERLINK("https://ceds.ed.gov/cedselementdetails.aspx?termid=21708")</f>
        <v>https://ceds.ed.gov/cedselementdetails.aspx?termid=21708</v>
      </c>
    </row>
    <row r="1175" spans="1:13" ht="409.6" x14ac:dyDescent="0.3">
      <c r="A1175" s="22" t="s">
        <v>4923</v>
      </c>
      <c r="B1175" s="22" t="s">
        <v>4924</v>
      </c>
      <c r="C1175" s="23" t="s">
        <v>7423</v>
      </c>
      <c r="D1175" s="24" t="s">
        <v>8466</v>
      </c>
      <c r="E1175" s="22"/>
      <c r="F1175" s="22"/>
      <c r="G1175" s="22"/>
      <c r="H1175" s="22" t="s">
        <v>7994</v>
      </c>
      <c r="I1175" s="25" t="s">
        <v>4925</v>
      </c>
      <c r="J1175" s="22"/>
      <c r="K1175" s="22" t="s">
        <v>4926</v>
      </c>
      <c r="L1175" s="24" t="s">
        <v>4927</v>
      </c>
      <c r="M1175" s="22" t="str">
        <f>HYPERLINK("https://ceds.ed.gov/cedselementdetails.aspx?termid=21317")</f>
        <v>https://ceds.ed.gov/cedselementdetails.aspx?termid=21317</v>
      </c>
    </row>
    <row r="1176" spans="1:13" ht="409.6" x14ac:dyDescent="0.3">
      <c r="A1176" s="22" t="s">
        <v>4928</v>
      </c>
      <c r="B1176" s="22" t="s">
        <v>4924</v>
      </c>
      <c r="C1176" s="23" t="s">
        <v>7423</v>
      </c>
      <c r="D1176" s="24" t="s">
        <v>8466</v>
      </c>
      <c r="E1176" s="22" t="s">
        <v>172</v>
      </c>
      <c r="F1176" s="22"/>
      <c r="G1176" s="22" t="s">
        <v>8231</v>
      </c>
      <c r="H1176" s="22" t="s">
        <v>8232</v>
      </c>
      <c r="I1176" s="25" t="s">
        <v>4929</v>
      </c>
      <c r="J1176" s="22"/>
      <c r="K1176" s="22" t="s">
        <v>4930</v>
      </c>
      <c r="L1176" s="22"/>
      <c r="M1176" s="22" t="str">
        <f>HYPERLINK("https://ceds.ed.gov/cedselementdetails.aspx?termid=22618")</f>
        <v>https://ceds.ed.gov/cedselementdetails.aspx?termid=22618</v>
      </c>
    </row>
    <row r="1177" spans="1:13" ht="409.6" x14ac:dyDescent="0.3">
      <c r="A1177" s="22" t="s">
        <v>4931</v>
      </c>
      <c r="B1177" s="22" t="s">
        <v>4932</v>
      </c>
      <c r="C1177" s="26" t="s">
        <v>8988</v>
      </c>
      <c r="D1177" s="24" t="s">
        <v>8466</v>
      </c>
      <c r="E1177" s="22"/>
      <c r="F1177" s="22"/>
      <c r="G1177" s="22"/>
      <c r="H1177" s="22" t="s">
        <v>8233</v>
      </c>
      <c r="I1177" s="25" t="s">
        <v>4933</v>
      </c>
      <c r="J1177" s="22"/>
      <c r="K1177" s="22" t="s">
        <v>4934</v>
      </c>
      <c r="L1177" s="22"/>
      <c r="M1177" s="22" t="str">
        <f>HYPERLINK("https://ceds.ed.gov/cedselementdetails.aspx?termid=22619")</f>
        <v>https://ceds.ed.gov/cedselementdetails.aspx?termid=22619</v>
      </c>
    </row>
    <row r="1178" spans="1:13" ht="43.2" x14ac:dyDescent="0.3">
      <c r="A1178" s="22" t="s">
        <v>4935</v>
      </c>
      <c r="B1178" s="22" t="s">
        <v>4936</v>
      </c>
      <c r="C1178" s="26" t="s">
        <v>22</v>
      </c>
      <c r="D1178" s="22" t="s">
        <v>8094</v>
      </c>
      <c r="E1178" s="22"/>
      <c r="F1178" s="22"/>
      <c r="G1178" s="22"/>
      <c r="H1178" s="22"/>
      <c r="I1178" s="25" t="s">
        <v>4937</v>
      </c>
      <c r="J1178" s="22"/>
      <c r="K1178" s="22" t="s">
        <v>4938</v>
      </c>
      <c r="L1178" s="22"/>
      <c r="M1178" s="22" t="str">
        <f>HYPERLINK("https://ceds.ed.gov/cedselementdetails.aspx?termid=22353")</f>
        <v>https://ceds.ed.gov/cedselementdetails.aspx?termid=22353</v>
      </c>
    </row>
    <row r="1179" spans="1:13" ht="43.2" x14ac:dyDescent="0.3">
      <c r="A1179" s="22" t="s">
        <v>4939</v>
      </c>
      <c r="B1179" s="22" t="s">
        <v>4940</v>
      </c>
      <c r="C1179" s="26" t="s">
        <v>22</v>
      </c>
      <c r="D1179" s="24" t="s">
        <v>8467</v>
      </c>
      <c r="E1179" s="22" t="s">
        <v>172</v>
      </c>
      <c r="F1179" s="22"/>
      <c r="G1179" s="22" t="s">
        <v>7946</v>
      </c>
      <c r="H1179" s="22"/>
      <c r="I1179" s="25" t="s">
        <v>4942</v>
      </c>
      <c r="J1179" s="22"/>
      <c r="K1179" s="22" t="s">
        <v>4943</v>
      </c>
      <c r="L1179" s="22"/>
      <c r="M1179" s="22" t="str">
        <f>HYPERLINK("https://ceds.ed.gov/cedselementdetails.aspx?termid=21519")</f>
        <v>https://ceds.ed.gov/cedselementdetails.aspx?termid=21519</v>
      </c>
    </row>
    <row r="1180" spans="1:13" ht="72" x14ac:dyDescent="0.3">
      <c r="A1180" s="22" t="s">
        <v>4944</v>
      </c>
      <c r="B1180" s="22" t="s">
        <v>4945</v>
      </c>
      <c r="C1180" s="26" t="s">
        <v>8989</v>
      </c>
      <c r="D1180" s="22" t="s">
        <v>4946</v>
      </c>
      <c r="E1180" s="22"/>
      <c r="F1180" s="22"/>
      <c r="G1180" s="22"/>
      <c r="H1180" s="22"/>
      <c r="I1180" s="25" t="s">
        <v>4947</v>
      </c>
      <c r="J1180" s="22"/>
      <c r="K1180" s="22" t="s">
        <v>4948</v>
      </c>
      <c r="L1180" s="22"/>
      <c r="M1180" s="22" t="str">
        <f>HYPERLINK("https://ceds.ed.gov/cedselementdetails.aspx?termid=22355")</f>
        <v>https://ceds.ed.gov/cedselementdetails.aspx?termid=22355</v>
      </c>
    </row>
    <row r="1181" spans="1:13" ht="409.6" x14ac:dyDescent="0.3">
      <c r="A1181" s="22" t="s">
        <v>4949</v>
      </c>
      <c r="B1181" s="22" t="s">
        <v>4950</v>
      </c>
      <c r="C1181" s="26" t="s">
        <v>8468</v>
      </c>
      <c r="D1181" s="24" t="s">
        <v>8469</v>
      </c>
      <c r="E1181" s="22" t="s">
        <v>172</v>
      </c>
      <c r="F1181" s="22"/>
      <c r="G1181" s="22" t="s">
        <v>7946</v>
      </c>
      <c r="H1181" s="22"/>
      <c r="I1181" s="25" t="s">
        <v>4951</v>
      </c>
      <c r="J1181" s="22"/>
      <c r="K1181" s="22" t="s">
        <v>4952</v>
      </c>
      <c r="L1181" s="24" t="s">
        <v>4953</v>
      </c>
      <c r="M1181" s="22" t="str">
        <f>HYPERLINK("https://ceds.ed.gov/cedselementdetails.aspx?termid=21087")</f>
        <v>https://ceds.ed.gov/cedselementdetails.aspx?termid=21087</v>
      </c>
    </row>
    <row r="1182" spans="1:13" ht="57.6" x14ac:dyDescent="0.3">
      <c r="A1182" s="22" t="s">
        <v>4954</v>
      </c>
      <c r="B1182" s="22" t="s">
        <v>4955</v>
      </c>
      <c r="C1182" s="26" t="s">
        <v>8990</v>
      </c>
      <c r="D1182" s="22" t="s">
        <v>4956</v>
      </c>
      <c r="E1182" s="22"/>
      <c r="F1182" s="22"/>
      <c r="G1182" s="22"/>
      <c r="H1182" s="22"/>
      <c r="I1182" s="25" t="s">
        <v>4957</v>
      </c>
      <c r="J1182" s="22"/>
      <c r="K1182" s="22" t="s">
        <v>4958</v>
      </c>
      <c r="L1182" s="22" t="s">
        <v>25</v>
      </c>
      <c r="M1182" s="22" t="str">
        <f>HYPERLINK("https://ceds.ed.gov/cedselementdetails.aspx?termid=21482")</f>
        <v>https://ceds.ed.gov/cedselementdetails.aspx?termid=21482</v>
      </c>
    </row>
    <row r="1183" spans="1:13" ht="100.8" x14ac:dyDescent="0.3">
      <c r="A1183" s="22" t="s">
        <v>8234</v>
      </c>
      <c r="B1183" s="22" t="s">
        <v>4959</v>
      </c>
      <c r="C1183" s="26" t="s">
        <v>8991</v>
      </c>
      <c r="D1183" s="22" t="s">
        <v>3214</v>
      </c>
      <c r="E1183" s="22"/>
      <c r="F1183" s="22"/>
      <c r="G1183" s="22"/>
      <c r="H1183" s="22"/>
      <c r="I1183" s="25" t="s">
        <v>4960</v>
      </c>
      <c r="J1183" s="22"/>
      <c r="K1183" s="22" t="s">
        <v>4961</v>
      </c>
      <c r="L1183" s="22"/>
      <c r="M1183" s="22" t="str">
        <f>HYPERLINK("https://ceds.ed.gov/cedselementdetails.aspx?termid=21690")</f>
        <v>https://ceds.ed.gov/cedselementdetails.aspx?termid=21690</v>
      </c>
    </row>
    <row r="1184" spans="1:13" ht="43.2" x14ac:dyDescent="0.3">
      <c r="A1184" s="22" t="s">
        <v>4962</v>
      </c>
      <c r="B1184" s="22" t="s">
        <v>8235</v>
      </c>
      <c r="C1184" s="26" t="s">
        <v>22</v>
      </c>
      <c r="D1184" s="24" t="s">
        <v>8992</v>
      </c>
      <c r="E1184" s="22"/>
      <c r="F1184" s="22"/>
      <c r="G1184" s="22"/>
      <c r="H1184" s="22"/>
      <c r="I1184" s="25" t="s">
        <v>4963</v>
      </c>
      <c r="J1184" s="22"/>
      <c r="K1184" s="22" t="s">
        <v>4964</v>
      </c>
      <c r="L1184" s="22"/>
      <c r="M1184" s="22" t="str">
        <f>HYPERLINK("https://ceds.ed.gov/cedselementdetails.aspx?termid=22190")</f>
        <v>https://ceds.ed.gov/cedselementdetails.aspx?termid=22190</v>
      </c>
    </row>
    <row r="1185" spans="1:13" ht="388.8" x14ac:dyDescent="0.3">
      <c r="A1185" s="22" t="s">
        <v>4965</v>
      </c>
      <c r="B1185" s="22" t="s">
        <v>4966</v>
      </c>
      <c r="C1185" s="26" t="s">
        <v>8993</v>
      </c>
      <c r="D1185" s="24" t="s">
        <v>8994</v>
      </c>
      <c r="E1185" s="22"/>
      <c r="F1185" s="22"/>
      <c r="G1185" s="22"/>
      <c r="H1185" s="22"/>
      <c r="I1185" s="25" t="s">
        <v>4967</v>
      </c>
      <c r="J1185" s="22"/>
      <c r="K1185" s="22" t="s">
        <v>4968</v>
      </c>
      <c r="L1185" s="24" t="s">
        <v>4927</v>
      </c>
      <c r="M1185" s="22" t="str">
        <f>HYPERLINK("https://ceds.ed.gov/cedselementdetails.aspx?termid=21316")</f>
        <v>https://ceds.ed.gov/cedselementdetails.aspx?termid=21316</v>
      </c>
    </row>
    <row r="1186" spans="1:13" x14ac:dyDescent="0.3">
      <c r="A1186" s="22" t="s">
        <v>4969</v>
      </c>
      <c r="B1186" s="22" t="s">
        <v>4970</v>
      </c>
      <c r="C1186" s="23" t="s">
        <v>32</v>
      </c>
      <c r="D1186" s="22" t="s">
        <v>3062</v>
      </c>
      <c r="E1186" s="22"/>
      <c r="F1186" s="22" t="s">
        <v>118</v>
      </c>
      <c r="G1186" s="22"/>
      <c r="H1186" s="22"/>
      <c r="I1186" s="25" t="s">
        <v>4971</v>
      </c>
      <c r="J1186" s="22"/>
      <c r="K1186" s="22" t="s">
        <v>4972</v>
      </c>
      <c r="L1186" s="22"/>
      <c r="M1186" s="22" t="str">
        <f>HYPERLINK("https://ceds.ed.gov/cedselementdetails.aspx?termid=21489")</f>
        <v>https://ceds.ed.gov/cedselementdetails.aspx?termid=21489</v>
      </c>
    </row>
    <row r="1187" spans="1:13" ht="409.6" x14ac:dyDescent="0.3">
      <c r="A1187" s="22" t="s">
        <v>4973</v>
      </c>
      <c r="B1187" s="22" t="s">
        <v>4974</v>
      </c>
      <c r="C1187" s="23" t="s">
        <v>32</v>
      </c>
      <c r="D1187" s="24" t="s">
        <v>8903</v>
      </c>
      <c r="E1187" s="22"/>
      <c r="F1187" s="22" t="s">
        <v>7536</v>
      </c>
      <c r="G1187" s="22"/>
      <c r="H1187" s="22" t="s">
        <v>8207</v>
      </c>
      <c r="I1187" s="25" t="s">
        <v>4975</v>
      </c>
      <c r="J1187" s="22" t="s">
        <v>4976</v>
      </c>
      <c r="K1187" s="22" t="s">
        <v>4977</v>
      </c>
      <c r="L1187" s="24" t="s">
        <v>4054</v>
      </c>
      <c r="M1187" s="22" t="str">
        <f>HYPERLINK("https://ceds.ed.gov/cedselementdetails.aspx?termid=21172")</f>
        <v>https://ceds.ed.gov/cedselementdetails.aspx?termid=21172</v>
      </c>
    </row>
    <row r="1188" spans="1:13" x14ac:dyDescent="0.3">
      <c r="A1188" s="22" t="s">
        <v>4978</v>
      </c>
      <c r="B1188" s="22" t="s">
        <v>4979</v>
      </c>
      <c r="C1188" s="23" t="s">
        <v>32</v>
      </c>
      <c r="D1188" s="22" t="s">
        <v>2480</v>
      </c>
      <c r="E1188" s="22"/>
      <c r="F1188" s="22" t="s">
        <v>118</v>
      </c>
      <c r="G1188" s="22"/>
      <c r="H1188" s="22"/>
      <c r="I1188" s="25" t="s">
        <v>4980</v>
      </c>
      <c r="J1188" s="22"/>
      <c r="K1188" s="22" t="s">
        <v>4981</v>
      </c>
      <c r="L1188" s="22" t="s">
        <v>226</v>
      </c>
      <c r="M1188" s="22" t="str">
        <f>HYPERLINK("https://ceds.ed.gov/cedselementdetails.aspx?termid=21171")</f>
        <v>https://ceds.ed.gov/cedselementdetails.aspx?termid=21171</v>
      </c>
    </row>
    <row r="1189" spans="1:13" ht="409.6" x14ac:dyDescent="0.3">
      <c r="A1189" s="22" t="s">
        <v>4982</v>
      </c>
      <c r="B1189" s="22" t="s">
        <v>4983</v>
      </c>
      <c r="C1189" s="23" t="s">
        <v>32</v>
      </c>
      <c r="D1189" s="24" t="s">
        <v>8995</v>
      </c>
      <c r="E1189" s="22"/>
      <c r="F1189" s="22" t="s">
        <v>1165</v>
      </c>
      <c r="G1189" s="22"/>
      <c r="H1189" s="22"/>
      <c r="I1189" s="25" t="s">
        <v>4984</v>
      </c>
      <c r="J1189" s="22"/>
      <c r="K1189" s="22" t="s">
        <v>4982</v>
      </c>
      <c r="L1189" s="22"/>
      <c r="M1189" s="22" t="str">
        <f>HYPERLINK("https://ceds.ed.gov/cedselementdetails.aspx?termid=21599")</f>
        <v>https://ceds.ed.gov/cedselementdetails.aspx?termid=21599</v>
      </c>
    </row>
    <row r="1190" spans="1:13" ht="43.2" x14ac:dyDescent="0.3">
      <c r="A1190" s="22" t="s">
        <v>4985</v>
      </c>
      <c r="B1190" s="22" t="s">
        <v>4986</v>
      </c>
      <c r="C1190" s="26" t="s">
        <v>22</v>
      </c>
      <c r="D1190" s="22" t="s">
        <v>1202</v>
      </c>
      <c r="E1190" s="22"/>
      <c r="F1190" s="22"/>
      <c r="G1190" s="22"/>
      <c r="H1190" s="22"/>
      <c r="I1190" s="25" t="s">
        <v>4987</v>
      </c>
      <c r="J1190" s="22"/>
      <c r="K1190" s="22" t="s">
        <v>4988</v>
      </c>
      <c r="L1190" s="22"/>
      <c r="M1190" s="22" t="str">
        <f>HYPERLINK("https://ceds.ed.gov/cedselementdetails.aspx?termid=22743")</f>
        <v>https://ceds.ed.gov/cedselementdetails.aspx?termid=22743</v>
      </c>
    </row>
    <row r="1191" spans="1:13" ht="43.2" x14ac:dyDescent="0.3">
      <c r="A1191" s="22" t="s">
        <v>4989</v>
      </c>
      <c r="B1191" s="22" t="s">
        <v>8236</v>
      </c>
      <c r="C1191" s="23" t="s">
        <v>32</v>
      </c>
      <c r="D1191" s="24" t="s">
        <v>4990</v>
      </c>
      <c r="E1191" s="22"/>
      <c r="F1191" s="22" t="s">
        <v>132</v>
      </c>
      <c r="G1191" s="22"/>
      <c r="H1191" s="22" t="s">
        <v>7945</v>
      </c>
      <c r="I1191" s="25" t="s">
        <v>4991</v>
      </c>
      <c r="J1191" s="22"/>
      <c r="K1191" s="22" t="s">
        <v>4992</v>
      </c>
      <c r="L1191" s="22"/>
      <c r="M1191" s="22" t="str">
        <f>HYPERLINK("https://ceds.ed.gov/cedselementdetails.aspx?termid=22533")</f>
        <v>https://ceds.ed.gov/cedselementdetails.aspx?termid=22533</v>
      </c>
    </row>
    <row r="1192" spans="1:13" ht="43.2" x14ac:dyDescent="0.3">
      <c r="A1192" s="22" t="s">
        <v>4993</v>
      </c>
      <c r="B1192" s="22" t="s">
        <v>4994</v>
      </c>
      <c r="C1192" s="23" t="s">
        <v>32</v>
      </c>
      <c r="D1192" s="24" t="s">
        <v>4990</v>
      </c>
      <c r="E1192" s="22"/>
      <c r="F1192" s="22" t="s">
        <v>845</v>
      </c>
      <c r="G1192" s="22"/>
      <c r="H1192" s="22"/>
      <c r="I1192" s="25" t="s">
        <v>4995</v>
      </c>
      <c r="J1192" s="22"/>
      <c r="K1192" s="22" t="s">
        <v>4996</v>
      </c>
      <c r="L1192" s="22"/>
      <c r="M1192" s="22" t="str">
        <f>HYPERLINK("https://ceds.ed.gov/cedselementdetails.aspx?termid=21938")</f>
        <v>https://ceds.ed.gov/cedselementdetails.aspx?termid=21938</v>
      </c>
    </row>
    <row r="1193" spans="1:13" ht="43.2" x14ac:dyDescent="0.3">
      <c r="A1193" s="22" t="s">
        <v>4997</v>
      </c>
      <c r="B1193" s="22" t="s">
        <v>4998</v>
      </c>
      <c r="C1193" s="23" t="s">
        <v>32</v>
      </c>
      <c r="D1193" s="24" t="s">
        <v>4990</v>
      </c>
      <c r="E1193" s="22"/>
      <c r="F1193" s="22" t="s">
        <v>113</v>
      </c>
      <c r="G1193" s="22"/>
      <c r="H1193" s="22"/>
      <c r="I1193" s="25" t="s">
        <v>4999</v>
      </c>
      <c r="J1193" s="22"/>
      <c r="K1193" s="22" t="s">
        <v>5000</v>
      </c>
      <c r="L1193" s="22"/>
      <c r="M1193" s="22" t="str">
        <f>HYPERLINK("https://ceds.ed.gov/cedselementdetails.aspx?termid=22534")</f>
        <v>https://ceds.ed.gov/cedselementdetails.aspx?termid=22534</v>
      </c>
    </row>
    <row r="1194" spans="1:13" ht="43.2" x14ac:dyDescent="0.3">
      <c r="A1194" s="22" t="s">
        <v>5001</v>
      </c>
      <c r="B1194" s="22" t="s">
        <v>5002</v>
      </c>
      <c r="C1194" s="23" t="s">
        <v>32</v>
      </c>
      <c r="D1194" s="24" t="s">
        <v>4990</v>
      </c>
      <c r="E1194" s="22"/>
      <c r="F1194" s="22" t="s">
        <v>132</v>
      </c>
      <c r="G1194" s="22"/>
      <c r="H1194" s="22" t="s">
        <v>7945</v>
      </c>
      <c r="I1194" s="25" t="s">
        <v>5003</v>
      </c>
      <c r="J1194" s="22"/>
      <c r="K1194" s="22" t="s">
        <v>5004</v>
      </c>
      <c r="L1194" s="22"/>
      <c r="M1194" s="22" t="str">
        <f>HYPERLINK("https://ceds.ed.gov/cedselementdetails.aspx?termid=22535")</f>
        <v>https://ceds.ed.gov/cedselementdetails.aspx?termid=22535</v>
      </c>
    </row>
    <row r="1195" spans="1:13" ht="43.2" x14ac:dyDescent="0.3">
      <c r="A1195" s="22" t="s">
        <v>5005</v>
      </c>
      <c r="B1195" s="22" t="s">
        <v>5006</v>
      </c>
      <c r="C1195" s="23" t="s">
        <v>32</v>
      </c>
      <c r="D1195" s="24" t="s">
        <v>4990</v>
      </c>
      <c r="E1195" s="22"/>
      <c r="F1195" s="22" t="s">
        <v>157</v>
      </c>
      <c r="G1195" s="22"/>
      <c r="H1195" s="22"/>
      <c r="I1195" s="25" t="s">
        <v>5007</v>
      </c>
      <c r="J1195" s="22"/>
      <c r="K1195" s="22" t="s">
        <v>5008</v>
      </c>
      <c r="L1195" s="22"/>
      <c r="M1195" s="22" t="str">
        <f>HYPERLINK("https://ceds.ed.gov/cedselementdetails.aspx?termid=22536")</f>
        <v>https://ceds.ed.gov/cedselementdetails.aspx?termid=22536</v>
      </c>
    </row>
    <row r="1196" spans="1:13" ht="409.6" x14ac:dyDescent="0.3">
      <c r="A1196" s="22" t="s">
        <v>5009</v>
      </c>
      <c r="B1196" s="22" t="s">
        <v>5010</v>
      </c>
      <c r="C1196" s="26" t="s">
        <v>8996</v>
      </c>
      <c r="D1196" s="24" t="s">
        <v>4990</v>
      </c>
      <c r="E1196" s="22"/>
      <c r="F1196" s="22"/>
      <c r="G1196" s="22"/>
      <c r="H1196" s="22" t="s">
        <v>8237</v>
      </c>
      <c r="I1196" s="25" t="s">
        <v>5011</v>
      </c>
      <c r="J1196" s="22"/>
      <c r="K1196" s="22" t="s">
        <v>5012</v>
      </c>
      <c r="L1196" s="22"/>
      <c r="M1196" s="22" t="str">
        <f>HYPERLINK("https://ceds.ed.gov/cedselementdetails.aspx?termid=21935")</f>
        <v>https://ceds.ed.gov/cedselementdetails.aspx?termid=21935</v>
      </c>
    </row>
    <row r="1197" spans="1:13" ht="43.2" x14ac:dyDescent="0.3">
      <c r="A1197" s="22" t="s">
        <v>5013</v>
      </c>
      <c r="B1197" s="22" t="s">
        <v>5014</v>
      </c>
      <c r="C1197" s="23" t="s">
        <v>32</v>
      </c>
      <c r="D1197" s="24" t="s">
        <v>4990</v>
      </c>
      <c r="E1197" s="22"/>
      <c r="F1197" s="22" t="s">
        <v>328</v>
      </c>
      <c r="G1197" s="22"/>
      <c r="H1197" s="22"/>
      <c r="I1197" s="25" t="s">
        <v>5015</v>
      </c>
      <c r="J1197" s="22"/>
      <c r="K1197" s="22" t="s">
        <v>5016</v>
      </c>
      <c r="L1197" s="22"/>
      <c r="M1197" s="22" t="str">
        <f>HYPERLINK("https://ceds.ed.gov/cedselementdetails.aspx?termid=21936")</f>
        <v>https://ceds.ed.gov/cedselementdetails.aspx?termid=21936</v>
      </c>
    </row>
    <row r="1198" spans="1:13" ht="57.6" x14ac:dyDescent="0.3">
      <c r="A1198" s="22" t="s">
        <v>5017</v>
      </c>
      <c r="B1198" s="22" t="s">
        <v>5018</v>
      </c>
      <c r="C1198" s="26" t="s">
        <v>8601</v>
      </c>
      <c r="D1198" s="22" t="s">
        <v>5019</v>
      </c>
      <c r="E1198" s="22"/>
      <c r="F1198" s="22"/>
      <c r="G1198" s="22"/>
      <c r="H1198" s="22"/>
      <c r="I1198" s="25" t="s">
        <v>5020</v>
      </c>
      <c r="J1198" s="22"/>
      <c r="K1198" s="22" t="s">
        <v>5021</v>
      </c>
      <c r="L1198" s="22"/>
      <c r="M1198" s="22" t="str">
        <f>HYPERLINK("https://ceds.ed.gov/cedselementdetails.aspx?termid=21950")</f>
        <v>https://ceds.ed.gov/cedselementdetails.aspx?termid=21950</v>
      </c>
    </row>
    <row r="1199" spans="1:13" x14ac:dyDescent="0.3">
      <c r="A1199" s="22" t="s">
        <v>5022</v>
      </c>
      <c r="B1199" s="22" t="s">
        <v>5023</v>
      </c>
      <c r="C1199" s="23" t="s">
        <v>32</v>
      </c>
      <c r="D1199" s="22" t="s">
        <v>5019</v>
      </c>
      <c r="E1199" s="22"/>
      <c r="F1199" s="22" t="s">
        <v>118</v>
      </c>
      <c r="G1199" s="22"/>
      <c r="H1199" s="22"/>
      <c r="I1199" s="25" t="s">
        <v>5024</v>
      </c>
      <c r="J1199" s="22"/>
      <c r="K1199" s="22" t="s">
        <v>5025</v>
      </c>
      <c r="L1199" s="22"/>
      <c r="M1199" s="22" t="str">
        <f>HYPERLINK("https://ceds.ed.gov/cedselementdetails.aspx?termid=21944")</f>
        <v>https://ceds.ed.gov/cedselementdetails.aspx?termid=21944</v>
      </c>
    </row>
    <row r="1200" spans="1:13" x14ac:dyDescent="0.3">
      <c r="A1200" s="22" t="s">
        <v>5026</v>
      </c>
      <c r="B1200" s="22" t="s">
        <v>8238</v>
      </c>
      <c r="C1200" s="23" t="s">
        <v>32</v>
      </c>
      <c r="D1200" s="22" t="s">
        <v>5019</v>
      </c>
      <c r="E1200" s="22"/>
      <c r="F1200" s="22" t="s">
        <v>113</v>
      </c>
      <c r="G1200" s="22"/>
      <c r="H1200" s="22"/>
      <c r="I1200" s="25" t="s">
        <v>5027</v>
      </c>
      <c r="J1200" s="22"/>
      <c r="K1200" s="22" t="s">
        <v>5028</v>
      </c>
      <c r="L1200" s="22"/>
      <c r="M1200" s="22" t="str">
        <f>HYPERLINK("https://ceds.ed.gov/cedselementdetails.aspx?termid=21941")</f>
        <v>https://ceds.ed.gov/cedselementdetails.aspx?termid=21941</v>
      </c>
    </row>
    <row r="1201" spans="1:13" x14ac:dyDescent="0.3">
      <c r="A1201" s="22" t="s">
        <v>5029</v>
      </c>
      <c r="B1201" s="22" t="s">
        <v>5030</v>
      </c>
      <c r="C1201" s="23" t="s">
        <v>32</v>
      </c>
      <c r="D1201" s="22" t="s">
        <v>5019</v>
      </c>
      <c r="E1201" s="22"/>
      <c r="F1201" s="22" t="s">
        <v>118</v>
      </c>
      <c r="G1201" s="22"/>
      <c r="H1201" s="22"/>
      <c r="I1201" s="25" t="s">
        <v>5031</v>
      </c>
      <c r="J1201" s="22"/>
      <c r="K1201" s="22" t="s">
        <v>5032</v>
      </c>
      <c r="L1201" s="22"/>
      <c r="M1201" s="22" t="str">
        <f>HYPERLINK("https://ceds.ed.gov/cedselementdetails.aspx?termid=21947")</f>
        <v>https://ceds.ed.gov/cedselementdetails.aspx?termid=21947</v>
      </c>
    </row>
    <row r="1202" spans="1:13" x14ac:dyDescent="0.3">
      <c r="A1202" s="22" t="s">
        <v>5033</v>
      </c>
      <c r="B1202" s="22" t="s">
        <v>5034</v>
      </c>
      <c r="C1202" s="23" t="s">
        <v>32</v>
      </c>
      <c r="D1202" s="22" t="s">
        <v>5019</v>
      </c>
      <c r="E1202" s="22"/>
      <c r="F1202" s="22" t="s">
        <v>430</v>
      </c>
      <c r="G1202" s="22"/>
      <c r="H1202" s="22"/>
      <c r="I1202" s="25" t="s">
        <v>5035</v>
      </c>
      <c r="J1202" s="22"/>
      <c r="K1202" s="22" t="s">
        <v>5036</v>
      </c>
      <c r="L1202" s="22"/>
      <c r="M1202" s="22" t="str">
        <f>HYPERLINK("https://ceds.ed.gov/cedselementdetails.aspx?termid=21948")</f>
        <v>https://ceds.ed.gov/cedselementdetails.aspx?termid=21948</v>
      </c>
    </row>
    <row r="1203" spans="1:13" x14ac:dyDescent="0.3">
      <c r="A1203" s="22" t="s">
        <v>5037</v>
      </c>
      <c r="B1203" s="22" t="s">
        <v>5038</v>
      </c>
      <c r="C1203" s="23" t="s">
        <v>7423</v>
      </c>
      <c r="D1203" s="22" t="s">
        <v>5019</v>
      </c>
      <c r="E1203" s="22"/>
      <c r="F1203" s="22"/>
      <c r="G1203" s="22"/>
      <c r="H1203" s="22" t="s">
        <v>7994</v>
      </c>
      <c r="I1203" s="25" t="s">
        <v>5039</v>
      </c>
      <c r="J1203" s="22"/>
      <c r="K1203" s="22" t="s">
        <v>5040</v>
      </c>
      <c r="L1203" s="22"/>
      <c r="M1203" s="22" t="str">
        <f>HYPERLINK("https://ceds.ed.gov/cedselementdetails.aspx?termid=21939")</f>
        <v>https://ceds.ed.gov/cedselementdetails.aspx?termid=21939</v>
      </c>
    </row>
    <row r="1204" spans="1:13" x14ac:dyDescent="0.3">
      <c r="A1204" s="22" t="s">
        <v>5041</v>
      </c>
      <c r="B1204" s="22" t="s">
        <v>5042</v>
      </c>
      <c r="C1204" s="23" t="s">
        <v>32</v>
      </c>
      <c r="D1204" s="22" t="s">
        <v>5019</v>
      </c>
      <c r="E1204" s="22"/>
      <c r="F1204" s="22" t="s">
        <v>317</v>
      </c>
      <c r="G1204" s="22"/>
      <c r="H1204" s="22"/>
      <c r="I1204" s="25" t="s">
        <v>5043</v>
      </c>
      <c r="J1204" s="22"/>
      <c r="K1204" s="22" t="s">
        <v>5044</v>
      </c>
      <c r="L1204" s="22"/>
      <c r="M1204" s="22" t="str">
        <f>HYPERLINK("https://ceds.ed.gov/cedselementdetails.aspx?termid=21949")</f>
        <v>https://ceds.ed.gov/cedselementdetails.aspx?termid=21949</v>
      </c>
    </row>
    <row r="1205" spans="1:13" x14ac:dyDescent="0.3">
      <c r="A1205" s="22" t="s">
        <v>5045</v>
      </c>
      <c r="B1205" s="22" t="s">
        <v>5046</v>
      </c>
      <c r="C1205" s="23" t="s">
        <v>32</v>
      </c>
      <c r="D1205" s="22" t="s">
        <v>5019</v>
      </c>
      <c r="E1205" s="22"/>
      <c r="F1205" s="22" t="s">
        <v>317</v>
      </c>
      <c r="G1205" s="22"/>
      <c r="H1205" s="22" t="s">
        <v>5047</v>
      </c>
      <c r="I1205" s="25" t="s">
        <v>5048</v>
      </c>
      <c r="J1205" s="22"/>
      <c r="K1205" s="22" t="s">
        <v>5049</v>
      </c>
      <c r="L1205" s="22"/>
      <c r="M1205" s="22" t="str">
        <f>HYPERLINK("https://ceds.ed.gov/cedselementdetails.aspx?termid=21945")</f>
        <v>https://ceds.ed.gov/cedselementdetails.aspx?termid=21945</v>
      </c>
    </row>
    <row r="1206" spans="1:13" ht="86.4" x14ac:dyDescent="0.3">
      <c r="A1206" s="22" t="s">
        <v>5050</v>
      </c>
      <c r="B1206" s="22" t="s">
        <v>5051</v>
      </c>
      <c r="C1206" s="26" t="s">
        <v>8997</v>
      </c>
      <c r="D1206" s="22" t="s">
        <v>5019</v>
      </c>
      <c r="E1206" s="22"/>
      <c r="F1206" s="22"/>
      <c r="G1206" s="22"/>
      <c r="H1206" s="22"/>
      <c r="I1206" s="25" t="s">
        <v>5052</v>
      </c>
      <c r="J1206" s="22"/>
      <c r="K1206" s="22" t="s">
        <v>5053</v>
      </c>
      <c r="L1206" s="22"/>
      <c r="M1206" s="22" t="str">
        <f>HYPERLINK("https://ceds.ed.gov/cedselementdetails.aspx?termid=21946")</f>
        <v>https://ceds.ed.gov/cedselementdetails.aspx?termid=21946</v>
      </c>
    </row>
    <row r="1207" spans="1:13" x14ac:dyDescent="0.3">
      <c r="A1207" s="22" t="s">
        <v>5054</v>
      </c>
      <c r="B1207" s="22" t="s">
        <v>5055</v>
      </c>
      <c r="C1207" s="23" t="s">
        <v>32</v>
      </c>
      <c r="D1207" s="22" t="s">
        <v>5019</v>
      </c>
      <c r="E1207" s="22"/>
      <c r="F1207" s="22" t="s">
        <v>1518</v>
      </c>
      <c r="G1207" s="22"/>
      <c r="H1207" s="22"/>
      <c r="I1207" s="25" t="s">
        <v>5056</v>
      </c>
      <c r="J1207" s="22"/>
      <c r="K1207" s="22" t="s">
        <v>5057</v>
      </c>
      <c r="L1207" s="22"/>
      <c r="M1207" s="22" t="str">
        <f>HYPERLINK("https://ceds.ed.gov/cedselementdetails.aspx?termid=21953")</f>
        <v>https://ceds.ed.gov/cedselementdetails.aspx?termid=21953</v>
      </c>
    </row>
    <row r="1208" spans="1:13" x14ac:dyDescent="0.3">
      <c r="A1208" s="22" t="s">
        <v>5058</v>
      </c>
      <c r="B1208" s="22" t="s">
        <v>5059</v>
      </c>
      <c r="C1208" s="23" t="s">
        <v>32</v>
      </c>
      <c r="D1208" s="22" t="s">
        <v>5019</v>
      </c>
      <c r="E1208" s="22"/>
      <c r="F1208" s="22" t="s">
        <v>113</v>
      </c>
      <c r="G1208" s="22"/>
      <c r="H1208" s="22" t="s">
        <v>8239</v>
      </c>
      <c r="I1208" s="25" t="s">
        <v>5060</v>
      </c>
      <c r="J1208" s="22"/>
      <c r="K1208" s="22" t="s">
        <v>5061</v>
      </c>
      <c r="L1208" s="22"/>
      <c r="M1208" s="22" t="str">
        <f>HYPERLINK("https://ceds.ed.gov/cedselementdetails.aspx?termid=21942")</f>
        <v>https://ceds.ed.gov/cedselementdetails.aspx?termid=21942</v>
      </c>
    </row>
    <row r="1209" spans="1:13" x14ac:dyDescent="0.3">
      <c r="A1209" s="22" t="s">
        <v>5062</v>
      </c>
      <c r="B1209" s="22" t="s">
        <v>5063</v>
      </c>
      <c r="C1209" s="23" t="s">
        <v>32</v>
      </c>
      <c r="D1209" s="22" t="s">
        <v>5019</v>
      </c>
      <c r="E1209" s="22"/>
      <c r="F1209" s="22" t="s">
        <v>118</v>
      </c>
      <c r="G1209" s="22"/>
      <c r="H1209" s="22"/>
      <c r="I1209" s="25" t="s">
        <v>5064</v>
      </c>
      <c r="J1209" s="22"/>
      <c r="K1209" s="22" t="s">
        <v>5065</v>
      </c>
      <c r="L1209" s="22"/>
      <c r="M1209" s="22" t="str">
        <f>HYPERLINK("https://ceds.ed.gov/cedselementdetails.aspx?termid=21951")</f>
        <v>https://ceds.ed.gov/cedselementdetails.aspx?termid=21951</v>
      </c>
    </row>
    <row r="1210" spans="1:13" x14ac:dyDescent="0.3">
      <c r="A1210" s="22" t="s">
        <v>5066</v>
      </c>
      <c r="B1210" s="22" t="s">
        <v>5067</v>
      </c>
      <c r="C1210" s="23" t="s">
        <v>32</v>
      </c>
      <c r="D1210" s="22" t="s">
        <v>5019</v>
      </c>
      <c r="E1210" s="22"/>
      <c r="F1210" s="22" t="s">
        <v>50</v>
      </c>
      <c r="G1210" s="22"/>
      <c r="H1210" s="22"/>
      <c r="I1210" s="25" t="s">
        <v>5068</v>
      </c>
      <c r="J1210" s="22"/>
      <c r="K1210" s="22" t="s">
        <v>5069</v>
      </c>
      <c r="L1210" s="22"/>
      <c r="M1210" s="22" t="str">
        <f>HYPERLINK("https://ceds.ed.gov/cedselementdetails.aspx?termid=21954")</f>
        <v>https://ceds.ed.gov/cedselementdetails.aspx?termid=21954</v>
      </c>
    </row>
    <row r="1211" spans="1:13" x14ac:dyDescent="0.3">
      <c r="A1211" s="22" t="s">
        <v>5070</v>
      </c>
      <c r="B1211" s="22" t="s">
        <v>5071</v>
      </c>
      <c r="C1211" s="23" t="s">
        <v>32</v>
      </c>
      <c r="D1211" s="22" t="s">
        <v>5019</v>
      </c>
      <c r="E1211" s="22"/>
      <c r="F1211" s="22" t="s">
        <v>85</v>
      </c>
      <c r="G1211" s="22"/>
      <c r="H1211" s="22"/>
      <c r="I1211" s="25" t="s">
        <v>5072</v>
      </c>
      <c r="J1211" s="22"/>
      <c r="K1211" s="22" t="s">
        <v>5073</v>
      </c>
      <c r="L1211" s="22"/>
      <c r="M1211" s="22" t="str">
        <f>HYPERLINK("https://ceds.ed.gov/cedselementdetails.aspx?termid=21940")</f>
        <v>https://ceds.ed.gov/cedselementdetails.aspx?termid=21940</v>
      </c>
    </row>
    <row r="1212" spans="1:13" ht="72" x14ac:dyDescent="0.3">
      <c r="A1212" s="22" t="s">
        <v>5074</v>
      </c>
      <c r="B1212" s="22" t="s">
        <v>5075</v>
      </c>
      <c r="C1212" s="26" t="s">
        <v>8998</v>
      </c>
      <c r="D1212" s="22" t="s">
        <v>5019</v>
      </c>
      <c r="E1212" s="22"/>
      <c r="F1212" s="22"/>
      <c r="G1212" s="22"/>
      <c r="H1212" s="22"/>
      <c r="I1212" s="25" t="s">
        <v>5076</v>
      </c>
      <c r="J1212" s="22"/>
      <c r="K1212" s="22" t="s">
        <v>5077</v>
      </c>
      <c r="L1212" s="22"/>
      <c r="M1212" s="22" t="str">
        <f>HYPERLINK("https://ceds.ed.gov/cedselementdetails.aspx?termid=21943")</f>
        <v>https://ceds.ed.gov/cedselementdetails.aspx?termid=21943</v>
      </c>
    </row>
    <row r="1213" spans="1:13" x14ac:dyDescent="0.3">
      <c r="A1213" s="22" t="s">
        <v>5078</v>
      </c>
      <c r="B1213" s="22" t="s">
        <v>5079</v>
      </c>
      <c r="C1213" s="23" t="s">
        <v>32</v>
      </c>
      <c r="D1213" s="22" t="s">
        <v>5019</v>
      </c>
      <c r="E1213" s="22"/>
      <c r="F1213" s="22" t="s">
        <v>775</v>
      </c>
      <c r="G1213" s="22"/>
      <c r="H1213" s="22"/>
      <c r="I1213" s="25" t="s">
        <v>5080</v>
      </c>
      <c r="J1213" s="22"/>
      <c r="K1213" s="22" t="s">
        <v>5081</v>
      </c>
      <c r="L1213" s="22"/>
      <c r="M1213" s="22" t="str">
        <f>HYPERLINK("https://ceds.ed.gov/cedselementdetails.aspx?termid=21952")</f>
        <v>https://ceds.ed.gov/cedselementdetails.aspx?termid=21952</v>
      </c>
    </row>
    <row r="1214" spans="1:13" ht="201.6" x14ac:dyDescent="0.3">
      <c r="A1214" s="22" t="s">
        <v>5082</v>
      </c>
      <c r="B1214" s="22" t="s">
        <v>5083</v>
      </c>
      <c r="C1214" s="26" t="s">
        <v>8999</v>
      </c>
      <c r="D1214" s="22" t="s">
        <v>5084</v>
      </c>
      <c r="E1214" s="22"/>
      <c r="F1214" s="22"/>
      <c r="G1214" s="22"/>
      <c r="H1214" s="22" t="s">
        <v>8240</v>
      </c>
      <c r="I1214" s="25" t="s">
        <v>5085</v>
      </c>
      <c r="J1214" s="22"/>
      <c r="K1214" s="22" t="s">
        <v>5086</v>
      </c>
      <c r="L1214" s="22"/>
      <c r="M1214" s="22" t="str">
        <f>HYPERLINK("https://ceds.ed.gov/cedselementdetails.aspx?termid=22358")</f>
        <v>https://ceds.ed.gov/cedselementdetails.aspx?termid=22358</v>
      </c>
    </row>
    <row r="1215" spans="1:13" ht="57.6" x14ac:dyDescent="0.3">
      <c r="A1215" s="22" t="s">
        <v>5087</v>
      </c>
      <c r="B1215" s="22" t="s">
        <v>5088</v>
      </c>
      <c r="C1215" s="26" t="s">
        <v>9000</v>
      </c>
      <c r="D1215" s="22" t="s">
        <v>5084</v>
      </c>
      <c r="E1215" s="22"/>
      <c r="F1215" s="22"/>
      <c r="G1215" s="22"/>
      <c r="H1215" s="22"/>
      <c r="I1215" s="25" t="s">
        <v>5089</v>
      </c>
      <c r="J1215" s="22"/>
      <c r="K1215" s="22" t="s">
        <v>5090</v>
      </c>
      <c r="L1215" s="22"/>
      <c r="M1215" s="22" t="str">
        <f>HYPERLINK("https://ceds.ed.gov/cedselementdetails.aspx?termid=22359")</f>
        <v>https://ceds.ed.gov/cedselementdetails.aspx?termid=22359</v>
      </c>
    </row>
    <row r="1216" spans="1:13" ht="100.8" x14ac:dyDescent="0.3">
      <c r="A1216" s="22" t="s">
        <v>5091</v>
      </c>
      <c r="B1216" s="22" t="s">
        <v>5092</v>
      </c>
      <c r="C1216" s="26" t="s">
        <v>9001</v>
      </c>
      <c r="D1216" s="22" t="s">
        <v>5084</v>
      </c>
      <c r="E1216" s="22"/>
      <c r="F1216" s="22"/>
      <c r="G1216" s="22"/>
      <c r="H1216" s="22" t="s">
        <v>5093</v>
      </c>
      <c r="I1216" s="25" t="s">
        <v>5094</v>
      </c>
      <c r="J1216" s="22"/>
      <c r="K1216" s="22" t="s">
        <v>5095</v>
      </c>
      <c r="L1216" s="22"/>
      <c r="M1216" s="22" t="str">
        <f>HYPERLINK("https://ceds.ed.gov/cedselementdetails.aspx?termid=22360")</f>
        <v>https://ceds.ed.gov/cedselementdetails.aspx?termid=22360</v>
      </c>
    </row>
    <row r="1217" spans="1:13" ht="144" x14ac:dyDescent="0.3">
      <c r="A1217" s="22" t="s">
        <v>5096</v>
      </c>
      <c r="B1217" s="22" t="s">
        <v>5097</v>
      </c>
      <c r="C1217" s="26" t="s">
        <v>9002</v>
      </c>
      <c r="D1217" s="22" t="s">
        <v>5084</v>
      </c>
      <c r="E1217" s="22"/>
      <c r="F1217" s="22"/>
      <c r="G1217" s="22"/>
      <c r="H1217" s="22"/>
      <c r="I1217" s="25" t="s">
        <v>5098</v>
      </c>
      <c r="J1217" s="22"/>
      <c r="K1217" s="22" t="s">
        <v>5099</v>
      </c>
      <c r="L1217" s="22"/>
      <c r="M1217" s="22" t="str">
        <f>HYPERLINK("https://ceds.ed.gov/cedselementdetails.aspx?termid=22537")</f>
        <v>https://ceds.ed.gov/cedselementdetails.aspx?termid=22537</v>
      </c>
    </row>
    <row r="1218" spans="1:13" x14ac:dyDescent="0.3">
      <c r="A1218" s="22" t="s">
        <v>5100</v>
      </c>
      <c r="B1218" s="22" t="s">
        <v>5101</v>
      </c>
      <c r="C1218" s="23" t="s">
        <v>32</v>
      </c>
      <c r="D1218" s="22" t="s">
        <v>5084</v>
      </c>
      <c r="E1218" s="22"/>
      <c r="F1218" s="22" t="s">
        <v>50</v>
      </c>
      <c r="G1218" s="22"/>
      <c r="H1218" s="22"/>
      <c r="I1218" s="25" t="s">
        <v>5102</v>
      </c>
      <c r="J1218" s="22"/>
      <c r="K1218" s="22" t="s">
        <v>5103</v>
      </c>
      <c r="L1218" s="22"/>
      <c r="M1218" s="22" t="str">
        <f>HYPERLINK("https://ceds.ed.gov/cedselementdetails.aspx?termid=22361")</f>
        <v>https://ceds.ed.gov/cedselementdetails.aspx?termid=22361</v>
      </c>
    </row>
    <row r="1219" spans="1:13" x14ac:dyDescent="0.3">
      <c r="A1219" s="22" t="s">
        <v>5104</v>
      </c>
      <c r="B1219" s="22" t="s">
        <v>5105</v>
      </c>
      <c r="C1219" s="23" t="s">
        <v>32</v>
      </c>
      <c r="D1219" s="22" t="s">
        <v>5084</v>
      </c>
      <c r="E1219" s="22"/>
      <c r="F1219" s="22" t="s">
        <v>50</v>
      </c>
      <c r="G1219" s="22"/>
      <c r="H1219" s="22"/>
      <c r="I1219" s="25" t="s">
        <v>5106</v>
      </c>
      <c r="J1219" s="22"/>
      <c r="K1219" s="22" t="s">
        <v>5107</v>
      </c>
      <c r="L1219" s="22"/>
      <c r="M1219" s="22" t="str">
        <f>HYPERLINK("https://ceds.ed.gov/cedselementdetails.aspx?termid=22367")</f>
        <v>https://ceds.ed.gov/cedselementdetails.aspx?termid=22367</v>
      </c>
    </row>
    <row r="1220" spans="1:13" ht="43.2" x14ac:dyDescent="0.3">
      <c r="A1220" s="22" t="s">
        <v>5108</v>
      </c>
      <c r="B1220" s="22" t="s">
        <v>5109</v>
      </c>
      <c r="C1220" s="26" t="s">
        <v>22</v>
      </c>
      <c r="D1220" s="22" t="s">
        <v>5084</v>
      </c>
      <c r="E1220" s="22"/>
      <c r="F1220" s="22"/>
      <c r="G1220" s="22"/>
      <c r="H1220" s="22" t="s">
        <v>5110</v>
      </c>
      <c r="I1220" s="25" t="s">
        <v>5111</v>
      </c>
      <c r="J1220" s="22"/>
      <c r="K1220" s="22" t="s">
        <v>5112</v>
      </c>
      <c r="L1220" s="22"/>
      <c r="M1220" s="22" t="str">
        <f>HYPERLINK("https://ceds.ed.gov/cedselementdetails.aspx?termid=22362")</f>
        <v>https://ceds.ed.gov/cedselementdetails.aspx?termid=22362</v>
      </c>
    </row>
    <row r="1221" spans="1:13" x14ac:dyDescent="0.3">
      <c r="A1221" s="22" t="s">
        <v>5113</v>
      </c>
      <c r="B1221" s="22" t="s">
        <v>5114</v>
      </c>
      <c r="C1221" s="23" t="s">
        <v>32</v>
      </c>
      <c r="D1221" s="22" t="s">
        <v>5084</v>
      </c>
      <c r="E1221" s="22"/>
      <c r="F1221" s="22" t="s">
        <v>3463</v>
      </c>
      <c r="G1221" s="22"/>
      <c r="H1221" s="22"/>
      <c r="I1221" s="25" t="s">
        <v>5115</v>
      </c>
      <c r="J1221" s="22"/>
      <c r="K1221" s="22" t="s">
        <v>5116</v>
      </c>
      <c r="L1221" s="22"/>
      <c r="M1221" s="22" t="str">
        <f>HYPERLINK("https://ceds.ed.gov/cedselementdetails.aspx?termid=22544")</f>
        <v>https://ceds.ed.gov/cedselementdetails.aspx?termid=22544</v>
      </c>
    </row>
    <row r="1222" spans="1:13" ht="43.2" x14ac:dyDescent="0.3">
      <c r="A1222" s="22" t="s">
        <v>5117</v>
      </c>
      <c r="B1222" s="22" t="s">
        <v>5118</v>
      </c>
      <c r="C1222" s="26" t="s">
        <v>9003</v>
      </c>
      <c r="D1222" s="22" t="s">
        <v>5084</v>
      </c>
      <c r="E1222" s="22"/>
      <c r="F1222" s="22"/>
      <c r="G1222" s="22"/>
      <c r="H1222" s="22"/>
      <c r="I1222" s="25" t="s">
        <v>5119</v>
      </c>
      <c r="J1222" s="22"/>
      <c r="K1222" s="22" t="s">
        <v>5120</v>
      </c>
      <c r="L1222" s="22"/>
      <c r="M1222" s="22" t="str">
        <f>HYPERLINK("https://ceds.ed.gov/cedselementdetails.aspx?termid=22540")</f>
        <v>https://ceds.ed.gov/cedselementdetails.aspx?termid=22540</v>
      </c>
    </row>
    <row r="1223" spans="1:13" x14ac:dyDescent="0.3">
      <c r="A1223" s="22" t="s">
        <v>5121</v>
      </c>
      <c r="B1223" s="22" t="s">
        <v>5122</v>
      </c>
      <c r="C1223" s="23" t="s">
        <v>32</v>
      </c>
      <c r="D1223" s="22" t="s">
        <v>5084</v>
      </c>
      <c r="E1223" s="22"/>
      <c r="F1223" s="22" t="s">
        <v>50</v>
      </c>
      <c r="G1223" s="22"/>
      <c r="H1223" s="22"/>
      <c r="I1223" s="25" t="s">
        <v>5123</v>
      </c>
      <c r="J1223" s="22"/>
      <c r="K1223" s="22" t="s">
        <v>5124</v>
      </c>
      <c r="L1223" s="22"/>
      <c r="M1223" s="22" t="str">
        <f>HYPERLINK("https://ceds.ed.gov/cedselementdetails.aspx?termid=22541")</f>
        <v>https://ceds.ed.gov/cedselementdetails.aspx?termid=22541</v>
      </c>
    </row>
    <row r="1224" spans="1:13" x14ac:dyDescent="0.3">
      <c r="A1224" s="22" t="s">
        <v>5125</v>
      </c>
      <c r="B1224" s="22" t="s">
        <v>5126</v>
      </c>
      <c r="C1224" s="23" t="s">
        <v>32</v>
      </c>
      <c r="D1224" s="22" t="s">
        <v>5084</v>
      </c>
      <c r="E1224" s="22"/>
      <c r="F1224" s="22" t="s">
        <v>50</v>
      </c>
      <c r="G1224" s="22"/>
      <c r="H1224" s="22" t="s">
        <v>5127</v>
      </c>
      <c r="I1224" s="25" t="s">
        <v>5128</v>
      </c>
      <c r="J1224" s="22"/>
      <c r="K1224" s="22" t="s">
        <v>5129</v>
      </c>
      <c r="L1224" s="22"/>
      <c r="M1224" s="22" t="str">
        <f>HYPERLINK("https://ceds.ed.gov/cedselementdetails.aspx?termid=21923")</f>
        <v>https://ceds.ed.gov/cedselementdetails.aspx?termid=21923</v>
      </c>
    </row>
    <row r="1225" spans="1:13" ht="129.6" x14ac:dyDescent="0.3">
      <c r="A1225" s="22" t="s">
        <v>5130</v>
      </c>
      <c r="B1225" s="22" t="s">
        <v>8241</v>
      </c>
      <c r="C1225" s="26" t="s">
        <v>9004</v>
      </c>
      <c r="D1225" s="22" t="s">
        <v>5084</v>
      </c>
      <c r="E1225" s="22"/>
      <c r="F1225" s="22"/>
      <c r="G1225" s="22"/>
      <c r="H1225" s="22"/>
      <c r="I1225" s="25" t="s">
        <v>5131</v>
      </c>
      <c r="J1225" s="22"/>
      <c r="K1225" s="22" t="s">
        <v>5132</v>
      </c>
      <c r="L1225" s="22"/>
      <c r="M1225" s="22" t="str">
        <f>HYPERLINK("https://ceds.ed.gov/cedselementdetails.aspx?termid=22363")</f>
        <v>https://ceds.ed.gov/cedselementdetails.aspx?termid=22363</v>
      </c>
    </row>
    <row r="1226" spans="1:13" ht="115.2" x14ac:dyDescent="0.3">
      <c r="A1226" s="22" t="s">
        <v>5133</v>
      </c>
      <c r="B1226" s="22" t="s">
        <v>5134</v>
      </c>
      <c r="C1226" s="26" t="s">
        <v>9005</v>
      </c>
      <c r="D1226" s="22" t="s">
        <v>5084</v>
      </c>
      <c r="E1226" s="22"/>
      <c r="F1226" s="22"/>
      <c r="G1226" s="22"/>
      <c r="H1226" s="22" t="s">
        <v>5135</v>
      </c>
      <c r="I1226" s="25" t="s">
        <v>5136</v>
      </c>
      <c r="J1226" s="22"/>
      <c r="K1226" s="22" t="s">
        <v>5137</v>
      </c>
      <c r="L1226" s="22"/>
      <c r="M1226" s="22" t="str">
        <f>HYPERLINK("https://ceds.ed.gov/cedselementdetails.aspx?termid=21879")</f>
        <v>https://ceds.ed.gov/cedselementdetails.aspx?termid=21879</v>
      </c>
    </row>
    <row r="1227" spans="1:13" x14ac:dyDescent="0.3">
      <c r="A1227" s="22" t="s">
        <v>5138</v>
      </c>
      <c r="B1227" s="22" t="s">
        <v>5139</v>
      </c>
      <c r="C1227" s="23" t="s">
        <v>32</v>
      </c>
      <c r="D1227" s="22" t="s">
        <v>5084</v>
      </c>
      <c r="E1227" s="22"/>
      <c r="F1227" s="22" t="s">
        <v>113</v>
      </c>
      <c r="G1227" s="22"/>
      <c r="H1227" s="22"/>
      <c r="I1227" s="25" t="s">
        <v>5140</v>
      </c>
      <c r="J1227" s="22"/>
      <c r="K1227" s="22" t="s">
        <v>5141</v>
      </c>
      <c r="L1227" s="22"/>
      <c r="M1227" s="22" t="str">
        <f>HYPERLINK("https://ceds.ed.gov/cedselementdetails.aspx?termid=22159")</f>
        <v>https://ceds.ed.gov/cedselementdetails.aspx?termid=22159</v>
      </c>
    </row>
    <row r="1228" spans="1:13" ht="100.8" x14ac:dyDescent="0.3">
      <c r="A1228" s="22" t="s">
        <v>5142</v>
      </c>
      <c r="B1228" s="22" t="s">
        <v>5143</v>
      </c>
      <c r="C1228" s="26" t="s">
        <v>9006</v>
      </c>
      <c r="D1228" s="22" t="s">
        <v>5084</v>
      </c>
      <c r="E1228" s="22"/>
      <c r="F1228" s="22"/>
      <c r="G1228" s="22"/>
      <c r="H1228" s="22"/>
      <c r="I1228" s="25" t="s">
        <v>5144</v>
      </c>
      <c r="J1228" s="22"/>
      <c r="K1228" s="22" t="s">
        <v>5145</v>
      </c>
      <c r="L1228" s="22"/>
      <c r="M1228" s="22" t="str">
        <f>HYPERLINK("https://ceds.ed.gov/cedselementdetails.aspx?termid=22364")</f>
        <v>https://ceds.ed.gov/cedselementdetails.aspx?termid=22364</v>
      </c>
    </row>
    <row r="1229" spans="1:13" x14ac:dyDescent="0.3">
      <c r="A1229" s="22" t="s">
        <v>5146</v>
      </c>
      <c r="B1229" s="22" t="s">
        <v>5147</v>
      </c>
      <c r="C1229" s="23" t="s">
        <v>32</v>
      </c>
      <c r="D1229" s="22" t="s">
        <v>5084</v>
      </c>
      <c r="E1229" s="22"/>
      <c r="F1229" s="22" t="s">
        <v>157</v>
      </c>
      <c r="G1229" s="22"/>
      <c r="H1229" s="22"/>
      <c r="I1229" s="25" t="s">
        <v>5148</v>
      </c>
      <c r="J1229" s="22"/>
      <c r="K1229" s="22" t="s">
        <v>5149</v>
      </c>
      <c r="L1229" s="22"/>
      <c r="M1229" s="22" t="str">
        <f>HYPERLINK("https://ceds.ed.gov/cedselementdetails.aspx?termid=22157")</f>
        <v>https://ceds.ed.gov/cedselementdetails.aspx?termid=22157</v>
      </c>
    </row>
    <row r="1230" spans="1:13" x14ac:dyDescent="0.3">
      <c r="A1230" s="22" t="s">
        <v>5150</v>
      </c>
      <c r="B1230" s="22" t="s">
        <v>5151</v>
      </c>
      <c r="C1230" s="23" t="s">
        <v>32</v>
      </c>
      <c r="D1230" s="22" t="s">
        <v>5084</v>
      </c>
      <c r="E1230" s="22"/>
      <c r="F1230" s="22" t="s">
        <v>1844</v>
      </c>
      <c r="G1230" s="22"/>
      <c r="H1230" s="22"/>
      <c r="I1230" s="25" t="s">
        <v>5152</v>
      </c>
      <c r="J1230" s="22"/>
      <c r="K1230" s="22" t="s">
        <v>5153</v>
      </c>
      <c r="L1230" s="22"/>
      <c r="M1230" s="22" t="str">
        <f>HYPERLINK("https://ceds.ed.gov/cedselementdetails.aspx?termid=22158")</f>
        <v>https://ceds.ed.gov/cedselementdetails.aspx?termid=22158</v>
      </c>
    </row>
    <row r="1231" spans="1:13" x14ac:dyDescent="0.3">
      <c r="A1231" s="22" t="s">
        <v>5154</v>
      </c>
      <c r="B1231" s="22" t="s">
        <v>5155</v>
      </c>
      <c r="C1231" s="23" t="s">
        <v>32</v>
      </c>
      <c r="D1231" s="22" t="s">
        <v>5084</v>
      </c>
      <c r="E1231" s="22"/>
      <c r="F1231" s="22" t="s">
        <v>157</v>
      </c>
      <c r="G1231" s="22"/>
      <c r="H1231" s="22"/>
      <c r="I1231" s="25" t="s">
        <v>5156</v>
      </c>
      <c r="J1231" s="22"/>
      <c r="K1231" s="22" t="s">
        <v>5157</v>
      </c>
      <c r="L1231" s="22"/>
      <c r="M1231" s="22" t="str">
        <f>HYPERLINK("https://ceds.ed.gov/cedselementdetails.aspx?termid=21918")</f>
        <v>https://ceds.ed.gov/cedselementdetails.aspx?termid=21918</v>
      </c>
    </row>
    <row r="1232" spans="1:13" x14ac:dyDescent="0.3">
      <c r="A1232" s="22" t="s">
        <v>5158</v>
      </c>
      <c r="B1232" s="22" t="s">
        <v>5159</v>
      </c>
      <c r="C1232" s="23" t="s">
        <v>32</v>
      </c>
      <c r="D1232" s="22" t="s">
        <v>5084</v>
      </c>
      <c r="E1232" s="22"/>
      <c r="F1232" s="22" t="s">
        <v>118</v>
      </c>
      <c r="G1232" s="22"/>
      <c r="H1232" s="22"/>
      <c r="I1232" s="25" t="s">
        <v>5160</v>
      </c>
      <c r="J1232" s="22"/>
      <c r="K1232" s="22" t="s">
        <v>5161</v>
      </c>
      <c r="L1232" s="22"/>
      <c r="M1232" s="22" t="str">
        <f>HYPERLINK("https://ceds.ed.gov/cedselementdetails.aspx?termid=21916")</f>
        <v>https://ceds.ed.gov/cedselementdetails.aspx?termid=21916</v>
      </c>
    </row>
    <row r="1233" spans="1:13" x14ac:dyDescent="0.3">
      <c r="A1233" s="22" t="s">
        <v>5162</v>
      </c>
      <c r="B1233" s="22" t="s">
        <v>5163</v>
      </c>
      <c r="C1233" s="23" t="s">
        <v>32</v>
      </c>
      <c r="D1233" s="22" t="s">
        <v>5084</v>
      </c>
      <c r="E1233" s="22"/>
      <c r="F1233" s="22" t="s">
        <v>118</v>
      </c>
      <c r="G1233" s="22"/>
      <c r="H1233" s="22"/>
      <c r="I1233" s="25" t="s">
        <v>5164</v>
      </c>
      <c r="J1233" s="22"/>
      <c r="K1233" s="22" t="s">
        <v>5165</v>
      </c>
      <c r="L1233" s="22"/>
      <c r="M1233" s="22" t="str">
        <f>HYPERLINK("https://ceds.ed.gov/cedselementdetails.aspx?termid=22542")</f>
        <v>https://ceds.ed.gov/cedselementdetails.aspx?termid=22542</v>
      </c>
    </row>
    <row r="1234" spans="1:13" x14ac:dyDescent="0.3">
      <c r="A1234" s="22" t="s">
        <v>5166</v>
      </c>
      <c r="B1234" s="22" t="s">
        <v>8242</v>
      </c>
      <c r="C1234" s="23" t="s">
        <v>32</v>
      </c>
      <c r="D1234" s="22" t="s">
        <v>5084</v>
      </c>
      <c r="E1234" s="22"/>
      <c r="F1234" s="22" t="s">
        <v>113</v>
      </c>
      <c r="G1234" s="22"/>
      <c r="H1234" s="22"/>
      <c r="I1234" s="25" t="s">
        <v>5167</v>
      </c>
      <c r="J1234" s="22"/>
      <c r="K1234" s="22" t="s">
        <v>5168</v>
      </c>
      <c r="L1234" s="22"/>
      <c r="M1234" s="22" t="str">
        <f>HYPERLINK("https://ceds.ed.gov/cedselementdetails.aspx?termid=22156")</f>
        <v>https://ceds.ed.gov/cedselementdetails.aspx?termid=22156</v>
      </c>
    </row>
    <row r="1235" spans="1:13" x14ac:dyDescent="0.3">
      <c r="A1235" s="22" t="s">
        <v>5169</v>
      </c>
      <c r="B1235" s="22" t="s">
        <v>5170</v>
      </c>
      <c r="C1235" s="23" t="s">
        <v>5171</v>
      </c>
      <c r="D1235" s="22" t="s">
        <v>5084</v>
      </c>
      <c r="E1235" s="22"/>
      <c r="F1235" s="22"/>
      <c r="G1235" s="22"/>
      <c r="H1235" s="22"/>
      <c r="I1235" s="25" t="s">
        <v>5172</v>
      </c>
      <c r="J1235" s="22"/>
      <c r="K1235" s="22" t="s">
        <v>5173</v>
      </c>
      <c r="L1235" s="22"/>
      <c r="M1235" s="22" t="str">
        <f>HYPERLINK("https://ceds.ed.gov/cedselementdetails.aspx?termid=22365")</f>
        <v>https://ceds.ed.gov/cedselementdetails.aspx?termid=22365</v>
      </c>
    </row>
    <row r="1236" spans="1:13" ht="144" x14ac:dyDescent="0.3">
      <c r="A1236" s="22" t="s">
        <v>5174</v>
      </c>
      <c r="B1236" s="22" t="s">
        <v>5175</v>
      </c>
      <c r="C1236" s="26" t="s">
        <v>9007</v>
      </c>
      <c r="D1236" s="22" t="s">
        <v>5084</v>
      </c>
      <c r="E1236" s="22"/>
      <c r="F1236" s="22"/>
      <c r="G1236" s="22"/>
      <c r="H1236" s="22"/>
      <c r="I1236" s="25" t="s">
        <v>5176</v>
      </c>
      <c r="J1236" s="22"/>
      <c r="K1236" s="22" t="s">
        <v>5177</v>
      </c>
      <c r="L1236" s="22"/>
      <c r="M1236" s="22" t="str">
        <f>HYPERLINK("https://ceds.ed.gov/cedselementdetails.aspx?termid=22366")</f>
        <v>https://ceds.ed.gov/cedselementdetails.aspx?termid=22366</v>
      </c>
    </row>
    <row r="1237" spans="1:13" ht="409.6" x14ac:dyDescent="0.3">
      <c r="A1237" s="22" t="s">
        <v>5178</v>
      </c>
      <c r="B1237" s="22" t="s">
        <v>5179</v>
      </c>
      <c r="C1237" s="26" t="s">
        <v>8747</v>
      </c>
      <c r="D1237" s="22" t="s">
        <v>5084</v>
      </c>
      <c r="E1237" s="22"/>
      <c r="F1237" s="22"/>
      <c r="G1237" s="22"/>
      <c r="H1237" s="22"/>
      <c r="I1237" s="25" t="s">
        <v>5180</v>
      </c>
      <c r="J1237" s="22"/>
      <c r="K1237" s="22" t="s">
        <v>5181</v>
      </c>
      <c r="L1237" s="22"/>
      <c r="M1237" s="22" t="str">
        <f>HYPERLINK("https://ceds.ed.gov/cedselementdetails.aspx?termid=22212")</f>
        <v>https://ceds.ed.gov/cedselementdetails.aspx?termid=22212</v>
      </c>
    </row>
    <row r="1238" spans="1:13" ht="100.8" x14ac:dyDescent="0.3">
      <c r="A1238" s="22" t="s">
        <v>5182</v>
      </c>
      <c r="B1238" s="22" t="s">
        <v>5183</v>
      </c>
      <c r="C1238" s="26" t="s">
        <v>9008</v>
      </c>
      <c r="D1238" s="22" t="s">
        <v>5084</v>
      </c>
      <c r="E1238" s="22"/>
      <c r="F1238" s="22"/>
      <c r="G1238" s="22"/>
      <c r="H1238" s="22"/>
      <c r="I1238" s="25" t="s">
        <v>5184</v>
      </c>
      <c r="J1238" s="22"/>
      <c r="K1238" s="22" t="s">
        <v>5185</v>
      </c>
      <c r="L1238" s="22"/>
      <c r="M1238" s="22" t="str">
        <f>HYPERLINK("https://ceds.ed.gov/cedselementdetails.aspx?termid=22005")</f>
        <v>https://ceds.ed.gov/cedselementdetails.aspx?termid=22005</v>
      </c>
    </row>
    <row r="1239" spans="1:13" ht="144" x14ac:dyDescent="0.3">
      <c r="A1239" s="22" t="s">
        <v>5186</v>
      </c>
      <c r="B1239" s="22" t="s">
        <v>5187</v>
      </c>
      <c r="C1239" s="26" t="s">
        <v>9009</v>
      </c>
      <c r="D1239" s="22" t="s">
        <v>5084</v>
      </c>
      <c r="E1239" s="22"/>
      <c r="F1239" s="22"/>
      <c r="G1239" s="22"/>
      <c r="H1239" s="22"/>
      <c r="I1239" s="25" t="s">
        <v>5188</v>
      </c>
      <c r="J1239" s="22"/>
      <c r="K1239" s="22" t="s">
        <v>5189</v>
      </c>
      <c r="L1239" s="22"/>
      <c r="M1239" s="22" t="str">
        <f>HYPERLINK("https://ceds.ed.gov/cedselementdetails.aspx?termid=21924")</f>
        <v>https://ceds.ed.gov/cedselementdetails.aspx?termid=21924</v>
      </c>
    </row>
    <row r="1240" spans="1:13" ht="129.6" x14ac:dyDescent="0.3">
      <c r="A1240" s="22" t="s">
        <v>5190</v>
      </c>
      <c r="B1240" s="22" t="s">
        <v>5191</v>
      </c>
      <c r="C1240" s="26" t="s">
        <v>9010</v>
      </c>
      <c r="D1240" s="22" t="s">
        <v>5084</v>
      </c>
      <c r="E1240" s="22"/>
      <c r="F1240" s="22"/>
      <c r="G1240" s="22"/>
      <c r="H1240" s="22"/>
      <c r="I1240" s="25" t="s">
        <v>5192</v>
      </c>
      <c r="J1240" s="22"/>
      <c r="K1240" s="22" t="s">
        <v>5193</v>
      </c>
      <c r="L1240" s="22"/>
      <c r="M1240" s="22" t="str">
        <f>HYPERLINK("https://ceds.ed.gov/cedselementdetails.aspx?termid=22543")</f>
        <v>https://ceds.ed.gov/cedselementdetails.aspx?termid=22543</v>
      </c>
    </row>
    <row r="1241" spans="1:13" ht="57.6" x14ac:dyDescent="0.3">
      <c r="A1241" s="22" t="s">
        <v>5194</v>
      </c>
      <c r="B1241" s="22" t="s">
        <v>5195</v>
      </c>
      <c r="C1241" s="26" t="s">
        <v>9011</v>
      </c>
      <c r="D1241" s="22" t="s">
        <v>5084</v>
      </c>
      <c r="E1241" s="22"/>
      <c r="F1241" s="22"/>
      <c r="G1241" s="22"/>
      <c r="H1241" s="22"/>
      <c r="I1241" s="25" t="s">
        <v>5196</v>
      </c>
      <c r="J1241" s="22"/>
      <c r="K1241" s="22" t="s">
        <v>5197</v>
      </c>
      <c r="L1241" s="22"/>
      <c r="M1241" s="22" t="str">
        <f>HYPERLINK("https://ceds.ed.gov/cedselementdetails.aspx?termid=21928")</f>
        <v>https://ceds.ed.gov/cedselementdetails.aspx?termid=21928</v>
      </c>
    </row>
    <row r="1242" spans="1:13" x14ac:dyDescent="0.3">
      <c r="A1242" s="22" t="s">
        <v>5198</v>
      </c>
      <c r="B1242" s="22" t="s">
        <v>5199</v>
      </c>
      <c r="C1242" s="23" t="s">
        <v>7423</v>
      </c>
      <c r="D1242" s="22" t="s">
        <v>5084</v>
      </c>
      <c r="E1242" s="22"/>
      <c r="F1242" s="22"/>
      <c r="G1242" s="22"/>
      <c r="H1242" s="22" t="s">
        <v>8243</v>
      </c>
      <c r="I1242" s="25" t="s">
        <v>5200</v>
      </c>
      <c r="J1242" s="22"/>
      <c r="K1242" s="22" t="s">
        <v>5201</v>
      </c>
      <c r="L1242" s="22"/>
      <c r="M1242" s="22" t="str">
        <f>HYPERLINK("https://ceds.ed.gov/cedselementdetails.aspx?termid=21920")</f>
        <v>https://ceds.ed.gov/cedselementdetails.aspx?termid=21920</v>
      </c>
    </row>
    <row r="1243" spans="1:13" x14ac:dyDescent="0.3">
      <c r="A1243" s="22" t="s">
        <v>5202</v>
      </c>
      <c r="B1243" s="22" t="s">
        <v>5203</v>
      </c>
      <c r="C1243" s="23" t="s">
        <v>32</v>
      </c>
      <c r="D1243" s="22" t="s">
        <v>5084</v>
      </c>
      <c r="E1243" s="22"/>
      <c r="F1243" s="22" t="s">
        <v>50</v>
      </c>
      <c r="G1243" s="22"/>
      <c r="H1243" s="22" t="s">
        <v>5204</v>
      </c>
      <c r="I1243" s="25" t="s">
        <v>5205</v>
      </c>
      <c r="J1243" s="22"/>
      <c r="K1243" s="22" t="s">
        <v>5206</v>
      </c>
      <c r="L1243" s="22"/>
      <c r="M1243" s="22" t="str">
        <f>HYPERLINK("https://ceds.ed.gov/cedselementdetails.aspx?termid=21922")</f>
        <v>https://ceds.ed.gov/cedselementdetails.aspx?termid=21922</v>
      </c>
    </row>
    <row r="1244" spans="1:13" ht="331.2" x14ac:dyDescent="0.3">
      <c r="A1244" s="22" t="s">
        <v>5207</v>
      </c>
      <c r="B1244" s="22" t="s">
        <v>5208</v>
      </c>
      <c r="C1244" s="26" t="s">
        <v>9012</v>
      </c>
      <c r="D1244" s="22" t="s">
        <v>5084</v>
      </c>
      <c r="E1244" s="22"/>
      <c r="F1244" s="22"/>
      <c r="G1244" s="22"/>
      <c r="H1244" s="22" t="s">
        <v>5209</v>
      </c>
      <c r="I1244" s="25" t="s">
        <v>5210</v>
      </c>
      <c r="J1244" s="22"/>
      <c r="K1244" s="22" t="s">
        <v>5211</v>
      </c>
      <c r="L1244" s="22"/>
      <c r="M1244" s="22" t="str">
        <f>HYPERLINK("https://ceds.ed.gov/cedselementdetails.aspx?termid=22368")</f>
        <v>https://ceds.ed.gov/cedselementdetails.aspx?termid=22368</v>
      </c>
    </row>
    <row r="1245" spans="1:13" x14ac:dyDescent="0.3">
      <c r="A1245" s="22" t="s">
        <v>5212</v>
      </c>
      <c r="B1245" s="22" t="s">
        <v>5213</v>
      </c>
      <c r="C1245" s="23" t="s">
        <v>32</v>
      </c>
      <c r="D1245" s="22" t="s">
        <v>5214</v>
      </c>
      <c r="E1245" s="22"/>
      <c r="F1245" s="22" t="s">
        <v>317</v>
      </c>
      <c r="G1245" s="22"/>
      <c r="H1245" s="22"/>
      <c r="I1245" s="25" t="s">
        <v>5215</v>
      </c>
      <c r="J1245" s="22"/>
      <c r="K1245" s="22" t="s">
        <v>5216</v>
      </c>
      <c r="L1245" s="22"/>
      <c r="M1245" s="22" t="str">
        <f>HYPERLINK("https://ceds.ed.gov/cedselementdetails.aspx?termid=22369")</f>
        <v>https://ceds.ed.gov/cedselementdetails.aspx?termid=22369</v>
      </c>
    </row>
    <row r="1246" spans="1:13" x14ac:dyDescent="0.3">
      <c r="A1246" s="22" t="s">
        <v>5217</v>
      </c>
      <c r="B1246" s="22" t="s">
        <v>5218</v>
      </c>
      <c r="C1246" s="23" t="s">
        <v>32</v>
      </c>
      <c r="D1246" s="22" t="s">
        <v>5214</v>
      </c>
      <c r="E1246" s="22"/>
      <c r="F1246" s="22" t="s">
        <v>990</v>
      </c>
      <c r="G1246" s="22"/>
      <c r="H1246" s="22"/>
      <c r="I1246" s="25" t="s">
        <v>5219</v>
      </c>
      <c r="J1246" s="22"/>
      <c r="K1246" s="22" t="s">
        <v>5220</v>
      </c>
      <c r="L1246" s="22"/>
      <c r="M1246" s="22" t="str">
        <f>HYPERLINK("https://ceds.ed.gov/cedselementdetails.aspx?termid=22161")</f>
        <v>https://ceds.ed.gov/cedselementdetails.aspx?termid=22161</v>
      </c>
    </row>
    <row r="1247" spans="1:13" ht="409.6" x14ac:dyDescent="0.3">
      <c r="A1247" s="22" t="s">
        <v>5221</v>
      </c>
      <c r="B1247" s="22" t="s">
        <v>5222</v>
      </c>
      <c r="C1247" s="26" t="s">
        <v>9013</v>
      </c>
      <c r="D1247" s="22" t="s">
        <v>5084</v>
      </c>
      <c r="E1247" s="22"/>
      <c r="F1247" s="22"/>
      <c r="G1247" s="22"/>
      <c r="H1247" s="22"/>
      <c r="I1247" s="25" t="s">
        <v>5223</v>
      </c>
      <c r="J1247" s="22"/>
      <c r="K1247" s="22" t="s">
        <v>5224</v>
      </c>
      <c r="L1247" s="22"/>
      <c r="M1247" s="22" t="str">
        <f>HYPERLINK("https://ceds.ed.gov/cedselementdetails.aspx?termid=22370")</f>
        <v>https://ceds.ed.gov/cedselementdetails.aspx?termid=22370</v>
      </c>
    </row>
    <row r="1248" spans="1:13" ht="43.2" x14ac:dyDescent="0.3">
      <c r="A1248" s="22" t="s">
        <v>5225</v>
      </c>
      <c r="B1248" s="22" t="s">
        <v>5226</v>
      </c>
      <c r="C1248" s="23" t="s">
        <v>32</v>
      </c>
      <c r="D1248" s="24" t="s">
        <v>525</v>
      </c>
      <c r="E1248" s="22"/>
      <c r="F1248" s="22" t="s">
        <v>118</v>
      </c>
      <c r="G1248" s="22"/>
      <c r="H1248" s="22"/>
      <c r="I1248" s="25" t="s">
        <v>5227</v>
      </c>
      <c r="J1248" s="22"/>
      <c r="K1248" s="22" t="s">
        <v>5228</v>
      </c>
      <c r="L1248" s="22"/>
      <c r="M1248" s="22" t="str">
        <f>HYPERLINK("https://ceds.ed.gov/cedselementdetails.aspx?termid=22135")</f>
        <v>https://ceds.ed.gov/cedselementdetails.aspx?termid=22135</v>
      </c>
    </row>
    <row r="1249" spans="1:13" x14ac:dyDescent="0.3">
      <c r="A1249" s="22" t="s">
        <v>5229</v>
      </c>
      <c r="B1249" s="22" t="s">
        <v>5230</v>
      </c>
      <c r="C1249" s="23" t="s">
        <v>32</v>
      </c>
      <c r="D1249" s="22" t="s">
        <v>5084</v>
      </c>
      <c r="E1249" s="22"/>
      <c r="F1249" s="22" t="s">
        <v>3463</v>
      </c>
      <c r="G1249" s="22"/>
      <c r="H1249" s="22"/>
      <c r="I1249" s="25" t="s">
        <v>5231</v>
      </c>
      <c r="J1249" s="22"/>
      <c r="K1249" s="22" t="s">
        <v>5232</v>
      </c>
      <c r="L1249" s="22"/>
      <c r="M1249" s="22" t="str">
        <f>HYPERLINK("https://ceds.ed.gov/cedselementdetails.aspx?termid=22545")</f>
        <v>https://ceds.ed.gov/cedselementdetails.aspx?termid=22545</v>
      </c>
    </row>
    <row r="1250" spans="1:13" x14ac:dyDescent="0.3">
      <c r="A1250" s="22" t="s">
        <v>5233</v>
      </c>
      <c r="B1250" s="22" t="s">
        <v>5234</v>
      </c>
      <c r="C1250" s="23" t="s">
        <v>32</v>
      </c>
      <c r="D1250" s="22" t="s">
        <v>5084</v>
      </c>
      <c r="E1250" s="22"/>
      <c r="F1250" s="22" t="s">
        <v>157</v>
      </c>
      <c r="G1250" s="22"/>
      <c r="H1250" s="22"/>
      <c r="I1250" s="25" t="s">
        <v>5235</v>
      </c>
      <c r="J1250" s="22"/>
      <c r="K1250" s="22" t="s">
        <v>5236</v>
      </c>
      <c r="L1250" s="22"/>
      <c r="M1250" s="22" t="str">
        <f>HYPERLINK("https://ceds.ed.gov/cedselementdetails.aspx?termid=21919")</f>
        <v>https://ceds.ed.gov/cedselementdetails.aspx?termid=21919</v>
      </c>
    </row>
    <row r="1251" spans="1:13" x14ac:dyDescent="0.3">
      <c r="A1251" s="22" t="s">
        <v>5237</v>
      </c>
      <c r="B1251" s="22" t="s">
        <v>5238</v>
      </c>
      <c r="C1251" s="23" t="s">
        <v>32</v>
      </c>
      <c r="D1251" s="22" t="s">
        <v>5084</v>
      </c>
      <c r="E1251" s="22"/>
      <c r="F1251" s="22" t="s">
        <v>50</v>
      </c>
      <c r="G1251" s="22"/>
      <c r="H1251" s="22"/>
      <c r="I1251" s="25" t="s">
        <v>5239</v>
      </c>
      <c r="J1251" s="22"/>
      <c r="K1251" s="22" t="s">
        <v>5240</v>
      </c>
      <c r="L1251" s="22"/>
      <c r="M1251" s="22" t="str">
        <f>HYPERLINK("https://ceds.ed.gov/cedselementdetails.aspx?termid=22547")</f>
        <v>https://ceds.ed.gov/cedselementdetails.aspx?termid=22547</v>
      </c>
    </row>
    <row r="1252" spans="1:13" x14ac:dyDescent="0.3">
      <c r="A1252" s="22" t="s">
        <v>5241</v>
      </c>
      <c r="B1252" s="22" t="s">
        <v>5242</v>
      </c>
      <c r="C1252" s="23" t="s">
        <v>32</v>
      </c>
      <c r="D1252" s="22" t="s">
        <v>5084</v>
      </c>
      <c r="E1252" s="22"/>
      <c r="F1252" s="22" t="s">
        <v>85</v>
      </c>
      <c r="G1252" s="22"/>
      <c r="H1252" s="22" t="s">
        <v>8244</v>
      </c>
      <c r="I1252" s="25" t="s">
        <v>5243</v>
      </c>
      <c r="J1252" s="22"/>
      <c r="K1252" s="22" t="s">
        <v>5244</v>
      </c>
      <c r="L1252" s="22"/>
      <c r="M1252" s="22" t="str">
        <f>HYPERLINK("https://ceds.ed.gov/cedselementdetails.aspx?termid=21914")</f>
        <v>https://ceds.ed.gov/cedselementdetails.aspx?termid=21914</v>
      </c>
    </row>
    <row r="1253" spans="1:13" x14ac:dyDescent="0.3">
      <c r="A1253" s="22" t="s">
        <v>5245</v>
      </c>
      <c r="B1253" s="22" t="s">
        <v>5246</v>
      </c>
      <c r="C1253" s="23" t="s">
        <v>32</v>
      </c>
      <c r="D1253" s="22" t="s">
        <v>5084</v>
      </c>
      <c r="E1253" s="22"/>
      <c r="F1253" s="22" t="s">
        <v>85</v>
      </c>
      <c r="G1253" s="22"/>
      <c r="H1253" s="22" t="s">
        <v>8245</v>
      </c>
      <c r="I1253" s="25" t="s">
        <v>5247</v>
      </c>
      <c r="J1253" s="22"/>
      <c r="K1253" s="22" t="s">
        <v>5248</v>
      </c>
      <c r="L1253" s="22"/>
      <c r="M1253" s="22" t="str">
        <f>HYPERLINK("https://ceds.ed.gov/cedselementdetails.aspx?termid=21915")</f>
        <v>https://ceds.ed.gov/cedselementdetails.aspx?termid=21915</v>
      </c>
    </row>
    <row r="1254" spans="1:13" x14ac:dyDescent="0.3">
      <c r="A1254" s="22" t="s">
        <v>5249</v>
      </c>
      <c r="B1254" s="22" t="s">
        <v>5250</v>
      </c>
      <c r="C1254" s="23" t="s">
        <v>32</v>
      </c>
      <c r="D1254" s="22" t="s">
        <v>5084</v>
      </c>
      <c r="E1254" s="22"/>
      <c r="F1254" s="22" t="s">
        <v>85</v>
      </c>
      <c r="G1254" s="22"/>
      <c r="H1254" s="22"/>
      <c r="I1254" s="25" t="s">
        <v>5251</v>
      </c>
      <c r="J1254" s="22"/>
      <c r="K1254" s="22" t="s">
        <v>5252</v>
      </c>
      <c r="L1254" s="22"/>
      <c r="M1254" s="22" t="str">
        <f>HYPERLINK("https://ceds.ed.gov/cedselementdetails.aspx?termid=21913")</f>
        <v>https://ceds.ed.gov/cedselementdetails.aspx?termid=21913</v>
      </c>
    </row>
    <row r="1255" spans="1:13" x14ac:dyDescent="0.3">
      <c r="A1255" s="22" t="s">
        <v>5253</v>
      </c>
      <c r="B1255" s="22" t="s">
        <v>5254</v>
      </c>
      <c r="C1255" s="23" t="s">
        <v>32</v>
      </c>
      <c r="D1255" s="22" t="s">
        <v>5084</v>
      </c>
      <c r="E1255" s="22"/>
      <c r="F1255" s="22" t="s">
        <v>85</v>
      </c>
      <c r="G1255" s="22"/>
      <c r="H1255" s="22"/>
      <c r="I1255" s="25" t="s">
        <v>5255</v>
      </c>
      <c r="J1255" s="22"/>
      <c r="K1255" s="22" t="s">
        <v>5256</v>
      </c>
      <c r="L1255" s="22"/>
      <c r="M1255" s="22" t="str">
        <f>HYPERLINK("https://ceds.ed.gov/cedselementdetails.aspx?termid=21931")</f>
        <v>https://ceds.ed.gov/cedselementdetails.aspx?termid=21931</v>
      </c>
    </row>
    <row r="1256" spans="1:13" x14ac:dyDescent="0.3">
      <c r="A1256" s="22" t="s">
        <v>5257</v>
      </c>
      <c r="B1256" s="22" t="s">
        <v>5258</v>
      </c>
      <c r="C1256" s="23" t="s">
        <v>32</v>
      </c>
      <c r="D1256" s="22" t="s">
        <v>5084</v>
      </c>
      <c r="E1256" s="22"/>
      <c r="F1256" s="22" t="s">
        <v>85</v>
      </c>
      <c r="G1256" s="22"/>
      <c r="H1256" s="22"/>
      <c r="I1256" s="25" t="s">
        <v>5259</v>
      </c>
      <c r="J1256" s="22"/>
      <c r="K1256" s="22" t="s">
        <v>5260</v>
      </c>
      <c r="L1256" s="22"/>
      <c r="M1256" s="22" t="str">
        <f>HYPERLINK("https://ceds.ed.gov/cedselementdetails.aspx?termid=21930")</f>
        <v>https://ceds.ed.gov/cedselementdetails.aspx?termid=21930</v>
      </c>
    </row>
    <row r="1257" spans="1:13" x14ac:dyDescent="0.3">
      <c r="A1257" s="22" t="s">
        <v>5261</v>
      </c>
      <c r="B1257" s="22" t="s">
        <v>5262</v>
      </c>
      <c r="C1257" s="23" t="s">
        <v>32</v>
      </c>
      <c r="D1257" s="22" t="s">
        <v>5084</v>
      </c>
      <c r="E1257" s="22"/>
      <c r="F1257" s="22" t="s">
        <v>2836</v>
      </c>
      <c r="G1257" s="22"/>
      <c r="H1257" s="22"/>
      <c r="I1257" s="25" t="s">
        <v>5263</v>
      </c>
      <c r="J1257" s="22"/>
      <c r="K1257" s="22" t="s">
        <v>5264</v>
      </c>
      <c r="L1257" s="22"/>
      <c r="M1257" s="22" t="str">
        <f>HYPERLINK("https://ceds.ed.gov/cedselementdetails.aspx?termid=21925")</f>
        <v>https://ceds.ed.gov/cedselementdetails.aspx?termid=21925</v>
      </c>
    </row>
    <row r="1258" spans="1:13" x14ac:dyDescent="0.3">
      <c r="A1258" s="22" t="s">
        <v>5265</v>
      </c>
      <c r="B1258" s="22" t="s">
        <v>5266</v>
      </c>
      <c r="C1258" s="23" t="s">
        <v>32</v>
      </c>
      <c r="D1258" s="22" t="s">
        <v>5084</v>
      </c>
      <c r="E1258" s="22"/>
      <c r="F1258" s="22" t="s">
        <v>85</v>
      </c>
      <c r="G1258" s="22"/>
      <c r="H1258" s="22"/>
      <c r="I1258" s="25" t="s">
        <v>5267</v>
      </c>
      <c r="J1258" s="22"/>
      <c r="K1258" s="22" t="s">
        <v>5268</v>
      </c>
      <c r="L1258" s="22"/>
      <c r="M1258" s="22" t="str">
        <f>HYPERLINK("https://ceds.ed.gov/cedselementdetails.aspx?termid=21912")</f>
        <v>https://ceds.ed.gov/cedselementdetails.aspx?termid=21912</v>
      </c>
    </row>
    <row r="1259" spans="1:13" ht="331.2" x14ac:dyDescent="0.3">
      <c r="A1259" s="22" t="s">
        <v>5269</v>
      </c>
      <c r="B1259" s="22" t="s">
        <v>5270</v>
      </c>
      <c r="C1259" s="26" t="s">
        <v>9014</v>
      </c>
      <c r="D1259" s="22" t="s">
        <v>5084</v>
      </c>
      <c r="E1259" s="22"/>
      <c r="F1259" s="22"/>
      <c r="G1259" s="22"/>
      <c r="H1259" s="22" t="s">
        <v>5271</v>
      </c>
      <c r="I1259" s="25" t="s">
        <v>5272</v>
      </c>
      <c r="J1259" s="22"/>
      <c r="K1259" s="22" t="s">
        <v>5273</v>
      </c>
      <c r="L1259" s="22"/>
      <c r="M1259" s="22" t="str">
        <f>HYPERLINK("https://ceds.ed.gov/cedselementdetails.aspx?termid=21929")</f>
        <v>https://ceds.ed.gov/cedselementdetails.aspx?termid=21929</v>
      </c>
    </row>
    <row r="1260" spans="1:13" x14ac:dyDescent="0.3">
      <c r="A1260" s="22" t="s">
        <v>5274</v>
      </c>
      <c r="B1260" s="22" t="s">
        <v>5275</v>
      </c>
      <c r="C1260" s="23" t="s">
        <v>32</v>
      </c>
      <c r="D1260" s="22" t="s">
        <v>5084</v>
      </c>
      <c r="E1260" s="22"/>
      <c r="F1260" s="22" t="s">
        <v>317</v>
      </c>
      <c r="G1260" s="22"/>
      <c r="H1260" s="22"/>
      <c r="I1260" s="25" t="s">
        <v>5276</v>
      </c>
      <c r="J1260" s="22"/>
      <c r="K1260" s="22" t="s">
        <v>5277</v>
      </c>
      <c r="L1260" s="22"/>
      <c r="M1260" s="22" t="str">
        <f>HYPERLINK("https://ceds.ed.gov/cedselementdetails.aspx?termid=21927")</f>
        <v>https://ceds.ed.gov/cedselementdetails.aspx?termid=21927</v>
      </c>
    </row>
    <row r="1261" spans="1:13" x14ac:dyDescent="0.3">
      <c r="A1261" s="22" t="s">
        <v>5278</v>
      </c>
      <c r="B1261" s="22" t="s">
        <v>5279</v>
      </c>
      <c r="C1261" s="23" t="s">
        <v>32</v>
      </c>
      <c r="D1261" s="22" t="s">
        <v>5084</v>
      </c>
      <c r="E1261" s="22"/>
      <c r="F1261" s="22" t="s">
        <v>317</v>
      </c>
      <c r="G1261" s="22"/>
      <c r="H1261" s="22"/>
      <c r="I1261" s="25" t="s">
        <v>5280</v>
      </c>
      <c r="J1261" s="22"/>
      <c r="K1261" s="22" t="s">
        <v>5281</v>
      </c>
      <c r="L1261" s="22"/>
      <c r="M1261" s="22" t="str">
        <f>HYPERLINK("https://ceds.ed.gov/cedselementdetails.aspx?termid=21926")</f>
        <v>https://ceds.ed.gov/cedselementdetails.aspx?termid=21926</v>
      </c>
    </row>
    <row r="1262" spans="1:13" x14ac:dyDescent="0.3">
      <c r="A1262" s="22" t="s">
        <v>5282</v>
      </c>
      <c r="B1262" s="22" t="s">
        <v>5283</v>
      </c>
      <c r="C1262" s="23" t="s">
        <v>32</v>
      </c>
      <c r="D1262" s="22" t="s">
        <v>5084</v>
      </c>
      <c r="E1262" s="22"/>
      <c r="F1262" s="22" t="s">
        <v>50</v>
      </c>
      <c r="G1262" s="22"/>
      <c r="H1262" s="22"/>
      <c r="I1262" s="25" t="s">
        <v>5284</v>
      </c>
      <c r="J1262" s="22"/>
      <c r="K1262" s="22" t="s">
        <v>5285</v>
      </c>
      <c r="L1262" s="22"/>
      <c r="M1262" s="22" t="str">
        <f>HYPERLINK("https://ceds.ed.gov/cedselementdetails.aspx?termid=21911")</f>
        <v>https://ceds.ed.gov/cedselementdetails.aspx?termid=21911</v>
      </c>
    </row>
    <row r="1263" spans="1:13" x14ac:dyDescent="0.3">
      <c r="A1263" s="22" t="s">
        <v>5286</v>
      </c>
      <c r="B1263" s="22" t="s">
        <v>5287</v>
      </c>
      <c r="C1263" s="23" t="s">
        <v>32</v>
      </c>
      <c r="D1263" s="22" t="s">
        <v>5084</v>
      </c>
      <c r="E1263" s="22"/>
      <c r="F1263" s="22" t="s">
        <v>85</v>
      </c>
      <c r="G1263" s="22"/>
      <c r="H1263" s="22"/>
      <c r="I1263" s="25" t="s">
        <v>5288</v>
      </c>
      <c r="J1263" s="22"/>
      <c r="K1263" s="22" t="s">
        <v>5289</v>
      </c>
      <c r="L1263" s="22"/>
      <c r="M1263" s="22" t="str">
        <f>HYPERLINK("https://ceds.ed.gov/cedselementdetails.aspx?termid=22182")</f>
        <v>https://ceds.ed.gov/cedselementdetails.aspx?termid=22182</v>
      </c>
    </row>
    <row r="1264" spans="1:13" ht="331.2" x14ac:dyDescent="0.3">
      <c r="A1264" s="22" t="s">
        <v>5290</v>
      </c>
      <c r="B1264" s="22" t="s">
        <v>5291</v>
      </c>
      <c r="C1264" s="26" t="s">
        <v>8470</v>
      </c>
      <c r="D1264" s="24" t="s">
        <v>8471</v>
      </c>
      <c r="E1264" s="22" t="s">
        <v>172</v>
      </c>
      <c r="F1264" s="22"/>
      <c r="G1264" s="22" t="s">
        <v>7946</v>
      </c>
      <c r="H1264" s="22"/>
      <c r="I1264" s="25" t="s">
        <v>5292</v>
      </c>
      <c r="J1264" s="22"/>
      <c r="K1264" s="22" t="s">
        <v>5293</v>
      </c>
      <c r="L1264" s="22"/>
      <c r="M1264" s="22" t="str">
        <f>HYPERLINK("https://ceds.ed.gov/cedselementdetails.aspx?termid=21617")</f>
        <v>https://ceds.ed.gov/cedselementdetails.aspx?termid=21617</v>
      </c>
    </row>
    <row r="1265" spans="1:13" ht="86.4" x14ac:dyDescent="0.3">
      <c r="A1265" s="22" t="s">
        <v>5294</v>
      </c>
      <c r="B1265" s="22" t="s">
        <v>5295</v>
      </c>
      <c r="C1265" s="26" t="s">
        <v>9015</v>
      </c>
      <c r="D1265" s="24" t="s">
        <v>5296</v>
      </c>
      <c r="E1265" s="22"/>
      <c r="F1265" s="22"/>
      <c r="G1265" s="22"/>
      <c r="H1265" s="22"/>
      <c r="I1265" s="25" t="s">
        <v>5297</v>
      </c>
      <c r="J1265" s="22"/>
      <c r="K1265" s="22" t="s">
        <v>5298</v>
      </c>
      <c r="L1265" s="24" t="s">
        <v>1965</v>
      </c>
      <c r="M1265" s="22" t="str">
        <f>HYPERLINK("https://ceds.ed.gov/cedselementdetails.aspx?termid=21178")</f>
        <v>https://ceds.ed.gov/cedselementdetails.aspx?termid=21178</v>
      </c>
    </row>
    <row r="1266" spans="1:13" ht="100.8" x14ac:dyDescent="0.3">
      <c r="A1266" s="22" t="s">
        <v>5299</v>
      </c>
      <c r="B1266" s="22" t="s">
        <v>5300</v>
      </c>
      <c r="C1266" s="26" t="s">
        <v>9016</v>
      </c>
      <c r="D1266" s="22" t="s">
        <v>8083</v>
      </c>
      <c r="E1266" s="22"/>
      <c r="F1266" s="22"/>
      <c r="G1266" s="22"/>
      <c r="H1266" s="22"/>
      <c r="I1266" s="25" t="s">
        <v>5301</v>
      </c>
      <c r="J1266" s="22"/>
      <c r="K1266" s="22" t="s">
        <v>5302</v>
      </c>
      <c r="L1266" s="24" t="s">
        <v>3559</v>
      </c>
      <c r="M1266" s="22" t="str">
        <f>HYPERLINK("https://ceds.ed.gov/cedselementdetails.aspx?termid=21340")</f>
        <v>https://ceds.ed.gov/cedselementdetails.aspx?termid=21340</v>
      </c>
    </row>
    <row r="1267" spans="1:13" ht="57.6" x14ac:dyDescent="0.3">
      <c r="A1267" s="22" t="s">
        <v>5303</v>
      </c>
      <c r="B1267" s="22" t="s">
        <v>5304</v>
      </c>
      <c r="C1267" s="26" t="s">
        <v>8599</v>
      </c>
      <c r="D1267" s="22" t="s">
        <v>8053</v>
      </c>
      <c r="E1267" s="22"/>
      <c r="F1267" s="22"/>
      <c r="G1267" s="22"/>
      <c r="H1267" s="22"/>
      <c r="I1267" s="25" t="s">
        <v>5305</v>
      </c>
      <c r="J1267" s="22"/>
      <c r="K1267" s="22" t="s">
        <v>5306</v>
      </c>
      <c r="L1267" s="24" t="s">
        <v>2487</v>
      </c>
      <c r="M1267" s="22" t="str">
        <f>HYPERLINK("https://ceds.ed.gov/cedselementdetails.aspx?termid=21349")</f>
        <v>https://ceds.ed.gov/cedselementdetails.aspx?termid=21349</v>
      </c>
    </row>
    <row r="1268" spans="1:13" x14ac:dyDescent="0.3">
      <c r="A1268" s="22" t="s">
        <v>5307</v>
      </c>
      <c r="B1268" s="22" t="s">
        <v>5308</v>
      </c>
      <c r="C1268" s="23" t="s">
        <v>32</v>
      </c>
      <c r="D1268" s="22" t="s">
        <v>1584</v>
      </c>
      <c r="E1268" s="22"/>
      <c r="F1268" s="22" t="s">
        <v>1518</v>
      </c>
      <c r="G1268" s="22"/>
      <c r="H1268" s="22"/>
      <c r="I1268" s="25" t="s">
        <v>5309</v>
      </c>
      <c r="J1268" s="22"/>
      <c r="K1268" s="22" t="s">
        <v>5310</v>
      </c>
      <c r="L1268" s="22"/>
      <c r="M1268" s="22" t="str">
        <f>HYPERLINK("https://ceds.ed.gov/cedselementdetails.aspx?termid=22830")</f>
        <v>https://ceds.ed.gov/cedselementdetails.aspx?termid=22830</v>
      </c>
    </row>
    <row r="1269" spans="1:13" ht="100.8" x14ac:dyDescent="0.3">
      <c r="A1269" s="22" t="s">
        <v>5311</v>
      </c>
      <c r="B1269" s="22" t="s">
        <v>8246</v>
      </c>
      <c r="C1269" s="26" t="s">
        <v>9017</v>
      </c>
      <c r="D1269" s="22"/>
      <c r="E1269" s="22" t="s">
        <v>7959</v>
      </c>
      <c r="F1269" s="22"/>
      <c r="G1269" s="22" t="s">
        <v>8247</v>
      </c>
      <c r="H1269" s="22"/>
      <c r="I1269" s="25" t="s">
        <v>5312</v>
      </c>
      <c r="J1269" s="22" t="s">
        <v>5313</v>
      </c>
      <c r="K1269" s="22" t="s">
        <v>5314</v>
      </c>
      <c r="L1269" s="22" t="s">
        <v>58</v>
      </c>
      <c r="M1269" s="22" t="str">
        <f>HYPERLINK("https://ceds.ed.gov/cedselementdetails.aspx?termid=21179")</f>
        <v>https://ceds.ed.gov/cedselementdetails.aspx?termid=21179</v>
      </c>
    </row>
    <row r="1270" spans="1:13" ht="230.4" x14ac:dyDescent="0.3">
      <c r="A1270" s="22" t="s">
        <v>5315</v>
      </c>
      <c r="B1270" s="22" t="s">
        <v>5316</v>
      </c>
      <c r="C1270" s="26" t="s">
        <v>9018</v>
      </c>
      <c r="D1270" s="22" t="s">
        <v>61</v>
      </c>
      <c r="E1270" s="22"/>
      <c r="F1270" s="22"/>
      <c r="G1270" s="22"/>
      <c r="H1270" s="22"/>
      <c r="I1270" s="25" t="s">
        <v>5317</v>
      </c>
      <c r="J1270" s="22"/>
      <c r="K1270" s="22" t="s">
        <v>5318</v>
      </c>
      <c r="L1270" s="22" t="s">
        <v>214</v>
      </c>
      <c r="M1270" s="22" t="str">
        <f>HYPERLINK("https://ceds.ed.gov/cedselementdetails.aspx?termid=21456")</f>
        <v>https://ceds.ed.gov/cedselementdetails.aspx?termid=21456</v>
      </c>
    </row>
    <row r="1271" spans="1:13" ht="43.2" x14ac:dyDescent="0.3">
      <c r="A1271" s="22" t="s">
        <v>5319</v>
      </c>
      <c r="B1271" s="22" t="s">
        <v>5320</v>
      </c>
      <c r="C1271" s="26" t="s">
        <v>22</v>
      </c>
      <c r="D1271" s="22" t="s">
        <v>61</v>
      </c>
      <c r="E1271" s="22"/>
      <c r="F1271" s="22"/>
      <c r="G1271" s="22"/>
      <c r="H1271" s="22"/>
      <c r="I1271" s="25" t="s">
        <v>5321</v>
      </c>
      <c r="J1271" s="22"/>
      <c r="K1271" s="22" t="s">
        <v>5322</v>
      </c>
      <c r="L1271" s="22" t="s">
        <v>214</v>
      </c>
      <c r="M1271" s="22" t="str">
        <f>HYPERLINK("https://ceds.ed.gov/cedselementdetails.aspx?termid=21457")</f>
        <v>https://ceds.ed.gov/cedselementdetails.aspx?termid=21457</v>
      </c>
    </row>
    <row r="1272" spans="1:13" ht="43.2" x14ac:dyDescent="0.3">
      <c r="A1272" s="22" t="s">
        <v>5323</v>
      </c>
      <c r="B1272" s="22" t="s">
        <v>5324</v>
      </c>
      <c r="C1272" s="26" t="s">
        <v>22</v>
      </c>
      <c r="D1272" s="22" t="s">
        <v>61</v>
      </c>
      <c r="E1272" s="22"/>
      <c r="F1272" s="22"/>
      <c r="G1272" s="22"/>
      <c r="H1272" s="22"/>
      <c r="I1272" s="25" t="s">
        <v>5325</v>
      </c>
      <c r="J1272" s="22"/>
      <c r="K1272" s="22" t="s">
        <v>5326</v>
      </c>
      <c r="L1272" s="22" t="s">
        <v>214</v>
      </c>
      <c r="M1272" s="22" t="str">
        <f>HYPERLINK("https://ceds.ed.gov/cedselementdetails.aspx?termid=21458")</f>
        <v>https://ceds.ed.gov/cedselementdetails.aspx?termid=21458</v>
      </c>
    </row>
    <row r="1273" spans="1:13" ht="43.2" x14ac:dyDescent="0.3">
      <c r="A1273" s="22" t="s">
        <v>5327</v>
      </c>
      <c r="B1273" s="22" t="s">
        <v>5328</v>
      </c>
      <c r="C1273" s="26" t="s">
        <v>22</v>
      </c>
      <c r="D1273" s="22" t="s">
        <v>61</v>
      </c>
      <c r="E1273" s="22"/>
      <c r="F1273" s="22"/>
      <c r="G1273" s="22"/>
      <c r="H1273" s="22"/>
      <c r="I1273" s="25" t="s">
        <v>5329</v>
      </c>
      <c r="J1273" s="22"/>
      <c r="K1273" s="22" t="s">
        <v>5330</v>
      </c>
      <c r="L1273" s="22" t="s">
        <v>214</v>
      </c>
      <c r="M1273" s="22" t="str">
        <f>HYPERLINK("https://ceds.ed.gov/cedselementdetails.aspx?termid=21459")</f>
        <v>https://ceds.ed.gov/cedselementdetails.aspx?termid=21459</v>
      </c>
    </row>
    <row r="1274" spans="1:13" ht="57.6" x14ac:dyDescent="0.3">
      <c r="A1274" s="22" t="s">
        <v>5331</v>
      </c>
      <c r="B1274" s="22" t="s">
        <v>5332</v>
      </c>
      <c r="C1274" s="26" t="s">
        <v>9019</v>
      </c>
      <c r="D1274" s="22" t="s">
        <v>5333</v>
      </c>
      <c r="E1274" s="22"/>
      <c r="F1274" s="22"/>
      <c r="G1274" s="22"/>
      <c r="H1274" s="22"/>
      <c r="I1274" s="25" t="s">
        <v>5334</v>
      </c>
      <c r="J1274" s="22" t="s">
        <v>5335</v>
      </c>
      <c r="K1274" s="22" t="s">
        <v>5336</v>
      </c>
      <c r="L1274" s="22" t="s">
        <v>214</v>
      </c>
      <c r="M1274" s="22" t="str">
        <f>HYPERLINK("https://ceds.ed.gov/cedselementdetails.aspx?termid=21441")</f>
        <v>https://ceds.ed.gov/cedselementdetails.aspx?termid=21441</v>
      </c>
    </row>
    <row r="1275" spans="1:13" ht="244.8" x14ac:dyDescent="0.3">
      <c r="A1275" s="22" t="s">
        <v>5337</v>
      </c>
      <c r="B1275" s="22" t="s">
        <v>5338</v>
      </c>
      <c r="C1275" s="26" t="s">
        <v>8472</v>
      </c>
      <c r="D1275" s="24" t="s">
        <v>8473</v>
      </c>
      <c r="E1275" s="22" t="s">
        <v>172</v>
      </c>
      <c r="F1275" s="22"/>
      <c r="G1275" s="22" t="s">
        <v>7946</v>
      </c>
      <c r="H1275" s="22"/>
      <c r="I1275" s="25" t="s">
        <v>5339</v>
      </c>
      <c r="J1275" s="22" t="s">
        <v>5340</v>
      </c>
      <c r="K1275" s="22" t="s">
        <v>5341</v>
      </c>
      <c r="L1275" s="24" t="s">
        <v>5342</v>
      </c>
      <c r="M1275" s="22" t="str">
        <f>HYPERLINK("https://ceds.ed.gov/cedselementdetails.aspx?termid=21159")</f>
        <v>https://ceds.ed.gov/cedselementdetails.aspx?termid=21159</v>
      </c>
    </row>
    <row r="1276" spans="1:13" ht="216" x14ac:dyDescent="0.3">
      <c r="A1276" s="22" t="s">
        <v>5343</v>
      </c>
      <c r="B1276" s="22" t="s">
        <v>5344</v>
      </c>
      <c r="C1276" s="23" t="s">
        <v>32</v>
      </c>
      <c r="D1276" s="24" t="s">
        <v>8473</v>
      </c>
      <c r="E1276" s="22" t="s">
        <v>172</v>
      </c>
      <c r="F1276" s="22" t="s">
        <v>132</v>
      </c>
      <c r="G1276" s="22" t="s">
        <v>7946</v>
      </c>
      <c r="H1276" s="22" t="s">
        <v>8043</v>
      </c>
      <c r="I1276" s="25" t="s">
        <v>5345</v>
      </c>
      <c r="J1276" s="22" t="s">
        <v>5346</v>
      </c>
      <c r="K1276" s="22" t="s">
        <v>5347</v>
      </c>
      <c r="L1276" s="24" t="s">
        <v>5342</v>
      </c>
      <c r="M1276" s="22" t="str">
        <f>HYPERLINK("https://ceds.ed.gov/cedselementdetails.aspx?termid=21153")</f>
        <v>https://ceds.ed.gov/cedselementdetails.aspx?termid=21153</v>
      </c>
    </row>
    <row r="1277" spans="1:13" ht="86.4" x14ac:dyDescent="0.3">
      <c r="A1277" s="22" t="s">
        <v>5348</v>
      </c>
      <c r="B1277" s="22" t="s">
        <v>5349</v>
      </c>
      <c r="C1277" s="26" t="s">
        <v>9020</v>
      </c>
      <c r="D1277" s="22" t="s">
        <v>101</v>
      </c>
      <c r="E1277" s="22"/>
      <c r="F1277" s="22"/>
      <c r="G1277" s="22"/>
      <c r="H1277" s="22"/>
      <c r="I1277" s="25" t="s">
        <v>5350</v>
      </c>
      <c r="J1277" s="22" t="s">
        <v>5351</v>
      </c>
      <c r="K1277" s="22" t="s">
        <v>5352</v>
      </c>
      <c r="L1277" s="22" t="s">
        <v>226</v>
      </c>
      <c r="M1277" s="22" t="str">
        <f>HYPERLINK("https://ceds.ed.gov/cedselementdetails.aspx?termid=21173")</f>
        <v>https://ceds.ed.gov/cedselementdetails.aspx?termid=21173</v>
      </c>
    </row>
    <row r="1278" spans="1:13" ht="129.6" x14ac:dyDescent="0.3">
      <c r="A1278" s="22" t="s">
        <v>5353</v>
      </c>
      <c r="B1278" s="22" t="s">
        <v>5354</v>
      </c>
      <c r="C1278" s="26" t="s">
        <v>8474</v>
      </c>
      <c r="D1278" s="24" t="s">
        <v>8475</v>
      </c>
      <c r="E1278" s="22" t="s">
        <v>172</v>
      </c>
      <c r="F1278" s="22"/>
      <c r="G1278" s="22" t="s">
        <v>7946</v>
      </c>
      <c r="H1278" s="22"/>
      <c r="I1278" s="25" t="s">
        <v>5356</v>
      </c>
      <c r="J1278" s="22" t="s">
        <v>5357</v>
      </c>
      <c r="K1278" s="22" t="s">
        <v>5358</v>
      </c>
      <c r="L1278" s="22" t="s">
        <v>226</v>
      </c>
      <c r="M1278" s="22" t="str">
        <f>HYPERLINK("https://ceds.ed.gov/cedselementdetails.aspx?termid=21174")</f>
        <v>https://ceds.ed.gov/cedselementdetails.aspx?termid=21174</v>
      </c>
    </row>
    <row r="1279" spans="1:13" x14ac:dyDescent="0.3">
      <c r="A1279" s="22" t="s">
        <v>5359</v>
      </c>
      <c r="B1279" s="22" t="s">
        <v>8248</v>
      </c>
      <c r="C1279" s="23" t="s">
        <v>32</v>
      </c>
      <c r="D1279" s="22" t="s">
        <v>5355</v>
      </c>
      <c r="E1279" s="22"/>
      <c r="F1279" s="22" t="s">
        <v>5360</v>
      </c>
      <c r="G1279" s="22"/>
      <c r="H1279" s="22"/>
      <c r="I1279" s="25" t="s">
        <v>5361</v>
      </c>
      <c r="J1279" s="22" t="s">
        <v>5362</v>
      </c>
      <c r="K1279" s="22" t="s">
        <v>5363</v>
      </c>
      <c r="L1279" s="22" t="s">
        <v>226</v>
      </c>
      <c r="M1279" s="22" t="str">
        <f>HYPERLINK("https://ceds.ed.gov/cedselementdetails.aspx?termid=21175")</f>
        <v>https://ceds.ed.gov/cedselementdetails.aspx?termid=21175</v>
      </c>
    </row>
    <row r="1280" spans="1:13" ht="43.2" x14ac:dyDescent="0.3">
      <c r="A1280" s="22" t="s">
        <v>5364</v>
      </c>
      <c r="B1280" s="22" t="s">
        <v>5365</v>
      </c>
      <c r="C1280" s="26" t="s">
        <v>22</v>
      </c>
      <c r="D1280" s="22" t="s">
        <v>5333</v>
      </c>
      <c r="E1280" s="22"/>
      <c r="F1280" s="22"/>
      <c r="G1280" s="22"/>
      <c r="H1280" s="22"/>
      <c r="I1280" s="25" t="s">
        <v>5366</v>
      </c>
      <c r="J1280" s="22" t="s">
        <v>5367</v>
      </c>
      <c r="K1280" s="22" t="s">
        <v>5368</v>
      </c>
      <c r="L1280" s="22" t="s">
        <v>214</v>
      </c>
      <c r="M1280" s="22" t="str">
        <f>HYPERLINK("https://ceds.ed.gov/cedselementdetails.aspx?termid=21436")</f>
        <v>https://ceds.ed.gov/cedselementdetails.aspx?termid=21436</v>
      </c>
    </row>
    <row r="1281" spans="1:13" ht="259.2" x14ac:dyDescent="0.3">
      <c r="A1281" s="22" t="s">
        <v>5369</v>
      </c>
      <c r="B1281" s="22" t="s">
        <v>8249</v>
      </c>
      <c r="C1281" s="26" t="s">
        <v>8476</v>
      </c>
      <c r="D1281" s="24" t="s">
        <v>8475</v>
      </c>
      <c r="E1281" s="22" t="s">
        <v>172</v>
      </c>
      <c r="F1281" s="22"/>
      <c r="G1281" s="22" t="s">
        <v>7946</v>
      </c>
      <c r="H1281" s="22" t="s">
        <v>8250</v>
      </c>
      <c r="I1281" s="25" t="s">
        <v>5370</v>
      </c>
      <c r="J1281" s="22"/>
      <c r="K1281" s="22" t="s">
        <v>5371</v>
      </c>
      <c r="L1281" s="22" t="s">
        <v>226</v>
      </c>
      <c r="M1281" s="22" t="str">
        <f>HYPERLINK("https://ceds.ed.gov/cedselementdetails.aspx?termid=21528")</f>
        <v>https://ceds.ed.gov/cedselementdetails.aspx?termid=21528</v>
      </c>
    </row>
    <row r="1282" spans="1:13" ht="409.6" x14ac:dyDescent="0.3">
      <c r="A1282" s="22" t="s">
        <v>5372</v>
      </c>
      <c r="B1282" s="22" t="s">
        <v>5373</v>
      </c>
      <c r="C1282" s="23" t="s">
        <v>32</v>
      </c>
      <c r="D1282" s="24" t="s">
        <v>8995</v>
      </c>
      <c r="E1282" s="22"/>
      <c r="F1282" s="22" t="s">
        <v>1165</v>
      </c>
      <c r="G1282" s="22"/>
      <c r="H1282" s="22"/>
      <c r="I1282" s="25" t="s">
        <v>5374</v>
      </c>
      <c r="J1282" s="22"/>
      <c r="K1282" s="22" t="s">
        <v>5372</v>
      </c>
      <c r="L1282" s="22"/>
      <c r="M1282" s="22" t="str">
        <f>HYPERLINK("https://ceds.ed.gov/cedselementdetails.aspx?termid=21600")</f>
        <v>https://ceds.ed.gov/cedselementdetails.aspx?termid=21600</v>
      </c>
    </row>
    <row r="1283" spans="1:13" ht="43.2" x14ac:dyDescent="0.3">
      <c r="A1283" s="22" t="s">
        <v>5375</v>
      </c>
      <c r="B1283" s="22" t="s">
        <v>5376</v>
      </c>
      <c r="C1283" s="26" t="s">
        <v>22</v>
      </c>
      <c r="D1283" s="22" t="s">
        <v>3209</v>
      </c>
      <c r="E1283" s="22"/>
      <c r="F1283" s="22"/>
      <c r="G1283" s="22"/>
      <c r="H1283" s="22"/>
      <c r="I1283" s="25" t="s">
        <v>5377</v>
      </c>
      <c r="J1283" s="22"/>
      <c r="K1283" s="22" t="s">
        <v>5378</v>
      </c>
      <c r="L1283" s="22"/>
      <c r="M1283" s="22" t="str">
        <f>HYPERLINK("https://ceds.ed.gov/cedselementdetails.aspx?termid=21758")</f>
        <v>https://ceds.ed.gov/cedselementdetails.aspx?termid=21758</v>
      </c>
    </row>
    <row r="1284" spans="1:13" ht="72" x14ac:dyDescent="0.3">
      <c r="A1284" s="22" t="s">
        <v>5379</v>
      </c>
      <c r="B1284" s="22" t="s">
        <v>5380</v>
      </c>
      <c r="C1284" s="26" t="s">
        <v>9021</v>
      </c>
      <c r="D1284" s="22" t="s">
        <v>229</v>
      </c>
      <c r="E1284" s="22"/>
      <c r="F1284" s="22"/>
      <c r="G1284" s="22"/>
      <c r="H1284" s="22"/>
      <c r="I1284" s="25" t="s">
        <v>5381</v>
      </c>
      <c r="J1284" s="22"/>
      <c r="K1284" s="22" t="s">
        <v>5382</v>
      </c>
      <c r="L1284" s="24" t="s">
        <v>64</v>
      </c>
      <c r="M1284" s="22" t="str">
        <f>HYPERLINK("https://ceds.ed.gov/cedselementdetails.aspx?termid=21181")</f>
        <v>https://ceds.ed.gov/cedselementdetails.aspx?termid=21181</v>
      </c>
    </row>
    <row r="1285" spans="1:13" ht="86.4" x14ac:dyDescent="0.3">
      <c r="A1285" s="22" t="s">
        <v>7579</v>
      </c>
      <c r="B1285" s="22" t="s">
        <v>7580</v>
      </c>
      <c r="C1285" s="26" t="s">
        <v>9022</v>
      </c>
      <c r="D1285" s="24" t="s">
        <v>9023</v>
      </c>
      <c r="E1285" s="22"/>
      <c r="F1285" s="22"/>
      <c r="G1285" s="22"/>
      <c r="H1285" s="22" t="s">
        <v>7581</v>
      </c>
      <c r="I1285" s="25" t="s">
        <v>7582</v>
      </c>
      <c r="J1285" s="22"/>
      <c r="K1285" s="22" t="s">
        <v>7583</v>
      </c>
      <c r="L1285" s="22"/>
      <c r="M1285" s="22" t="str">
        <f>HYPERLINK("https://ceds.ed.gov/cedselementdetails.aspx?termid=22942")</f>
        <v>https://ceds.ed.gov/cedselementdetails.aspx?termid=22942</v>
      </c>
    </row>
    <row r="1286" spans="1:13" ht="100.8" x14ac:dyDescent="0.3">
      <c r="A1286" s="22" t="s">
        <v>5383</v>
      </c>
      <c r="B1286" s="22" t="s">
        <v>5384</v>
      </c>
      <c r="C1286" s="23" t="s">
        <v>32</v>
      </c>
      <c r="D1286" s="24" t="s">
        <v>5385</v>
      </c>
      <c r="E1286" s="22"/>
      <c r="F1286" s="22" t="s">
        <v>85</v>
      </c>
      <c r="G1286" s="22"/>
      <c r="H1286" s="22"/>
      <c r="I1286" s="25" t="s">
        <v>5386</v>
      </c>
      <c r="J1286" s="22"/>
      <c r="K1286" s="22" t="s">
        <v>5387</v>
      </c>
      <c r="L1286" s="24" t="s">
        <v>64</v>
      </c>
      <c r="M1286" s="22" t="str">
        <f>HYPERLINK("https://ceds.ed.gov/cedselementdetails.aspx?termid=21182")</f>
        <v>https://ceds.ed.gov/cedselementdetails.aspx?termid=21182</v>
      </c>
    </row>
    <row r="1287" spans="1:13" ht="158.4" x14ac:dyDescent="0.3">
      <c r="A1287" s="22" t="s">
        <v>5388</v>
      </c>
      <c r="B1287" s="22" t="s">
        <v>5389</v>
      </c>
      <c r="C1287" s="26" t="s">
        <v>9024</v>
      </c>
      <c r="D1287" s="22" t="s">
        <v>1874</v>
      </c>
      <c r="E1287" s="22"/>
      <c r="F1287" s="22"/>
      <c r="G1287" s="22"/>
      <c r="H1287" s="22"/>
      <c r="I1287" s="25" t="s">
        <v>5390</v>
      </c>
      <c r="J1287" s="22"/>
      <c r="K1287" s="22" t="s">
        <v>5391</v>
      </c>
      <c r="L1287" s="22"/>
      <c r="M1287" s="22" t="str">
        <f>HYPERLINK("https://ceds.ed.gov/cedselementdetails.aspx?termid=22194")</f>
        <v>https://ceds.ed.gov/cedselementdetails.aspx?termid=22194</v>
      </c>
    </row>
    <row r="1288" spans="1:13" ht="57.6" x14ac:dyDescent="0.3">
      <c r="A1288" s="22" t="s">
        <v>5392</v>
      </c>
      <c r="B1288" s="22" t="s">
        <v>5393</v>
      </c>
      <c r="C1288" s="26" t="s">
        <v>9025</v>
      </c>
      <c r="D1288" s="24" t="s">
        <v>8596</v>
      </c>
      <c r="E1288" s="22"/>
      <c r="F1288" s="22"/>
      <c r="G1288" s="22"/>
      <c r="H1288" s="22"/>
      <c r="I1288" s="25" t="s">
        <v>5394</v>
      </c>
      <c r="J1288" s="22"/>
      <c r="K1288" s="22" t="s">
        <v>5395</v>
      </c>
      <c r="L1288" s="22" t="s">
        <v>1553</v>
      </c>
      <c r="M1288" s="22" t="str">
        <f>HYPERLINK("https://ceds.ed.gov/cedselementdetails.aspx?termid=21429")</f>
        <v>https://ceds.ed.gov/cedselementdetails.aspx?termid=21429</v>
      </c>
    </row>
    <row r="1289" spans="1:13" ht="43.2" x14ac:dyDescent="0.3">
      <c r="A1289" s="22" t="s">
        <v>5396</v>
      </c>
      <c r="B1289" s="22" t="s">
        <v>8251</v>
      </c>
      <c r="C1289" s="26" t="s">
        <v>22</v>
      </c>
      <c r="D1289" s="22" t="s">
        <v>66</v>
      </c>
      <c r="E1289" s="22"/>
      <c r="F1289" s="22"/>
      <c r="G1289" s="22"/>
      <c r="H1289" s="22" t="s">
        <v>3900</v>
      </c>
      <c r="I1289" s="25" t="s">
        <v>5397</v>
      </c>
      <c r="J1289" s="22"/>
      <c r="K1289" s="22" t="s">
        <v>5398</v>
      </c>
      <c r="L1289" s="22" t="s">
        <v>69</v>
      </c>
      <c r="M1289" s="22" t="str">
        <f>HYPERLINK("https://ceds.ed.gov/cedselementdetails.aspx?termid=21710")</f>
        <v>https://ceds.ed.gov/cedselementdetails.aspx?termid=21710</v>
      </c>
    </row>
    <row r="1290" spans="1:13" x14ac:dyDescent="0.3">
      <c r="A1290" s="22" t="s">
        <v>5399</v>
      </c>
      <c r="B1290" s="22" t="s">
        <v>5400</v>
      </c>
      <c r="C1290" s="23" t="s">
        <v>32</v>
      </c>
      <c r="D1290" s="22" t="s">
        <v>8252</v>
      </c>
      <c r="E1290" s="22"/>
      <c r="F1290" s="22" t="s">
        <v>118</v>
      </c>
      <c r="G1290" s="22"/>
      <c r="H1290" s="22" t="s">
        <v>143</v>
      </c>
      <c r="I1290" s="25" t="s">
        <v>5401</v>
      </c>
      <c r="J1290" s="22"/>
      <c r="K1290" s="22" t="s">
        <v>5402</v>
      </c>
      <c r="L1290" s="22"/>
      <c r="M1290" s="22" t="str">
        <f>HYPERLINK("https://ceds.ed.gov/cedselementdetails.aspx?termid=22593")</f>
        <v>https://ceds.ed.gov/cedselementdetails.aspx?termid=22593</v>
      </c>
    </row>
    <row r="1291" spans="1:13" x14ac:dyDescent="0.3">
      <c r="A1291" s="22" t="s">
        <v>5403</v>
      </c>
      <c r="B1291" s="22" t="s">
        <v>5404</v>
      </c>
      <c r="C1291" s="23" t="s">
        <v>32</v>
      </c>
      <c r="D1291" s="22" t="s">
        <v>8252</v>
      </c>
      <c r="E1291" s="22"/>
      <c r="F1291" s="22" t="s">
        <v>118</v>
      </c>
      <c r="G1291" s="22"/>
      <c r="H1291" s="22"/>
      <c r="I1291" s="25" t="s">
        <v>5405</v>
      </c>
      <c r="J1291" s="22"/>
      <c r="K1291" s="22" t="s">
        <v>5406</v>
      </c>
      <c r="L1291" s="22"/>
      <c r="M1291" s="22" t="str">
        <f>HYPERLINK("https://ceds.ed.gov/cedselementdetails.aspx?termid=22594")</f>
        <v>https://ceds.ed.gov/cedselementdetails.aspx?termid=22594</v>
      </c>
    </row>
    <row r="1292" spans="1:13" ht="43.2" x14ac:dyDescent="0.3">
      <c r="A1292" s="22" t="s">
        <v>5407</v>
      </c>
      <c r="B1292" s="22" t="s">
        <v>5408</v>
      </c>
      <c r="C1292" s="26" t="s">
        <v>9026</v>
      </c>
      <c r="D1292" s="22" t="s">
        <v>8214</v>
      </c>
      <c r="E1292" s="22"/>
      <c r="F1292" s="22" t="s">
        <v>157</v>
      </c>
      <c r="G1292" s="22"/>
      <c r="H1292" s="22"/>
      <c r="I1292" s="25" t="s">
        <v>5409</v>
      </c>
      <c r="J1292" s="22"/>
      <c r="K1292" s="22" t="s">
        <v>5410</v>
      </c>
      <c r="L1292" s="22"/>
      <c r="M1292" s="22" t="str">
        <f>HYPERLINK("https://ceds.ed.gov/cedselementdetails.aspx?termid=22482")</f>
        <v>https://ceds.ed.gov/cedselementdetails.aspx?termid=22482</v>
      </c>
    </row>
    <row r="1293" spans="1:13" ht="100.8" x14ac:dyDescent="0.3">
      <c r="A1293" s="22" t="s">
        <v>5411</v>
      </c>
      <c r="B1293" s="22" t="s">
        <v>5412</v>
      </c>
      <c r="C1293" s="23" t="s">
        <v>32</v>
      </c>
      <c r="D1293" s="24" t="s">
        <v>5385</v>
      </c>
      <c r="E1293" s="22"/>
      <c r="F1293" s="22" t="s">
        <v>2543</v>
      </c>
      <c r="G1293" s="22"/>
      <c r="H1293" s="22"/>
      <c r="I1293" s="25" t="s">
        <v>5413</v>
      </c>
      <c r="J1293" s="22"/>
      <c r="K1293" s="22" t="s">
        <v>5414</v>
      </c>
      <c r="L1293" s="24" t="s">
        <v>64</v>
      </c>
      <c r="M1293" s="22" t="str">
        <f>HYPERLINK("https://ceds.ed.gov/cedselementdetails.aspx?termid=21183")</f>
        <v>https://ceds.ed.gov/cedselementdetails.aspx?termid=21183</v>
      </c>
    </row>
    <row r="1294" spans="1:13" ht="409.6" x14ac:dyDescent="0.3">
      <c r="A1294" s="22" t="s">
        <v>5415</v>
      </c>
      <c r="B1294" s="22" t="s">
        <v>5416</v>
      </c>
      <c r="C1294" s="23" t="s">
        <v>32</v>
      </c>
      <c r="D1294" s="24" t="s">
        <v>9027</v>
      </c>
      <c r="E1294" s="22"/>
      <c r="F1294" s="22" t="s">
        <v>7536</v>
      </c>
      <c r="G1294" s="22"/>
      <c r="H1294" s="22" t="s">
        <v>8207</v>
      </c>
      <c r="I1294" s="25" t="s">
        <v>5417</v>
      </c>
      <c r="J1294" s="22"/>
      <c r="K1294" s="22" t="s">
        <v>5418</v>
      </c>
      <c r="L1294" s="24" t="s">
        <v>4054</v>
      </c>
      <c r="M1294" s="22" t="str">
        <f>HYPERLINK("https://ceds.ed.gov/cedselementdetails.aspx?termid=21184")</f>
        <v>https://ceds.ed.gov/cedselementdetails.aspx?termid=21184</v>
      </c>
    </row>
    <row r="1295" spans="1:13" ht="43.2" x14ac:dyDescent="0.3">
      <c r="A1295" s="22" t="s">
        <v>5419</v>
      </c>
      <c r="B1295" s="22" t="s">
        <v>5420</v>
      </c>
      <c r="C1295" s="26" t="s">
        <v>22</v>
      </c>
      <c r="D1295" s="22" t="s">
        <v>2480</v>
      </c>
      <c r="E1295" s="22"/>
      <c r="F1295" s="22"/>
      <c r="G1295" s="22"/>
      <c r="H1295" s="22"/>
      <c r="I1295" s="25" t="s">
        <v>5421</v>
      </c>
      <c r="J1295" s="22" t="s">
        <v>5422</v>
      </c>
      <c r="K1295" s="22" t="s">
        <v>5423</v>
      </c>
      <c r="L1295" s="22" t="s">
        <v>226</v>
      </c>
      <c r="M1295" s="22" t="str">
        <f>HYPERLINK("https://ceds.ed.gov/cedselementdetails.aspx?termid=21555")</f>
        <v>https://ceds.ed.gov/cedselementdetails.aspx?termid=21555</v>
      </c>
    </row>
    <row r="1296" spans="1:13" x14ac:dyDescent="0.3">
      <c r="A1296" s="22" t="s">
        <v>5424</v>
      </c>
      <c r="B1296" s="22" t="s">
        <v>5425</v>
      </c>
      <c r="C1296" s="23" t="s">
        <v>32</v>
      </c>
      <c r="D1296" s="22" t="s">
        <v>2480</v>
      </c>
      <c r="E1296" s="22"/>
      <c r="F1296" s="22" t="s">
        <v>118</v>
      </c>
      <c r="G1296" s="22"/>
      <c r="H1296" s="22"/>
      <c r="I1296" s="25" t="s">
        <v>5426</v>
      </c>
      <c r="J1296" s="22" t="s">
        <v>5427</v>
      </c>
      <c r="K1296" s="22" t="s">
        <v>5428</v>
      </c>
      <c r="L1296" s="22" t="s">
        <v>1553</v>
      </c>
      <c r="M1296" s="22" t="str">
        <f>HYPERLINK("https://ceds.ed.gov/cedselementdetails.aspx?termid=21420")</f>
        <v>https://ceds.ed.gov/cedselementdetails.aspx?termid=21420</v>
      </c>
    </row>
    <row r="1297" spans="1:13" ht="129.6" x14ac:dyDescent="0.3">
      <c r="A1297" s="22" t="s">
        <v>5429</v>
      </c>
      <c r="B1297" s="22" t="s">
        <v>5430</v>
      </c>
      <c r="C1297" s="26" t="s">
        <v>9028</v>
      </c>
      <c r="D1297" s="22" t="s">
        <v>2480</v>
      </c>
      <c r="E1297" s="22"/>
      <c r="F1297" s="22"/>
      <c r="G1297" s="22"/>
      <c r="H1297" s="22"/>
      <c r="I1297" s="25" t="s">
        <v>5431</v>
      </c>
      <c r="J1297" s="22" t="s">
        <v>5432</v>
      </c>
      <c r="K1297" s="22" t="s">
        <v>5433</v>
      </c>
      <c r="L1297" s="22" t="s">
        <v>1553</v>
      </c>
      <c r="M1297" s="22" t="str">
        <f>HYPERLINK("https://ceds.ed.gov/cedselementdetails.aspx?termid=21427")</f>
        <v>https://ceds.ed.gov/cedselementdetails.aspx?termid=21427</v>
      </c>
    </row>
    <row r="1298" spans="1:13" ht="43.2" x14ac:dyDescent="0.3">
      <c r="A1298" s="22" t="s">
        <v>5434</v>
      </c>
      <c r="B1298" s="22" t="s">
        <v>5435</v>
      </c>
      <c r="C1298" s="26" t="s">
        <v>22</v>
      </c>
      <c r="D1298" s="22" t="s">
        <v>2480</v>
      </c>
      <c r="E1298" s="22"/>
      <c r="F1298" s="22"/>
      <c r="G1298" s="22"/>
      <c r="H1298" s="22"/>
      <c r="I1298" s="25" t="s">
        <v>5436</v>
      </c>
      <c r="J1298" s="22" t="s">
        <v>5437</v>
      </c>
      <c r="K1298" s="22" t="s">
        <v>5438</v>
      </c>
      <c r="L1298" s="22" t="s">
        <v>226</v>
      </c>
      <c r="M1298" s="22" t="str">
        <f>HYPERLINK("https://ceds.ed.gov/cedselementdetails.aspx?termid=21185")</f>
        <v>https://ceds.ed.gov/cedselementdetails.aspx?termid=21185</v>
      </c>
    </row>
    <row r="1299" spans="1:13" ht="43.2" x14ac:dyDescent="0.3">
      <c r="A1299" s="22" t="s">
        <v>5439</v>
      </c>
      <c r="B1299" s="22" t="s">
        <v>5440</v>
      </c>
      <c r="C1299" s="26" t="s">
        <v>22</v>
      </c>
      <c r="D1299" s="24" t="s">
        <v>8415</v>
      </c>
      <c r="E1299" s="22" t="s">
        <v>172</v>
      </c>
      <c r="F1299" s="22"/>
      <c r="G1299" s="22" t="s">
        <v>7946</v>
      </c>
      <c r="H1299" s="22"/>
      <c r="I1299" s="25" t="s">
        <v>5441</v>
      </c>
      <c r="J1299" s="22" t="s">
        <v>5442</v>
      </c>
      <c r="K1299" s="22" t="s">
        <v>5443</v>
      </c>
      <c r="L1299" s="22" t="s">
        <v>226</v>
      </c>
      <c r="M1299" s="22" t="str">
        <f>HYPERLINK("https://ceds.ed.gov/cedselementdetails.aspx?termid=21534")</f>
        <v>https://ceds.ed.gov/cedselementdetails.aspx?termid=21534</v>
      </c>
    </row>
    <row r="1300" spans="1:13" ht="57.6" x14ac:dyDescent="0.3">
      <c r="A1300" s="22" t="s">
        <v>5444</v>
      </c>
      <c r="B1300" s="22" t="s">
        <v>5445</v>
      </c>
      <c r="C1300" s="26" t="s">
        <v>9029</v>
      </c>
      <c r="D1300" s="22" t="s">
        <v>2480</v>
      </c>
      <c r="E1300" s="22"/>
      <c r="F1300" s="22"/>
      <c r="G1300" s="22"/>
      <c r="H1300" s="22"/>
      <c r="I1300" s="25" t="s">
        <v>5446</v>
      </c>
      <c r="J1300" s="22" t="s">
        <v>5447</v>
      </c>
      <c r="K1300" s="22" t="s">
        <v>5448</v>
      </c>
      <c r="L1300" s="22" t="s">
        <v>1553</v>
      </c>
      <c r="M1300" s="22" t="str">
        <f>HYPERLINK("https://ceds.ed.gov/cedselementdetails.aspx?termid=21430")</f>
        <v>https://ceds.ed.gov/cedselementdetails.aspx?termid=21430</v>
      </c>
    </row>
    <row r="1301" spans="1:13" ht="115.2" x14ac:dyDescent="0.3">
      <c r="A1301" s="22" t="s">
        <v>5449</v>
      </c>
      <c r="B1301" s="22" t="s">
        <v>5450</v>
      </c>
      <c r="C1301" s="26" t="s">
        <v>9030</v>
      </c>
      <c r="D1301" s="22" t="s">
        <v>4956</v>
      </c>
      <c r="E1301" s="22"/>
      <c r="F1301" s="22"/>
      <c r="G1301" s="22"/>
      <c r="H1301" s="22"/>
      <c r="I1301" s="25" t="s">
        <v>5451</v>
      </c>
      <c r="J1301" s="22" t="s">
        <v>5452</v>
      </c>
      <c r="K1301" s="22" t="s">
        <v>5453</v>
      </c>
      <c r="L1301" s="22" t="s">
        <v>214</v>
      </c>
      <c r="M1301" s="22" t="str">
        <f>HYPERLINK("https://ceds.ed.gov/cedselementdetails.aspx?termid=21453")</f>
        <v>https://ceds.ed.gov/cedselementdetails.aspx?termid=21453</v>
      </c>
    </row>
    <row r="1302" spans="1:13" ht="144" x14ac:dyDescent="0.3">
      <c r="A1302" s="22" t="s">
        <v>5454</v>
      </c>
      <c r="B1302" s="22" t="s">
        <v>5455</v>
      </c>
      <c r="C1302" s="26" t="s">
        <v>9031</v>
      </c>
      <c r="D1302" s="22" t="s">
        <v>2480</v>
      </c>
      <c r="E1302" s="22"/>
      <c r="F1302" s="22"/>
      <c r="G1302" s="22"/>
      <c r="H1302" s="22"/>
      <c r="I1302" s="25" t="s">
        <v>5456</v>
      </c>
      <c r="J1302" s="22" t="s">
        <v>5457</v>
      </c>
      <c r="K1302" s="22" t="s">
        <v>5458</v>
      </c>
      <c r="L1302" s="22" t="s">
        <v>226</v>
      </c>
      <c r="M1302" s="22" t="str">
        <f>HYPERLINK("https://ceds.ed.gov/cedselementdetails.aspx?termid=21186")</f>
        <v>https://ceds.ed.gov/cedselementdetails.aspx?termid=21186</v>
      </c>
    </row>
    <row r="1303" spans="1:13" ht="57.6" x14ac:dyDescent="0.3">
      <c r="A1303" s="22" t="s">
        <v>5459</v>
      </c>
      <c r="B1303" s="22" t="s">
        <v>5460</v>
      </c>
      <c r="C1303" s="26" t="s">
        <v>9032</v>
      </c>
      <c r="D1303" s="22" t="s">
        <v>4956</v>
      </c>
      <c r="E1303" s="22"/>
      <c r="F1303" s="22"/>
      <c r="G1303" s="22"/>
      <c r="H1303" s="22"/>
      <c r="I1303" s="25" t="s">
        <v>5461</v>
      </c>
      <c r="J1303" s="22" t="s">
        <v>5462</v>
      </c>
      <c r="K1303" s="22" t="s">
        <v>5463</v>
      </c>
      <c r="L1303" s="22" t="s">
        <v>226</v>
      </c>
      <c r="M1303" s="22" t="str">
        <f>HYPERLINK("https://ceds.ed.gov/cedselementdetails.aspx?termid=21187")</f>
        <v>https://ceds.ed.gov/cedselementdetails.aspx?termid=21187</v>
      </c>
    </row>
    <row r="1304" spans="1:13" ht="115.2" x14ac:dyDescent="0.3">
      <c r="A1304" s="22" t="s">
        <v>5464</v>
      </c>
      <c r="B1304" s="22" t="s">
        <v>5465</v>
      </c>
      <c r="C1304" s="26" t="s">
        <v>9033</v>
      </c>
      <c r="D1304" s="22" t="s">
        <v>4941</v>
      </c>
      <c r="E1304" s="22"/>
      <c r="F1304" s="22"/>
      <c r="G1304" s="22"/>
      <c r="H1304" s="22" t="s">
        <v>5466</v>
      </c>
      <c r="I1304" s="25" t="s">
        <v>5467</v>
      </c>
      <c r="J1304" s="22" t="s">
        <v>5468</v>
      </c>
      <c r="K1304" s="22" t="s">
        <v>5469</v>
      </c>
      <c r="L1304" s="22" t="s">
        <v>226</v>
      </c>
      <c r="M1304" s="22" t="str">
        <f>HYPERLINK("https://ceds.ed.gov/cedselementdetails.aspx?termid=21188")</f>
        <v>https://ceds.ed.gov/cedselementdetails.aspx?termid=21188</v>
      </c>
    </row>
    <row r="1305" spans="1:13" ht="43.2" x14ac:dyDescent="0.3">
      <c r="A1305" s="22" t="s">
        <v>5470</v>
      </c>
      <c r="B1305" s="22" t="s">
        <v>5471</v>
      </c>
      <c r="C1305" s="26" t="s">
        <v>22</v>
      </c>
      <c r="D1305" s="22" t="s">
        <v>2480</v>
      </c>
      <c r="E1305" s="22"/>
      <c r="F1305" s="22"/>
      <c r="G1305" s="22"/>
      <c r="H1305" s="22"/>
      <c r="I1305" s="25" t="s">
        <v>5472</v>
      </c>
      <c r="J1305" s="22"/>
      <c r="K1305" s="22" t="s">
        <v>5473</v>
      </c>
      <c r="L1305" s="22" t="s">
        <v>226</v>
      </c>
      <c r="M1305" s="22" t="str">
        <f>HYPERLINK("https://ceds.ed.gov/cedselementdetails.aspx?termid=21554")</f>
        <v>https://ceds.ed.gov/cedselementdetails.aspx?termid=21554</v>
      </c>
    </row>
    <row r="1306" spans="1:13" ht="86.4" x14ac:dyDescent="0.3">
      <c r="A1306" s="22" t="s">
        <v>5474</v>
      </c>
      <c r="B1306" s="22" t="s">
        <v>5475</v>
      </c>
      <c r="C1306" s="26" t="s">
        <v>22</v>
      </c>
      <c r="D1306" s="24" t="s">
        <v>9034</v>
      </c>
      <c r="E1306" s="22"/>
      <c r="F1306" s="22"/>
      <c r="G1306" s="22"/>
      <c r="H1306" s="22"/>
      <c r="I1306" s="25" t="s">
        <v>5476</v>
      </c>
      <c r="J1306" s="22"/>
      <c r="K1306" s="22" t="s">
        <v>5477</v>
      </c>
      <c r="L1306" s="24" t="s">
        <v>1901</v>
      </c>
      <c r="M1306" s="22" t="str">
        <f>HYPERLINK("https://ceds.ed.gov/cedselementdetails.aspx?termid=21189")</f>
        <v>https://ceds.ed.gov/cedselementdetails.aspx?termid=21189</v>
      </c>
    </row>
    <row r="1307" spans="1:13" x14ac:dyDescent="0.3">
      <c r="A1307" s="22" t="s">
        <v>5478</v>
      </c>
      <c r="B1307" s="22" t="s">
        <v>8253</v>
      </c>
      <c r="C1307" s="23" t="s">
        <v>32</v>
      </c>
      <c r="D1307" s="22" t="s">
        <v>2480</v>
      </c>
      <c r="E1307" s="22"/>
      <c r="F1307" s="22" t="s">
        <v>118</v>
      </c>
      <c r="G1307" s="22"/>
      <c r="H1307" s="22"/>
      <c r="I1307" s="25" t="s">
        <v>5479</v>
      </c>
      <c r="J1307" s="22"/>
      <c r="K1307" s="22" t="s">
        <v>5480</v>
      </c>
      <c r="L1307" s="22" t="s">
        <v>1553</v>
      </c>
      <c r="M1307" s="22" t="str">
        <f>HYPERLINK("https://ceds.ed.gov/cedselementdetails.aspx?termid=21422")</f>
        <v>https://ceds.ed.gov/cedselementdetails.aspx?termid=21422</v>
      </c>
    </row>
    <row r="1308" spans="1:13" ht="72" x14ac:dyDescent="0.3">
      <c r="A1308" s="22" t="s">
        <v>5481</v>
      </c>
      <c r="B1308" s="22" t="s">
        <v>5482</v>
      </c>
      <c r="C1308" s="26" t="s">
        <v>9035</v>
      </c>
      <c r="D1308" s="24" t="s">
        <v>5483</v>
      </c>
      <c r="E1308" s="22"/>
      <c r="F1308" s="22"/>
      <c r="G1308" s="22"/>
      <c r="H1308" s="22"/>
      <c r="I1308" s="25" t="s">
        <v>5484</v>
      </c>
      <c r="J1308" s="22"/>
      <c r="K1308" s="22" t="s">
        <v>5485</v>
      </c>
      <c r="L1308" s="22"/>
      <c r="M1308" s="22" t="str">
        <f>HYPERLINK("https://ceds.ed.gov/cedselementdetails.aspx?termid=22556")</f>
        <v>https://ceds.ed.gov/cedselementdetails.aspx?termid=22556</v>
      </c>
    </row>
    <row r="1309" spans="1:13" ht="302.39999999999998" x14ac:dyDescent="0.3">
      <c r="A1309" s="22" t="s">
        <v>5486</v>
      </c>
      <c r="B1309" s="22" t="s">
        <v>8254</v>
      </c>
      <c r="C1309" s="26" t="s">
        <v>9036</v>
      </c>
      <c r="D1309" s="24" t="s">
        <v>9037</v>
      </c>
      <c r="E1309" s="22"/>
      <c r="F1309" s="22"/>
      <c r="G1309" s="22"/>
      <c r="H1309" s="22"/>
      <c r="I1309" s="25" t="s">
        <v>5487</v>
      </c>
      <c r="J1309" s="22"/>
      <c r="K1309" s="22" t="s">
        <v>5488</v>
      </c>
      <c r="L1309" s="22"/>
      <c r="M1309" s="22" t="str">
        <f>HYPERLINK("https://ceds.ed.gov/cedselementdetails.aspx?termid=22621")</f>
        <v>https://ceds.ed.gov/cedselementdetails.aspx?termid=22621</v>
      </c>
    </row>
    <row r="1310" spans="1:13" ht="100.8" x14ac:dyDescent="0.3">
      <c r="A1310" s="22" t="s">
        <v>5489</v>
      </c>
      <c r="B1310" s="22" t="s">
        <v>5490</v>
      </c>
      <c r="C1310" s="26" t="s">
        <v>8477</v>
      </c>
      <c r="D1310" s="24" t="s">
        <v>8478</v>
      </c>
      <c r="E1310" s="22" t="s">
        <v>172</v>
      </c>
      <c r="F1310" s="22"/>
      <c r="G1310" s="22" t="s">
        <v>7946</v>
      </c>
      <c r="H1310" s="22"/>
      <c r="I1310" s="25" t="s">
        <v>5491</v>
      </c>
      <c r="J1310" s="22"/>
      <c r="K1310" s="22" t="s">
        <v>5492</v>
      </c>
      <c r="L1310" s="22"/>
      <c r="M1310" s="22" t="str">
        <f>HYPERLINK("https://ceds.ed.gov/cedselementdetails.aspx?termid=22555")</f>
        <v>https://ceds.ed.gov/cedselementdetails.aspx?termid=22555</v>
      </c>
    </row>
    <row r="1311" spans="1:13" ht="43.2" x14ac:dyDescent="0.3">
      <c r="A1311" s="22" t="s">
        <v>5493</v>
      </c>
      <c r="B1311" s="22" t="s">
        <v>5494</v>
      </c>
      <c r="C1311" s="26" t="s">
        <v>22</v>
      </c>
      <c r="D1311" s="22" t="s">
        <v>3510</v>
      </c>
      <c r="E1311" s="22"/>
      <c r="F1311" s="22"/>
      <c r="G1311" s="22"/>
      <c r="H1311" s="22" t="s">
        <v>8255</v>
      </c>
      <c r="I1311" s="25" t="s">
        <v>5495</v>
      </c>
      <c r="J1311" s="22"/>
      <c r="K1311" s="22" t="s">
        <v>5496</v>
      </c>
      <c r="L1311" s="22"/>
      <c r="M1311" s="22" t="str">
        <f>HYPERLINK("https://ceds.ed.gov/cedselementdetails.aspx?termid=22381")</f>
        <v>https://ceds.ed.gov/cedselementdetails.aspx?termid=22381</v>
      </c>
    </row>
    <row r="1312" spans="1:13" ht="72" x14ac:dyDescent="0.3">
      <c r="A1312" s="22" t="s">
        <v>5497</v>
      </c>
      <c r="B1312" s="22" t="s">
        <v>5498</v>
      </c>
      <c r="C1312" s="26" t="s">
        <v>9038</v>
      </c>
      <c r="D1312" s="24" t="s">
        <v>5483</v>
      </c>
      <c r="E1312" s="22"/>
      <c r="F1312" s="22"/>
      <c r="G1312" s="22"/>
      <c r="H1312" s="22"/>
      <c r="I1312" s="25" t="s">
        <v>5499</v>
      </c>
      <c r="J1312" s="22"/>
      <c r="K1312" s="22" t="s">
        <v>5500</v>
      </c>
      <c r="L1312" s="22"/>
      <c r="M1312" s="22" t="str">
        <f>HYPERLINK("https://ceds.ed.gov/cedselementdetails.aspx?termid=22557")</f>
        <v>https://ceds.ed.gov/cedselementdetails.aspx?termid=22557</v>
      </c>
    </row>
    <row r="1313" spans="1:13" x14ac:dyDescent="0.3">
      <c r="A1313" s="22" t="s">
        <v>5501</v>
      </c>
      <c r="B1313" s="22" t="s">
        <v>5502</v>
      </c>
      <c r="C1313" s="23" t="s">
        <v>32</v>
      </c>
      <c r="D1313" s="22" t="s">
        <v>3062</v>
      </c>
      <c r="E1313" s="22"/>
      <c r="F1313" s="22" t="s">
        <v>317</v>
      </c>
      <c r="G1313" s="22"/>
      <c r="H1313" s="22"/>
      <c r="I1313" s="25" t="s">
        <v>5503</v>
      </c>
      <c r="J1313" s="22"/>
      <c r="K1313" s="22" t="s">
        <v>5504</v>
      </c>
      <c r="L1313" s="22"/>
      <c r="M1313" s="22" t="str">
        <f>HYPERLINK("https://ceds.ed.gov/cedselementdetails.aspx?termid=21491")</f>
        <v>https://ceds.ed.gov/cedselementdetails.aspx?termid=21491</v>
      </c>
    </row>
    <row r="1314" spans="1:13" x14ac:dyDescent="0.3">
      <c r="A1314" s="22" t="s">
        <v>5505</v>
      </c>
      <c r="B1314" s="22" t="s">
        <v>5506</v>
      </c>
      <c r="C1314" s="23" t="s">
        <v>32</v>
      </c>
      <c r="D1314" s="22" t="s">
        <v>8256</v>
      </c>
      <c r="E1314" s="22"/>
      <c r="F1314" s="22" t="s">
        <v>118</v>
      </c>
      <c r="G1314" s="22"/>
      <c r="H1314" s="22" t="s">
        <v>143</v>
      </c>
      <c r="I1314" s="25" t="s">
        <v>5507</v>
      </c>
      <c r="J1314" s="22"/>
      <c r="K1314" s="22" t="s">
        <v>5508</v>
      </c>
      <c r="L1314" s="22"/>
      <c r="M1314" s="22" t="str">
        <f>HYPERLINK("https://ceds.ed.gov/cedselementdetails.aspx?termid=22298")</f>
        <v>https://ceds.ed.gov/cedselementdetails.aspx?termid=22298</v>
      </c>
    </row>
    <row r="1315" spans="1:13" x14ac:dyDescent="0.3">
      <c r="A1315" s="22" t="s">
        <v>5509</v>
      </c>
      <c r="B1315" s="22" t="s">
        <v>5510</v>
      </c>
      <c r="C1315" s="23" t="s">
        <v>32</v>
      </c>
      <c r="D1315" s="22" t="s">
        <v>8256</v>
      </c>
      <c r="E1315" s="22"/>
      <c r="F1315" s="22" t="s">
        <v>118</v>
      </c>
      <c r="G1315" s="22"/>
      <c r="H1315" s="22"/>
      <c r="I1315" s="25" t="s">
        <v>5511</v>
      </c>
      <c r="J1315" s="22"/>
      <c r="K1315" s="22" t="s">
        <v>5512</v>
      </c>
      <c r="L1315" s="22"/>
      <c r="M1315" s="22" t="str">
        <f>HYPERLINK("https://ceds.ed.gov/cedselementdetails.aspx?termid=22297")</f>
        <v>https://ceds.ed.gov/cedselementdetails.aspx?termid=22297</v>
      </c>
    </row>
    <row r="1316" spans="1:13" ht="43.2" x14ac:dyDescent="0.3">
      <c r="A1316" s="22" t="s">
        <v>5513</v>
      </c>
      <c r="B1316" s="22" t="s">
        <v>5514</v>
      </c>
      <c r="C1316" s="26" t="s">
        <v>22</v>
      </c>
      <c r="D1316" s="22" t="s">
        <v>2480</v>
      </c>
      <c r="E1316" s="22"/>
      <c r="F1316" s="22"/>
      <c r="G1316" s="22"/>
      <c r="H1316" s="22"/>
      <c r="I1316" s="25" t="s">
        <v>5515</v>
      </c>
      <c r="J1316" s="22"/>
      <c r="K1316" s="22" t="s">
        <v>5516</v>
      </c>
      <c r="L1316" s="22" t="s">
        <v>1553</v>
      </c>
      <c r="M1316" s="22" t="str">
        <f>HYPERLINK("https://ceds.ed.gov/cedselementdetails.aspx?termid=21421")</f>
        <v>https://ceds.ed.gov/cedselementdetails.aspx?termid=21421</v>
      </c>
    </row>
    <row r="1317" spans="1:13" ht="100.8" x14ac:dyDescent="0.3">
      <c r="A1317" s="22" t="s">
        <v>5517</v>
      </c>
      <c r="B1317" s="22" t="s">
        <v>5518</v>
      </c>
      <c r="C1317" s="26" t="s">
        <v>9039</v>
      </c>
      <c r="D1317" s="22" t="s">
        <v>635</v>
      </c>
      <c r="E1317" s="22"/>
      <c r="F1317" s="22"/>
      <c r="G1317" s="22"/>
      <c r="H1317" s="22"/>
      <c r="I1317" s="25" t="s">
        <v>5519</v>
      </c>
      <c r="J1317" s="22"/>
      <c r="K1317" s="22" t="s">
        <v>5520</v>
      </c>
      <c r="L1317" s="22"/>
      <c r="M1317" s="22" t="str">
        <f>HYPERLINK("https://ceds.ed.gov/cedselementdetails.aspx?termid=22166")</f>
        <v>https://ceds.ed.gov/cedselementdetails.aspx?termid=22166</v>
      </c>
    </row>
    <row r="1318" spans="1:13" ht="72" x14ac:dyDescent="0.3">
      <c r="A1318" s="22" t="s">
        <v>5521</v>
      </c>
      <c r="B1318" s="22" t="s">
        <v>5522</v>
      </c>
      <c r="C1318" s="26" t="s">
        <v>9040</v>
      </c>
      <c r="D1318" s="22" t="s">
        <v>635</v>
      </c>
      <c r="E1318" s="22"/>
      <c r="F1318" s="22"/>
      <c r="G1318" s="22"/>
      <c r="H1318" s="22"/>
      <c r="I1318" s="25" t="s">
        <v>5523</v>
      </c>
      <c r="J1318" s="22"/>
      <c r="K1318" s="22" t="s">
        <v>5524</v>
      </c>
      <c r="L1318" s="22"/>
      <c r="M1318" s="22" t="str">
        <f>HYPERLINK("https://ceds.ed.gov/cedselementdetails.aspx?termid=22072")</f>
        <v>https://ceds.ed.gov/cedselementdetails.aspx?termid=22072</v>
      </c>
    </row>
    <row r="1319" spans="1:13" ht="273.60000000000002" x14ac:dyDescent="0.3">
      <c r="A1319" s="22" t="s">
        <v>5525</v>
      </c>
      <c r="B1319" s="22" t="s">
        <v>5526</v>
      </c>
      <c r="C1319" s="23" t="s">
        <v>32</v>
      </c>
      <c r="D1319" s="24" t="s">
        <v>8479</v>
      </c>
      <c r="E1319" s="22" t="s">
        <v>172</v>
      </c>
      <c r="F1319" s="22" t="s">
        <v>157</v>
      </c>
      <c r="G1319" s="22" t="s">
        <v>7946</v>
      </c>
      <c r="H1319" s="22"/>
      <c r="I1319" s="25" t="s">
        <v>5527</v>
      </c>
      <c r="J1319" s="22"/>
      <c r="K1319" s="22" t="s">
        <v>5528</v>
      </c>
      <c r="L1319" s="24" t="s">
        <v>5529</v>
      </c>
      <c r="M1319" s="22" t="str">
        <f>HYPERLINK("https://ceds.ed.gov/cedselementdetails.aspx?termid=21191")</f>
        <v>https://ceds.ed.gov/cedselementdetails.aspx?termid=21191</v>
      </c>
    </row>
    <row r="1320" spans="1:13" ht="43.2" x14ac:dyDescent="0.3">
      <c r="A1320" s="22" t="s">
        <v>5530</v>
      </c>
      <c r="B1320" s="22" t="s">
        <v>5531</v>
      </c>
      <c r="C1320" s="23" t="s">
        <v>32</v>
      </c>
      <c r="D1320" s="24" t="s">
        <v>8772</v>
      </c>
      <c r="E1320" s="22"/>
      <c r="F1320" s="22" t="s">
        <v>157</v>
      </c>
      <c r="G1320" s="22"/>
      <c r="H1320" s="22"/>
      <c r="I1320" s="25" t="s">
        <v>5532</v>
      </c>
      <c r="J1320" s="22"/>
      <c r="K1320" s="22" t="s">
        <v>5533</v>
      </c>
      <c r="L1320" s="22" t="s">
        <v>207</v>
      </c>
      <c r="M1320" s="22" t="str">
        <f>HYPERLINK("https://ceds.ed.gov/cedselementdetails.aspx?termid=22064")</f>
        <v>https://ceds.ed.gov/cedselementdetails.aspx?termid=22064</v>
      </c>
    </row>
    <row r="1321" spans="1:13" ht="100.8" x14ac:dyDescent="0.3">
      <c r="A1321" s="22" t="s">
        <v>5534</v>
      </c>
      <c r="B1321" s="22" t="s">
        <v>5535</v>
      </c>
      <c r="C1321" s="26" t="s">
        <v>22</v>
      </c>
      <c r="D1321" s="24" t="s">
        <v>2568</v>
      </c>
      <c r="E1321" s="22"/>
      <c r="F1321" s="22"/>
      <c r="G1321" s="22"/>
      <c r="H1321" s="22"/>
      <c r="I1321" s="25" t="s">
        <v>5536</v>
      </c>
      <c r="J1321" s="22" t="s">
        <v>5537</v>
      </c>
      <c r="K1321" s="22" t="s">
        <v>5538</v>
      </c>
      <c r="L1321" s="22"/>
      <c r="M1321" s="22" t="str">
        <f>HYPERLINK("https://ceds.ed.gov/cedselementdetails.aspx?termid=22382")</f>
        <v>https://ceds.ed.gov/cedselementdetails.aspx?termid=22382</v>
      </c>
    </row>
    <row r="1322" spans="1:13" ht="43.2" x14ac:dyDescent="0.3">
      <c r="A1322" s="22" t="s">
        <v>5539</v>
      </c>
      <c r="B1322" s="22" t="s">
        <v>5540</v>
      </c>
      <c r="C1322" s="26" t="s">
        <v>22</v>
      </c>
      <c r="D1322" s="22" t="s">
        <v>3444</v>
      </c>
      <c r="E1322" s="22"/>
      <c r="F1322" s="22"/>
      <c r="G1322" s="22"/>
      <c r="H1322" s="22" t="s">
        <v>5541</v>
      </c>
      <c r="I1322" s="25" t="s">
        <v>5542</v>
      </c>
      <c r="J1322" s="22"/>
      <c r="K1322" s="22" t="s">
        <v>5543</v>
      </c>
      <c r="L1322" s="22" t="s">
        <v>226</v>
      </c>
      <c r="M1322" s="22" t="str">
        <f>HYPERLINK("https://ceds.ed.gov/cedselementdetails.aspx?termid=22635")</f>
        <v>https://ceds.ed.gov/cedselementdetails.aspx?termid=22635</v>
      </c>
    </row>
    <row r="1323" spans="1:13" ht="115.2" x14ac:dyDescent="0.3">
      <c r="A1323" s="22" t="s">
        <v>5544</v>
      </c>
      <c r="B1323" s="22" t="s">
        <v>5545</v>
      </c>
      <c r="C1323" s="26" t="s">
        <v>8480</v>
      </c>
      <c r="D1323" s="24" t="s">
        <v>8481</v>
      </c>
      <c r="E1323" s="22" t="s">
        <v>172</v>
      </c>
      <c r="F1323" s="22"/>
      <c r="G1323" s="22" t="s">
        <v>7946</v>
      </c>
      <c r="H1323" s="22"/>
      <c r="I1323" s="25" t="s">
        <v>5546</v>
      </c>
      <c r="J1323" s="22"/>
      <c r="K1323" s="22" t="s">
        <v>5547</v>
      </c>
      <c r="L1323" s="22"/>
      <c r="M1323" s="22" t="str">
        <f>HYPERLINK("https://ceds.ed.gov/cedselementdetails.aspx?termid=22748")</f>
        <v>https://ceds.ed.gov/cedselementdetails.aspx?termid=22748</v>
      </c>
    </row>
    <row r="1324" spans="1:13" ht="244.8" x14ac:dyDescent="0.3">
      <c r="A1324" s="22" t="s">
        <v>5548</v>
      </c>
      <c r="B1324" s="22" t="s">
        <v>5549</v>
      </c>
      <c r="C1324" s="26" t="s">
        <v>8601</v>
      </c>
      <c r="D1324" s="24" t="s">
        <v>8602</v>
      </c>
      <c r="E1324" s="22"/>
      <c r="F1324" s="22"/>
      <c r="G1324" s="22"/>
      <c r="H1324" s="22" t="s">
        <v>7958</v>
      </c>
      <c r="I1324" s="25" t="s">
        <v>5550</v>
      </c>
      <c r="J1324" s="22" t="s">
        <v>5551</v>
      </c>
      <c r="K1324" s="22" t="s">
        <v>5552</v>
      </c>
      <c r="L1324" s="24" t="s">
        <v>365</v>
      </c>
      <c r="M1324" s="22" t="str">
        <f>HYPERLINK("https://ceds.ed.gov/cedselementdetails.aspx?termid=21658")</f>
        <v>https://ceds.ed.gov/cedselementdetails.aspx?termid=21658</v>
      </c>
    </row>
    <row r="1325" spans="1:13" ht="72" x14ac:dyDescent="0.3">
      <c r="A1325" s="22" t="s">
        <v>5553</v>
      </c>
      <c r="B1325" s="22" t="s">
        <v>5554</v>
      </c>
      <c r="C1325" s="23" t="s">
        <v>5555</v>
      </c>
      <c r="D1325" s="24" t="s">
        <v>323</v>
      </c>
      <c r="E1325" s="22"/>
      <c r="F1325" s="22"/>
      <c r="G1325" s="22"/>
      <c r="H1325" s="22"/>
      <c r="I1325" s="25" t="s">
        <v>5556</v>
      </c>
      <c r="J1325" s="22"/>
      <c r="K1325" s="22" t="s">
        <v>5557</v>
      </c>
      <c r="L1325" s="22"/>
      <c r="M1325" s="22" t="str">
        <f>HYPERLINK("https://ceds.ed.gov/cedselementdetails.aspx?termid=22383")</f>
        <v>https://ceds.ed.gov/cedselementdetails.aspx?termid=22383</v>
      </c>
    </row>
    <row r="1326" spans="1:13" x14ac:dyDescent="0.3">
      <c r="A1326" s="22" t="s">
        <v>7584</v>
      </c>
      <c r="B1326" s="22" t="s">
        <v>7585</v>
      </c>
      <c r="C1326" s="23" t="s">
        <v>32</v>
      </c>
      <c r="D1326" s="22" t="s">
        <v>3444</v>
      </c>
      <c r="E1326" s="22"/>
      <c r="F1326" s="22" t="s">
        <v>118</v>
      </c>
      <c r="G1326" s="22"/>
      <c r="H1326" s="22"/>
      <c r="I1326" s="25" t="s">
        <v>7586</v>
      </c>
      <c r="J1326" s="22"/>
      <c r="K1326" s="22" t="s">
        <v>7587</v>
      </c>
      <c r="L1326" s="22"/>
      <c r="M1326" s="22" t="str">
        <f>HYPERLINK("https://ceds.ed.gov/cedselementdetails.aspx?termid=22943")</f>
        <v>https://ceds.ed.gov/cedselementdetails.aspx?termid=22943</v>
      </c>
    </row>
    <row r="1327" spans="1:13" x14ac:dyDescent="0.3">
      <c r="A1327" s="22" t="s">
        <v>7588</v>
      </c>
      <c r="B1327" s="22" t="s">
        <v>7589</v>
      </c>
      <c r="C1327" s="23" t="s">
        <v>32</v>
      </c>
      <c r="D1327" s="22" t="s">
        <v>3444</v>
      </c>
      <c r="E1327" s="22"/>
      <c r="F1327" s="22" t="s">
        <v>148</v>
      </c>
      <c r="G1327" s="22"/>
      <c r="H1327" s="22"/>
      <c r="I1327" s="25" t="s">
        <v>7590</v>
      </c>
      <c r="J1327" s="22"/>
      <c r="K1327" s="22" t="s">
        <v>7591</v>
      </c>
      <c r="L1327" s="22"/>
      <c r="M1327" s="22" t="str">
        <f>HYPERLINK("https://ceds.ed.gov/cedselementdetails.aspx?termid=22944")</f>
        <v>https://ceds.ed.gov/cedselementdetails.aspx?termid=22944</v>
      </c>
    </row>
    <row r="1328" spans="1:13" x14ac:dyDescent="0.3">
      <c r="A1328" s="22" t="s">
        <v>7592</v>
      </c>
      <c r="B1328" s="22" t="s">
        <v>7593</v>
      </c>
      <c r="C1328" s="23" t="s">
        <v>32</v>
      </c>
      <c r="D1328" s="22" t="s">
        <v>3444</v>
      </c>
      <c r="E1328" s="22"/>
      <c r="F1328" s="22" t="s">
        <v>148</v>
      </c>
      <c r="G1328" s="22"/>
      <c r="H1328" s="22"/>
      <c r="I1328" s="25" t="s">
        <v>7594</v>
      </c>
      <c r="J1328" s="22"/>
      <c r="K1328" s="22" t="s">
        <v>7595</v>
      </c>
      <c r="L1328" s="22"/>
      <c r="M1328" s="22" t="str">
        <f>HYPERLINK("https://ceds.ed.gov/cedselementdetails.aspx?termid=22945")</f>
        <v>https://ceds.ed.gov/cedselementdetails.aspx?termid=22945</v>
      </c>
    </row>
    <row r="1329" spans="1:13" x14ac:dyDescent="0.3">
      <c r="A1329" s="22" t="s">
        <v>7596</v>
      </c>
      <c r="B1329" s="22" t="s">
        <v>7597</v>
      </c>
      <c r="C1329" s="23" t="s">
        <v>32</v>
      </c>
      <c r="D1329" s="22" t="s">
        <v>3444</v>
      </c>
      <c r="E1329" s="22"/>
      <c r="F1329" s="22" t="s">
        <v>1844</v>
      </c>
      <c r="G1329" s="22"/>
      <c r="H1329" s="22" t="s">
        <v>7598</v>
      </c>
      <c r="I1329" s="25" t="s">
        <v>7599</v>
      </c>
      <c r="J1329" s="22"/>
      <c r="K1329" s="22" t="s">
        <v>7600</v>
      </c>
      <c r="L1329" s="22"/>
      <c r="M1329" s="22" t="str">
        <f>HYPERLINK("https://ceds.ed.gov/cedselementdetails.aspx?termid=22946")</f>
        <v>https://ceds.ed.gov/cedselementdetails.aspx?termid=22946</v>
      </c>
    </row>
    <row r="1330" spans="1:13" x14ac:dyDescent="0.3">
      <c r="A1330" s="22" t="s">
        <v>7601</v>
      </c>
      <c r="B1330" s="22" t="s">
        <v>7602</v>
      </c>
      <c r="C1330" s="23" t="s">
        <v>32</v>
      </c>
      <c r="D1330" s="22" t="s">
        <v>3444</v>
      </c>
      <c r="E1330" s="22"/>
      <c r="F1330" s="22" t="s">
        <v>1844</v>
      </c>
      <c r="G1330" s="22"/>
      <c r="H1330" s="22" t="s">
        <v>7603</v>
      </c>
      <c r="I1330" s="25" t="s">
        <v>7604</v>
      </c>
      <c r="J1330" s="22"/>
      <c r="K1330" s="22" t="s">
        <v>7605</v>
      </c>
      <c r="L1330" s="22"/>
      <c r="M1330" s="22" t="str">
        <f>HYPERLINK("https://ceds.ed.gov/cedselementdetails.aspx?termid=22947")</f>
        <v>https://ceds.ed.gov/cedselementdetails.aspx?termid=22947</v>
      </c>
    </row>
    <row r="1331" spans="1:13" ht="43.2" x14ac:dyDescent="0.3">
      <c r="A1331" s="22" t="s">
        <v>5558</v>
      </c>
      <c r="B1331" s="22" t="s">
        <v>5559</v>
      </c>
      <c r="C1331" s="26" t="s">
        <v>22</v>
      </c>
      <c r="D1331" s="22" t="s">
        <v>5560</v>
      </c>
      <c r="E1331" s="22"/>
      <c r="F1331" s="22"/>
      <c r="G1331" s="22"/>
      <c r="H1331" s="22" t="s">
        <v>8257</v>
      </c>
      <c r="I1331" s="25" t="s">
        <v>5561</v>
      </c>
      <c r="J1331" s="22"/>
      <c r="K1331" s="22" t="s">
        <v>5562</v>
      </c>
      <c r="L1331" s="22" t="s">
        <v>226</v>
      </c>
      <c r="M1331" s="22" t="str">
        <f>HYPERLINK("https://ceds.ed.gov/cedselementdetails.aspx?termid=21636")</f>
        <v>https://ceds.ed.gov/cedselementdetails.aspx?termid=21636</v>
      </c>
    </row>
    <row r="1332" spans="1:13" ht="43.2" x14ac:dyDescent="0.3">
      <c r="A1332" s="22" t="s">
        <v>5563</v>
      </c>
      <c r="B1332" s="22" t="s">
        <v>5564</v>
      </c>
      <c r="C1332" s="26" t="s">
        <v>22</v>
      </c>
      <c r="D1332" s="22" t="s">
        <v>5560</v>
      </c>
      <c r="E1332" s="22"/>
      <c r="F1332" s="22"/>
      <c r="G1332" s="22"/>
      <c r="H1332" s="22" t="s">
        <v>8257</v>
      </c>
      <c r="I1332" s="25" t="s">
        <v>5565</v>
      </c>
      <c r="J1332" s="22"/>
      <c r="K1332" s="22" t="s">
        <v>5566</v>
      </c>
      <c r="L1332" s="22" t="s">
        <v>226</v>
      </c>
      <c r="M1332" s="22" t="str">
        <f>HYPERLINK("https://ceds.ed.gov/cedselementdetails.aspx?termid=21638")</f>
        <v>https://ceds.ed.gov/cedselementdetails.aspx?termid=21638</v>
      </c>
    </row>
    <row r="1333" spans="1:13" ht="43.2" x14ac:dyDescent="0.3">
      <c r="A1333" s="22" t="s">
        <v>5567</v>
      </c>
      <c r="B1333" s="22" t="s">
        <v>5568</v>
      </c>
      <c r="C1333" s="26" t="s">
        <v>22</v>
      </c>
      <c r="D1333" s="22" t="s">
        <v>5560</v>
      </c>
      <c r="E1333" s="22"/>
      <c r="F1333" s="22"/>
      <c r="G1333" s="22"/>
      <c r="H1333" s="22"/>
      <c r="I1333" s="25" t="s">
        <v>5569</v>
      </c>
      <c r="J1333" s="22"/>
      <c r="K1333" s="22" t="s">
        <v>5570</v>
      </c>
      <c r="L1333" s="22" t="s">
        <v>214</v>
      </c>
      <c r="M1333" s="22" t="str">
        <f>HYPERLINK("https://ceds.ed.gov/cedselementdetails.aspx?termid=21475")</f>
        <v>https://ceds.ed.gov/cedselementdetails.aspx?termid=21475</v>
      </c>
    </row>
    <row r="1334" spans="1:13" ht="100.8" x14ac:dyDescent="0.3">
      <c r="A1334" s="22" t="s">
        <v>5571</v>
      </c>
      <c r="B1334" s="22" t="s">
        <v>5572</v>
      </c>
      <c r="C1334" s="26" t="s">
        <v>9041</v>
      </c>
      <c r="D1334" s="22" t="s">
        <v>5560</v>
      </c>
      <c r="E1334" s="22"/>
      <c r="F1334" s="22"/>
      <c r="G1334" s="22"/>
      <c r="H1334" s="22"/>
      <c r="I1334" s="25" t="s">
        <v>5573</v>
      </c>
      <c r="J1334" s="22"/>
      <c r="K1334" s="22" t="s">
        <v>5574</v>
      </c>
      <c r="L1334" s="22" t="s">
        <v>226</v>
      </c>
      <c r="M1334" s="22" t="str">
        <f>HYPERLINK("https://ceds.ed.gov/cedselementdetails.aspx?termid=21194")</f>
        <v>https://ceds.ed.gov/cedselementdetails.aspx?termid=21194</v>
      </c>
    </row>
    <row r="1335" spans="1:13" ht="86.4" x14ac:dyDescent="0.3">
      <c r="A1335" s="22" t="s">
        <v>5575</v>
      </c>
      <c r="B1335" s="22" t="s">
        <v>5576</v>
      </c>
      <c r="C1335" s="26" t="s">
        <v>3039</v>
      </c>
      <c r="D1335" s="22" t="s">
        <v>5560</v>
      </c>
      <c r="E1335" s="22"/>
      <c r="F1335" s="22"/>
      <c r="G1335" s="22"/>
      <c r="H1335" s="22"/>
      <c r="I1335" s="25" t="s">
        <v>5577</v>
      </c>
      <c r="J1335" s="22"/>
      <c r="K1335" s="22" t="s">
        <v>5578</v>
      </c>
      <c r="L1335" s="24" t="s">
        <v>1901</v>
      </c>
      <c r="M1335" s="22" t="str">
        <f>HYPERLINK("https://ceds.ed.gov/cedselementdetails.aspx?termid=21193")</f>
        <v>https://ceds.ed.gov/cedselementdetails.aspx?termid=21193</v>
      </c>
    </row>
    <row r="1336" spans="1:13" ht="144" x14ac:dyDescent="0.3">
      <c r="A1336" s="22" t="s">
        <v>5579</v>
      </c>
      <c r="B1336" s="22" t="s">
        <v>5580</v>
      </c>
      <c r="C1336" s="26" t="s">
        <v>9042</v>
      </c>
      <c r="D1336" s="22" t="s">
        <v>61</v>
      </c>
      <c r="E1336" s="22"/>
      <c r="F1336" s="22"/>
      <c r="G1336" s="22"/>
      <c r="H1336" s="22"/>
      <c r="I1336" s="25" t="s">
        <v>5581</v>
      </c>
      <c r="J1336" s="22"/>
      <c r="K1336" s="22" t="s">
        <v>5582</v>
      </c>
      <c r="L1336" s="22"/>
      <c r="M1336" s="22" t="str">
        <f>HYPERLINK("https://ceds.ed.gov/cedselementdetails.aspx?termid=21522")</f>
        <v>https://ceds.ed.gov/cedselementdetails.aspx?termid=21522</v>
      </c>
    </row>
    <row r="1337" spans="1:13" ht="43.2" x14ac:dyDescent="0.3">
      <c r="A1337" s="22" t="s">
        <v>5583</v>
      </c>
      <c r="B1337" s="22" t="s">
        <v>5584</v>
      </c>
      <c r="C1337" s="23" t="s">
        <v>32</v>
      </c>
      <c r="D1337" s="24" t="s">
        <v>3225</v>
      </c>
      <c r="E1337" s="22"/>
      <c r="F1337" s="22" t="s">
        <v>157</v>
      </c>
      <c r="G1337" s="22"/>
      <c r="H1337" s="22"/>
      <c r="I1337" s="25" t="s">
        <v>5585</v>
      </c>
      <c r="J1337" s="22"/>
      <c r="K1337" s="22" t="s">
        <v>5586</v>
      </c>
      <c r="L1337" s="24" t="s">
        <v>198</v>
      </c>
      <c r="M1337" s="22" t="str">
        <f>HYPERLINK("https://ceds.ed.gov/cedselementdetails.aspx?termid=21197")</f>
        <v>https://ceds.ed.gov/cedselementdetails.aspx?termid=21197</v>
      </c>
    </row>
    <row r="1338" spans="1:13" ht="86.4" x14ac:dyDescent="0.3">
      <c r="A1338" s="22" t="s">
        <v>5587</v>
      </c>
      <c r="B1338" s="22" t="s">
        <v>5588</v>
      </c>
      <c r="C1338" s="26" t="s">
        <v>9043</v>
      </c>
      <c r="D1338" s="24" t="s">
        <v>3225</v>
      </c>
      <c r="E1338" s="22"/>
      <c r="F1338" s="22"/>
      <c r="G1338" s="22"/>
      <c r="H1338" s="22"/>
      <c r="I1338" s="25" t="s">
        <v>5589</v>
      </c>
      <c r="J1338" s="22"/>
      <c r="K1338" s="22" t="s">
        <v>5590</v>
      </c>
      <c r="L1338" s="24" t="s">
        <v>198</v>
      </c>
      <c r="M1338" s="22" t="str">
        <f>HYPERLINK("https://ceds.ed.gov/cedselementdetails.aspx?termid=21198")</f>
        <v>https://ceds.ed.gov/cedselementdetails.aspx?termid=21198</v>
      </c>
    </row>
    <row r="1339" spans="1:13" x14ac:dyDescent="0.3">
      <c r="A1339" s="22" t="s">
        <v>5591</v>
      </c>
      <c r="B1339" s="22" t="s">
        <v>5592</v>
      </c>
      <c r="C1339" s="23" t="s">
        <v>32</v>
      </c>
      <c r="D1339" s="22" t="s">
        <v>8101</v>
      </c>
      <c r="E1339" s="22"/>
      <c r="F1339" s="22" t="s">
        <v>317</v>
      </c>
      <c r="G1339" s="22"/>
      <c r="H1339" s="22"/>
      <c r="I1339" s="25" t="s">
        <v>5593</v>
      </c>
      <c r="J1339" s="22"/>
      <c r="K1339" s="22" t="s">
        <v>5594</v>
      </c>
      <c r="L1339" s="22" t="s">
        <v>109</v>
      </c>
      <c r="M1339" s="22" t="str">
        <f>HYPERLINK("https://ceds.ed.gov/cedselementdetails.aspx?termid=21844")</f>
        <v>https://ceds.ed.gov/cedselementdetails.aspx?termid=21844</v>
      </c>
    </row>
    <row r="1340" spans="1:13" ht="129.6" x14ac:dyDescent="0.3">
      <c r="A1340" s="22" t="s">
        <v>5595</v>
      </c>
      <c r="B1340" s="22" t="s">
        <v>5596</v>
      </c>
      <c r="C1340" s="23" t="s">
        <v>32</v>
      </c>
      <c r="D1340" s="24" t="s">
        <v>9044</v>
      </c>
      <c r="E1340" s="22"/>
      <c r="F1340" s="22" t="s">
        <v>1518</v>
      </c>
      <c r="G1340" s="22"/>
      <c r="H1340" s="22"/>
      <c r="I1340" s="25" t="s">
        <v>5597</v>
      </c>
      <c r="J1340" s="22"/>
      <c r="K1340" s="22" t="s">
        <v>5598</v>
      </c>
      <c r="L1340" s="24" t="s">
        <v>64</v>
      </c>
      <c r="M1340" s="22" t="str">
        <f>HYPERLINK("https://ceds.ed.gov/cedselementdetails.aspx?termid=21199")</f>
        <v>https://ceds.ed.gov/cedselementdetails.aspx?termid=21199</v>
      </c>
    </row>
    <row r="1341" spans="1:13" ht="331.2" x14ac:dyDescent="0.3">
      <c r="A1341" s="22" t="s">
        <v>5599</v>
      </c>
      <c r="B1341" s="22" t="s">
        <v>5600</v>
      </c>
      <c r="C1341" s="23" t="s">
        <v>32</v>
      </c>
      <c r="D1341" s="24" t="s">
        <v>9045</v>
      </c>
      <c r="E1341" s="22"/>
      <c r="F1341" s="22" t="s">
        <v>1518</v>
      </c>
      <c r="G1341" s="22"/>
      <c r="H1341" s="22"/>
      <c r="I1341" s="25" t="s">
        <v>5601</v>
      </c>
      <c r="J1341" s="22"/>
      <c r="K1341" s="22" t="s">
        <v>5602</v>
      </c>
      <c r="L1341" s="24" t="s">
        <v>5342</v>
      </c>
      <c r="M1341" s="22" t="str">
        <f>HYPERLINK("https://ceds.ed.gov/cedselementdetails.aspx?termid=21200")</f>
        <v>https://ceds.ed.gov/cedselementdetails.aspx?termid=21200</v>
      </c>
    </row>
    <row r="1342" spans="1:13" ht="129.6" x14ac:dyDescent="0.3">
      <c r="A1342" s="22" t="s">
        <v>5603</v>
      </c>
      <c r="B1342" s="22" t="s">
        <v>5604</v>
      </c>
      <c r="C1342" s="23" t="s">
        <v>32</v>
      </c>
      <c r="D1342" s="24" t="s">
        <v>8482</v>
      </c>
      <c r="E1342" s="22" t="s">
        <v>172</v>
      </c>
      <c r="F1342" s="22" t="s">
        <v>1518</v>
      </c>
      <c r="G1342" s="22" t="s">
        <v>7946</v>
      </c>
      <c r="H1342" s="22"/>
      <c r="I1342" s="25" t="s">
        <v>5605</v>
      </c>
      <c r="J1342" s="22"/>
      <c r="K1342" s="22" t="s">
        <v>5606</v>
      </c>
      <c r="L1342" s="24" t="s">
        <v>5607</v>
      </c>
      <c r="M1342" s="22" t="str">
        <f>HYPERLINK("https://ceds.ed.gov/cedselementdetails.aspx?termid=21201")</f>
        <v>https://ceds.ed.gov/cedselementdetails.aspx?termid=21201</v>
      </c>
    </row>
    <row r="1343" spans="1:13" x14ac:dyDescent="0.3">
      <c r="A1343" s="22" t="s">
        <v>5608</v>
      </c>
      <c r="B1343" s="22" t="s">
        <v>5609</v>
      </c>
      <c r="C1343" s="23" t="s">
        <v>32</v>
      </c>
      <c r="D1343" s="22" t="s">
        <v>3048</v>
      </c>
      <c r="E1343" s="22"/>
      <c r="F1343" s="22" t="s">
        <v>1518</v>
      </c>
      <c r="G1343" s="22"/>
      <c r="H1343" s="22"/>
      <c r="I1343" s="25" t="s">
        <v>5610</v>
      </c>
      <c r="J1343" s="22"/>
      <c r="K1343" s="22" t="s">
        <v>5611</v>
      </c>
      <c r="L1343" s="22" t="s">
        <v>214</v>
      </c>
      <c r="M1343" s="22" t="str">
        <f>HYPERLINK("https://ceds.ed.gov/cedselementdetails.aspx?termid=21447")</f>
        <v>https://ceds.ed.gov/cedselementdetails.aspx?termid=21447</v>
      </c>
    </row>
    <row r="1344" spans="1:13" ht="129.6" x14ac:dyDescent="0.3">
      <c r="A1344" s="22" t="s">
        <v>5612</v>
      </c>
      <c r="B1344" s="22" t="s">
        <v>5613</v>
      </c>
      <c r="C1344" s="23" t="s">
        <v>32</v>
      </c>
      <c r="D1344" s="24" t="s">
        <v>8483</v>
      </c>
      <c r="E1344" s="22" t="s">
        <v>172</v>
      </c>
      <c r="F1344" s="22" t="s">
        <v>1518</v>
      </c>
      <c r="G1344" s="22" t="s">
        <v>7946</v>
      </c>
      <c r="H1344" s="22" t="s">
        <v>8258</v>
      </c>
      <c r="I1344" s="25" t="s">
        <v>5614</v>
      </c>
      <c r="J1344" s="22"/>
      <c r="K1344" s="22" t="s">
        <v>5615</v>
      </c>
      <c r="L1344" s="24" t="s">
        <v>5616</v>
      </c>
      <c r="M1344" s="22" t="str">
        <f>HYPERLINK("https://ceds.ed.gov/cedselementdetails.aspx?termid=21202")</f>
        <v>https://ceds.ed.gov/cedselementdetails.aspx?termid=21202</v>
      </c>
    </row>
    <row r="1345" spans="1:13" ht="43.2" x14ac:dyDescent="0.3">
      <c r="A1345" s="22" t="s">
        <v>7606</v>
      </c>
      <c r="B1345" s="22" t="s">
        <v>7607</v>
      </c>
      <c r="C1345" s="23" t="s">
        <v>32</v>
      </c>
      <c r="D1345" s="24" t="s">
        <v>9046</v>
      </c>
      <c r="E1345" s="22"/>
      <c r="F1345" s="22" t="s">
        <v>1518</v>
      </c>
      <c r="G1345" s="22"/>
      <c r="H1345" s="22"/>
      <c r="I1345" s="25" t="s">
        <v>7608</v>
      </c>
      <c r="J1345" s="22"/>
      <c r="K1345" s="22" t="s">
        <v>7609</v>
      </c>
      <c r="L1345" s="22"/>
      <c r="M1345" s="22" t="str">
        <f>HYPERLINK("https://ceds.ed.gov/cedselementdetails.aspx?termid=22948")</f>
        <v>https://ceds.ed.gov/cedselementdetails.aspx?termid=22948</v>
      </c>
    </row>
    <row r="1346" spans="1:13" x14ac:dyDescent="0.3">
      <c r="A1346" s="22" t="s">
        <v>5617</v>
      </c>
      <c r="B1346" s="22" t="s">
        <v>7610</v>
      </c>
      <c r="C1346" s="23" t="s">
        <v>32</v>
      </c>
      <c r="D1346" s="22" t="s">
        <v>1874</v>
      </c>
      <c r="E1346" s="22"/>
      <c r="F1346" s="22" t="s">
        <v>317</v>
      </c>
      <c r="G1346" s="22"/>
      <c r="H1346" s="22"/>
      <c r="I1346" s="25" t="s">
        <v>5618</v>
      </c>
      <c r="J1346" s="22"/>
      <c r="K1346" s="22" t="s">
        <v>5619</v>
      </c>
      <c r="L1346" s="22"/>
      <c r="M1346" s="22" t="str">
        <f>HYPERLINK("https://ceds.ed.gov/cedselementdetails.aspx?termid=22384")</f>
        <v>https://ceds.ed.gov/cedselementdetails.aspx?termid=22384</v>
      </c>
    </row>
    <row r="1347" spans="1:13" ht="86.4" x14ac:dyDescent="0.3">
      <c r="A1347" s="22" t="s">
        <v>7611</v>
      </c>
      <c r="B1347" s="22" t="s">
        <v>7612</v>
      </c>
      <c r="C1347" s="26" t="s">
        <v>9047</v>
      </c>
      <c r="D1347" s="22" t="s">
        <v>1874</v>
      </c>
      <c r="E1347" s="22"/>
      <c r="F1347" s="22"/>
      <c r="G1347" s="22"/>
      <c r="H1347" s="22"/>
      <c r="I1347" s="25" t="s">
        <v>7613</v>
      </c>
      <c r="J1347" s="22"/>
      <c r="K1347" s="22" t="s">
        <v>7614</v>
      </c>
      <c r="L1347" s="22"/>
      <c r="M1347" s="22" t="str">
        <f>HYPERLINK("https://ceds.ed.gov/cedselementdetails.aspx?termid=22949")</f>
        <v>https://ceds.ed.gov/cedselementdetails.aspx?termid=22949</v>
      </c>
    </row>
    <row r="1348" spans="1:13" x14ac:dyDescent="0.3">
      <c r="A1348" s="22" t="s">
        <v>5620</v>
      </c>
      <c r="B1348" s="22" t="s">
        <v>5621</v>
      </c>
      <c r="C1348" s="23" t="s">
        <v>32</v>
      </c>
      <c r="D1348" s="22" t="s">
        <v>8053</v>
      </c>
      <c r="E1348" s="22"/>
      <c r="F1348" s="22" t="s">
        <v>317</v>
      </c>
      <c r="G1348" s="22"/>
      <c r="H1348" s="22"/>
      <c r="I1348" s="25" t="s">
        <v>5622</v>
      </c>
      <c r="J1348" s="22"/>
      <c r="K1348" s="22" t="s">
        <v>5623</v>
      </c>
      <c r="L1348" s="22" t="s">
        <v>109</v>
      </c>
      <c r="M1348" s="22" t="str">
        <f>HYPERLINK("https://ceds.ed.gov/cedselementdetails.aspx?termid=21835")</f>
        <v>https://ceds.ed.gov/cedselementdetails.aspx?termid=21835</v>
      </c>
    </row>
    <row r="1349" spans="1:13" x14ac:dyDescent="0.3">
      <c r="A1349" s="22" t="s">
        <v>5624</v>
      </c>
      <c r="B1349" s="22" t="s">
        <v>5625</v>
      </c>
      <c r="C1349" s="23" t="s">
        <v>32</v>
      </c>
      <c r="D1349" s="22" t="s">
        <v>8053</v>
      </c>
      <c r="E1349" s="22"/>
      <c r="F1349" s="22" t="s">
        <v>317</v>
      </c>
      <c r="G1349" s="22"/>
      <c r="H1349" s="22"/>
      <c r="I1349" s="25" t="s">
        <v>5626</v>
      </c>
      <c r="J1349" s="22"/>
      <c r="K1349" s="22" t="s">
        <v>5627</v>
      </c>
      <c r="L1349" s="22" t="s">
        <v>109</v>
      </c>
      <c r="M1349" s="22" t="str">
        <f>HYPERLINK("https://ceds.ed.gov/cedselementdetails.aspx?termid=21836")</f>
        <v>https://ceds.ed.gov/cedselementdetails.aspx?termid=21836</v>
      </c>
    </row>
    <row r="1350" spans="1:13" x14ac:dyDescent="0.3">
      <c r="A1350" s="22" t="s">
        <v>7615</v>
      </c>
      <c r="B1350" s="22" t="s">
        <v>7616</v>
      </c>
      <c r="C1350" s="23" t="s">
        <v>32</v>
      </c>
      <c r="D1350" s="22" t="s">
        <v>8259</v>
      </c>
      <c r="E1350" s="22"/>
      <c r="F1350" s="22" t="s">
        <v>317</v>
      </c>
      <c r="G1350" s="22"/>
      <c r="H1350" s="22" t="s">
        <v>7617</v>
      </c>
      <c r="I1350" s="25" t="s">
        <v>7618</v>
      </c>
      <c r="J1350" s="22"/>
      <c r="K1350" s="22" t="s">
        <v>7619</v>
      </c>
      <c r="L1350" s="22"/>
      <c r="M1350" s="22" t="str">
        <f>HYPERLINK("https://ceds.ed.gov/cedselementdetails.aspx?termid=22950")</f>
        <v>https://ceds.ed.gov/cedselementdetails.aspx?termid=22950</v>
      </c>
    </row>
    <row r="1351" spans="1:13" x14ac:dyDescent="0.3">
      <c r="A1351" s="22" t="s">
        <v>5628</v>
      </c>
      <c r="B1351" s="22" t="s">
        <v>5629</v>
      </c>
      <c r="C1351" s="23" t="s">
        <v>32</v>
      </c>
      <c r="D1351" s="22" t="s">
        <v>4956</v>
      </c>
      <c r="E1351" s="22"/>
      <c r="F1351" s="22" t="s">
        <v>317</v>
      </c>
      <c r="G1351" s="22"/>
      <c r="H1351" s="22"/>
      <c r="I1351" s="25" t="s">
        <v>5630</v>
      </c>
      <c r="J1351" s="22"/>
      <c r="K1351" s="22" t="s">
        <v>5631</v>
      </c>
      <c r="L1351" s="22" t="s">
        <v>214</v>
      </c>
      <c r="M1351" s="22" t="str">
        <f>HYPERLINK("https://ceds.ed.gov/cedselementdetails.aspx?termid=21460")</f>
        <v>https://ceds.ed.gov/cedselementdetails.aspx?termid=21460</v>
      </c>
    </row>
    <row r="1352" spans="1:13" x14ac:dyDescent="0.3">
      <c r="A1352" s="22" t="s">
        <v>5632</v>
      </c>
      <c r="B1352" s="22" t="s">
        <v>8260</v>
      </c>
      <c r="C1352" s="23" t="s">
        <v>32</v>
      </c>
      <c r="D1352" s="22" t="s">
        <v>8120</v>
      </c>
      <c r="E1352" s="22"/>
      <c r="F1352" s="22" t="s">
        <v>317</v>
      </c>
      <c r="G1352" s="22"/>
      <c r="H1352" s="22"/>
      <c r="I1352" s="25" t="s">
        <v>5633</v>
      </c>
      <c r="J1352" s="22"/>
      <c r="K1352" s="22" t="s">
        <v>5634</v>
      </c>
      <c r="L1352" s="22" t="s">
        <v>3099</v>
      </c>
      <c r="M1352" s="22" t="str">
        <f>HYPERLINK("https://ceds.ed.gov/cedselementdetails.aspx?termid=21329")</f>
        <v>https://ceds.ed.gov/cedselementdetails.aspx?termid=21329</v>
      </c>
    </row>
    <row r="1353" spans="1:13" ht="43.2" x14ac:dyDescent="0.3">
      <c r="A1353" s="22" t="s">
        <v>5635</v>
      </c>
      <c r="B1353" s="22" t="s">
        <v>5636</v>
      </c>
      <c r="C1353" s="23" t="s">
        <v>32</v>
      </c>
      <c r="D1353" s="24" t="s">
        <v>9048</v>
      </c>
      <c r="E1353" s="22"/>
      <c r="F1353" s="22" t="s">
        <v>317</v>
      </c>
      <c r="G1353" s="22"/>
      <c r="H1353" s="22" t="s">
        <v>7620</v>
      </c>
      <c r="I1353" s="25" t="s">
        <v>5637</v>
      </c>
      <c r="J1353" s="22"/>
      <c r="K1353" s="22" t="s">
        <v>5638</v>
      </c>
      <c r="L1353" s="22" t="s">
        <v>3099</v>
      </c>
      <c r="M1353" s="22" t="str">
        <f>HYPERLINK("https://ceds.ed.gov/cedselementdetails.aspx?termid=21330")</f>
        <v>https://ceds.ed.gov/cedselementdetails.aspx?termid=21330</v>
      </c>
    </row>
    <row r="1354" spans="1:13" x14ac:dyDescent="0.3">
      <c r="A1354" s="22" t="s">
        <v>5639</v>
      </c>
      <c r="B1354" s="22" t="s">
        <v>5640</v>
      </c>
      <c r="C1354" s="23" t="s">
        <v>32</v>
      </c>
      <c r="D1354" s="22" t="s">
        <v>8261</v>
      </c>
      <c r="E1354" s="22"/>
      <c r="F1354" s="22" t="s">
        <v>317</v>
      </c>
      <c r="G1354" s="22"/>
      <c r="H1354" s="22"/>
      <c r="I1354" s="25" t="s">
        <v>5641</v>
      </c>
      <c r="J1354" s="22" t="s">
        <v>5642</v>
      </c>
      <c r="K1354" s="22" t="s">
        <v>5643</v>
      </c>
      <c r="L1354" s="22" t="s">
        <v>109</v>
      </c>
      <c r="M1354" s="22" t="str">
        <f>HYPERLINK("https://ceds.ed.gov/cedselementdetails.aspx?termid=21843")</f>
        <v>https://ceds.ed.gov/cedselementdetails.aspx?termid=21843</v>
      </c>
    </row>
    <row r="1355" spans="1:13" ht="100.8" x14ac:dyDescent="0.3">
      <c r="A1355" s="22" t="s">
        <v>5644</v>
      </c>
      <c r="B1355" s="22" t="s">
        <v>5645</v>
      </c>
      <c r="C1355" s="23" t="s">
        <v>32</v>
      </c>
      <c r="D1355" s="24" t="s">
        <v>9049</v>
      </c>
      <c r="E1355" s="22"/>
      <c r="F1355" s="22" t="s">
        <v>1518</v>
      </c>
      <c r="G1355" s="22"/>
      <c r="H1355" s="22"/>
      <c r="I1355" s="25" t="s">
        <v>5646</v>
      </c>
      <c r="J1355" s="22"/>
      <c r="K1355" s="22" t="s">
        <v>5647</v>
      </c>
      <c r="L1355" s="22" t="s">
        <v>207</v>
      </c>
      <c r="M1355" s="22" t="str">
        <f>HYPERLINK("https://ceds.ed.gov/cedselementdetails.aspx?termid=21815")</f>
        <v>https://ceds.ed.gov/cedselementdetails.aspx?termid=21815</v>
      </c>
    </row>
    <row r="1356" spans="1:13" x14ac:dyDescent="0.3">
      <c r="A1356" s="22" t="s">
        <v>5648</v>
      </c>
      <c r="B1356" s="22" t="s">
        <v>5649</v>
      </c>
      <c r="C1356" s="23" t="s">
        <v>32</v>
      </c>
      <c r="D1356" s="22" t="s">
        <v>2799</v>
      </c>
      <c r="E1356" s="22"/>
      <c r="F1356" s="22" t="s">
        <v>5650</v>
      </c>
      <c r="G1356" s="22"/>
      <c r="H1356" s="22" t="s">
        <v>8262</v>
      </c>
      <c r="I1356" s="25" t="s">
        <v>5651</v>
      </c>
      <c r="J1356" s="22"/>
      <c r="K1356" s="22" t="s">
        <v>5652</v>
      </c>
      <c r="L1356" s="22"/>
      <c r="M1356" s="22" t="str">
        <f>HYPERLINK("https://ceds.ed.gov/cedselementdetails.aspx?termid=22737")</f>
        <v>https://ceds.ed.gov/cedselementdetails.aspx?termid=22737</v>
      </c>
    </row>
    <row r="1357" spans="1:13" ht="43.2" x14ac:dyDescent="0.3">
      <c r="A1357" s="22" t="s">
        <v>5653</v>
      </c>
      <c r="B1357" s="22" t="s">
        <v>5654</v>
      </c>
      <c r="C1357" s="23" t="s">
        <v>32</v>
      </c>
      <c r="D1357" s="24" t="s">
        <v>5655</v>
      </c>
      <c r="E1357" s="22"/>
      <c r="F1357" s="22" t="s">
        <v>5656</v>
      </c>
      <c r="G1357" s="22"/>
      <c r="H1357" s="22"/>
      <c r="I1357" s="25" t="s">
        <v>5657</v>
      </c>
      <c r="J1357" s="22" t="s">
        <v>5658</v>
      </c>
      <c r="K1357" s="22" t="s">
        <v>5658</v>
      </c>
      <c r="L1357" s="22"/>
      <c r="M1357" s="22" t="str">
        <f>HYPERLINK("https://ceds.ed.gov/cedselementdetails.aspx?termid=21203")</f>
        <v>https://ceds.ed.gov/cedselementdetails.aspx?termid=21203</v>
      </c>
    </row>
    <row r="1358" spans="1:13" ht="43.2" x14ac:dyDescent="0.3">
      <c r="A1358" s="22" t="s">
        <v>5659</v>
      </c>
      <c r="B1358" s="22" t="s">
        <v>5660</v>
      </c>
      <c r="C1358" s="26" t="s">
        <v>22</v>
      </c>
      <c r="D1358" s="22" t="s">
        <v>8096</v>
      </c>
      <c r="E1358" s="22"/>
      <c r="F1358" s="22"/>
      <c r="G1358" s="22"/>
      <c r="H1358" s="22"/>
      <c r="I1358" s="25" t="s">
        <v>5661</v>
      </c>
      <c r="J1358" s="22"/>
      <c r="K1358" s="22" t="s">
        <v>5662</v>
      </c>
      <c r="L1358" s="22" t="s">
        <v>109</v>
      </c>
      <c r="M1358" s="22" t="str">
        <f>HYPERLINK("https://ceds.ed.gov/cedselementdetails.aspx?termid=21847")</f>
        <v>https://ceds.ed.gov/cedselementdetails.aspx?termid=21847</v>
      </c>
    </row>
    <row r="1359" spans="1:13" ht="28.8" x14ac:dyDescent="0.3">
      <c r="A1359" s="22" t="s">
        <v>5663</v>
      </c>
      <c r="B1359" s="22" t="s">
        <v>5664</v>
      </c>
      <c r="C1359" s="23" t="s">
        <v>32</v>
      </c>
      <c r="D1359" s="22" t="s">
        <v>8101</v>
      </c>
      <c r="E1359" s="22"/>
      <c r="F1359" s="22" t="s">
        <v>118</v>
      </c>
      <c r="G1359" s="22"/>
      <c r="H1359" s="22"/>
      <c r="I1359" s="25" t="s">
        <v>5665</v>
      </c>
      <c r="J1359" s="22"/>
      <c r="K1359" s="22" t="s">
        <v>5666</v>
      </c>
      <c r="L1359" s="24" t="s">
        <v>2487</v>
      </c>
      <c r="M1359" s="22" t="str">
        <f>HYPERLINK("https://ceds.ed.gov/cedselementdetails.aspx?termid=21350")</f>
        <v>https://ceds.ed.gov/cedselementdetails.aspx?termid=21350</v>
      </c>
    </row>
    <row r="1360" spans="1:13" ht="158.4" x14ac:dyDescent="0.3">
      <c r="A1360" s="22" t="s">
        <v>5667</v>
      </c>
      <c r="B1360" s="22" t="s">
        <v>5668</v>
      </c>
      <c r="C1360" s="23" t="s">
        <v>32</v>
      </c>
      <c r="D1360" s="24" t="s">
        <v>8484</v>
      </c>
      <c r="E1360" s="22" t="s">
        <v>172</v>
      </c>
      <c r="F1360" s="22" t="s">
        <v>118</v>
      </c>
      <c r="G1360" s="22" t="s">
        <v>7946</v>
      </c>
      <c r="H1360" s="22"/>
      <c r="I1360" s="25" t="s">
        <v>5669</v>
      </c>
      <c r="J1360" s="22"/>
      <c r="K1360" s="22" t="s">
        <v>5670</v>
      </c>
      <c r="L1360" s="22" t="s">
        <v>226</v>
      </c>
      <c r="M1360" s="22" t="str">
        <f>HYPERLINK("https://ceds.ed.gov/cedselementdetails.aspx?termid=21525")</f>
        <v>https://ceds.ed.gov/cedselementdetails.aspx?termid=21525</v>
      </c>
    </row>
    <row r="1361" spans="1:13" ht="43.2" x14ac:dyDescent="0.3">
      <c r="A1361" s="22" t="s">
        <v>5671</v>
      </c>
      <c r="B1361" s="22" t="s">
        <v>5672</v>
      </c>
      <c r="C1361" s="26" t="s">
        <v>22</v>
      </c>
      <c r="D1361" s="22" t="s">
        <v>3234</v>
      </c>
      <c r="E1361" s="22"/>
      <c r="F1361" s="22"/>
      <c r="G1361" s="22"/>
      <c r="H1361" s="22"/>
      <c r="I1361" s="25" t="s">
        <v>5673</v>
      </c>
      <c r="J1361" s="22"/>
      <c r="K1361" s="22" t="s">
        <v>5674</v>
      </c>
      <c r="L1361" s="22"/>
      <c r="M1361" s="22" t="str">
        <f>HYPERLINK("https://ceds.ed.gov/cedselementdetails.aspx?termid=22385")</f>
        <v>https://ceds.ed.gov/cedselementdetails.aspx?termid=22385</v>
      </c>
    </row>
    <row r="1362" spans="1:13" x14ac:dyDescent="0.3">
      <c r="A1362" s="22" t="s">
        <v>5675</v>
      </c>
      <c r="B1362" s="22" t="s">
        <v>5676</v>
      </c>
      <c r="C1362" s="23" t="s">
        <v>32</v>
      </c>
      <c r="D1362" s="22" t="s">
        <v>3234</v>
      </c>
      <c r="E1362" s="22"/>
      <c r="F1362" s="22" t="s">
        <v>118</v>
      </c>
      <c r="G1362" s="22"/>
      <c r="H1362" s="22"/>
      <c r="I1362" s="25" t="s">
        <v>5677</v>
      </c>
      <c r="J1362" s="22"/>
      <c r="K1362" s="22" t="s">
        <v>5678</v>
      </c>
      <c r="L1362" s="22"/>
      <c r="M1362" s="22" t="str">
        <f>HYPERLINK("https://ceds.ed.gov/cedselementdetails.aspx?termid=22386")</f>
        <v>https://ceds.ed.gov/cedselementdetails.aspx?termid=22386</v>
      </c>
    </row>
    <row r="1363" spans="1:13" ht="409.6" x14ac:dyDescent="0.3">
      <c r="A1363" s="22" t="s">
        <v>5679</v>
      </c>
      <c r="B1363" s="22" t="s">
        <v>5680</v>
      </c>
      <c r="C1363" s="26" t="s">
        <v>8485</v>
      </c>
      <c r="D1363" s="24" t="s">
        <v>8486</v>
      </c>
      <c r="E1363" s="22" t="s">
        <v>172</v>
      </c>
      <c r="F1363" s="22"/>
      <c r="G1363" s="22" t="s">
        <v>7946</v>
      </c>
      <c r="H1363" s="22"/>
      <c r="I1363" s="25" t="s">
        <v>5681</v>
      </c>
      <c r="J1363" s="22"/>
      <c r="K1363" s="22" t="s">
        <v>5682</v>
      </c>
      <c r="L1363" s="22" t="s">
        <v>109</v>
      </c>
      <c r="M1363" s="22" t="str">
        <f>HYPERLINK("https://ceds.ed.gov/cedselementdetails.aspx?termid=21827")</f>
        <v>https://ceds.ed.gov/cedselementdetails.aspx?termid=21827</v>
      </c>
    </row>
    <row r="1364" spans="1:13" ht="360" x14ac:dyDescent="0.3">
      <c r="A1364" s="22" t="s">
        <v>5683</v>
      </c>
      <c r="B1364" s="22" t="s">
        <v>5684</v>
      </c>
      <c r="C1364" s="23" t="s">
        <v>32</v>
      </c>
      <c r="D1364" s="24" t="s">
        <v>8487</v>
      </c>
      <c r="E1364" s="22" t="s">
        <v>172</v>
      </c>
      <c r="F1364" s="22" t="s">
        <v>132</v>
      </c>
      <c r="G1364" s="22" t="s">
        <v>7946</v>
      </c>
      <c r="H1364" s="22" t="s">
        <v>7945</v>
      </c>
      <c r="I1364" s="25" t="s">
        <v>5685</v>
      </c>
      <c r="J1364" s="22"/>
      <c r="K1364" s="22" t="s">
        <v>5686</v>
      </c>
      <c r="L1364" s="22" t="s">
        <v>109</v>
      </c>
      <c r="M1364" s="22" t="str">
        <f>HYPERLINK("https://ceds.ed.gov/cedselementdetails.aspx?termid=21825")</f>
        <v>https://ceds.ed.gov/cedselementdetails.aspx?termid=21825</v>
      </c>
    </row>
    <row r="1365" spans="1:13" ht="187.2" x14ac:dyDescent="0.3">
      <c r="A1365" s="22" t="s">
        <v>5687</v>
      </c>
      <c r="B1365" s="22" t="s">
        <v>5688</v>
      </c>
      <c r="C1365" s="23" t="s">
        <v>32</v>
      </c>
      <c r="D1365" s="24" t="s">
        <v>9050</v>
      </c>
      <c r="E1365" s="22"/>
      <c r="F1365" s="22" t="s">
        <v>50</v>
      </c>
      <c r="G1365" s="22"/>
      <c r="H1365" s="22"/>
      <c r="I1365" s="25" t="s">
        <v>5689</v>
      </c>
      <c r="J1365" s="22"/>
      <c r="K1365" s="22" t="s">
        <v>5690</v>
      </c>
      <c r="L1365" s="22"/>
      <c r="M1365" s="22" t="str">
        <f>HYPERLINK("https://ceds.ed.gov/cedselementdetails.aspx?termid=22644")</f>
        <v>https://ceds.ed.gov/cedselementdetails.aspx?termid=22644</v>
      </c>
    </row>
    <row r="1366" spans="1:13" ht="43.2" x14ac:dyDescent="0.3">
      <c r="A1366" s="22" t="s">
        <v>5691</v>
      </c>
      <c r="B1366" s="22" t="s">
        <v>5692</v>
      </c>
      <c r="C1366" s="26" t="s">
        <v>9051</v>
      </c>
      <c r="D1366" s="22" t="s">
        <v>8256</v>
      </c>
      <c r="E1366" s="22"/>
      <c r="F1366" s="22"/>
      <c r="G1366" s="22"/>
      <c r="H1366" s="22"/>
      <c r="I1366" s="25" t="s">
        <v>5693</v>
      </c>
      <c r="J1366" s="22"/>
      <c r="K1366" s="22" t="s">
        <v>5694</v>
      </c>
      <c r="L1366" s="22"/>
      <c r="M1366" s="22" t="str">
        <f>HYPERLINK("https://ceds.ed.gov/cedselementdetails.aspx?termid=22296")</f>
        <v>https://ceds.ed.gov/cedselementdetails.aspx?termid=22296</v>
      </c>
    </row>
    <row r="1367" spans="1:13" ht="244.8" x14ac:dyDescent="0.3">
      <c r="A1367" s="22" t="s">
        <v>5695</v>
      </c>
      <c r="B1367" s="22" t="s">
        <v>5696</v>
      </c>
      <c r="C1367" s="23" t="s">
        <v>32</v>
      </c>
      <c r="D1367" s="24" t="s">
        <v>8488</v>
      </c>
      <c r="E1367" s="22" t="s">
        <v>172</v>
      </c>
      <c r="F1367" s="22" t="s">
        <v>157</v>
      </c>
      <c r="G1367" s="22" t="s">
        <v>7946</v>
      </c>
      <c r="H1367" s="22"/>
      <c r="I1367" s="25" t="s">
        <v>5697</v>
      </c>
      <c r="J1367" s="22"/>
      <c r="K1367" s="22" t="s">
        <v>5698</v>
      </c>
      <c r="L1367" s="22" t="s">
        <v>207</v>
      </c>
      <c r="M1367" s="22" t="str">
        <f>HYPERLINK("https://ceds.ed.gov/cedselementdetails.aspx?termid=21204")</f>
        <v>https://ceds.ed.gov/cedselementdetails.aspx?termid=21204</v>
      </c>
    </row>
    <row r="1368" spans="1:13" ht="129.6" x14ac:dyDescent="0.3">
      <c r="A1368" s="22" t="s">
        <v>5699</v>
      </c>
      <c r="B1368" s="22" t="s">
        <v>5700</v>
      </c>
      <c r="C1368" s="26" t="s">
        <v>8489</v>
      </c>
      <c r="D1368" s="24" t="s">
        <v>8490</v>
      </c>
      <c r="E1368" s="22" t="s">
        <v>172</v>
      </c>
      <c r="F1368" s="22"/>
      <c r="G1368" s="22" t="s">
        <v>7946</v>
      </c>
      <c r="H1368" s="22"/>
      <c r="I1368" s="25" t="s">
        <v>5701</v>
      </c>
      <c r="J1368" s="22"/>
      <c r="K1368" s="22" t="s">
        <v>5702</v>
      </c>
      <c r="L1368" s="22"/>
      <c r="M1368" s="22" t="str">
        <f>HYPERLINK("https://ceds.ed.gov/cedselementdetails.aspx?termid=22387")</f>
        <v>https://ceds.ed.gov/cedselementdetails.aspx?termid=22387</v>
      </c>
    </row>
    <row r="1369" spans="1:13" ht="216" x14ac:dyDescent="0.3">
      <c r="A1369" s="22" t="s">
        <v>5703</v>
      </c>
      <c r="B1369" s="22" t="s">
        <v>5704</v>
      </c>
      <c r="C1369" s="23" t="s">
        <v>32</v>
      </c>
      <c r="D1369" s="24" t="s">
        <v>9052</v>
      </c>
      <c r="E1369" s="22"/>
      <c r="F1369" s="22" t="s">
        <v>2856</v>
      </c>
      <c r="G1369" s="22"/>
      <c r="H1369" s="22"/>
      <c r="I1369" s="25" t="s">
        <v>5705</v>
      </c>
      <c r="J1369" s="22"/>
      <c r="K1369" s="22" t="s">
        <v>5706</v>
      </c>
      <c r="L1369" s="22"/>
      <c r="M1369" s="22" t="str">
        <f>HYPERLINK("https://ceds.ed.gov/cedselementdetails.aspx?termid=22731")</f>
        <v>https://ceds.ed.gov/cedselementdetails.aspx?termid=22731</v>
      </c>
    </row>
    <row r="1370" spans="1:13" ht="187.2" x14ac:dyDescent="0.3">
      <c r="A1370" s="22" t="s">
        <v>5707</v>
      </c>
      <c r="B1370" s="22" t="s">
        <v>5708</v>
      </c>
      <c r="C1370" s="26" t="s">
        <v>8491</v>
      </c>
      <c r="D1370" s="24" t="s">
        <v>8492</v>
      </c>
      <c r="E1370" s="22" t="s">
        <v>172</v>
      </c>
      <c r="F1370" s="22"/>
      <c r="G1370" s="22" t="s">
        <v>8263</v>
      </c>
      <c r="H1370" s="22" t="s">
        <v>8264</v>
      </c>
      <c r="I1370" s="25" t="s">
        <v>5709</v>
      </c>
      <c r="J1370" s="22"/>
      <c r="K1370" s="22" t="s">
        <v>5710</v>
      </c>
      <c r="L1370" s="22"/>
      <c r="M1370" s="22" t="str">
        <f>HYPERLINK("https://ceds.ed.gov/cedselementdetails.aspx?termid=22886")</f>
        <v>https://ceds.ed.gov/cedselementdetails.aspx?termid=22886</v>
      </c>
    </row>
    <row r="1371" spans="1:13" ht="43.2" x14ac:dyDescent="0.3">
      <c r="A1371" s="22" t="s">
        <v>5711</v>
      </c>
      <c r="B1371" s="22" t="s">
        <v>5712</v>
      </c>
      <c r="C1371" s="23" t="s">
        <v>32</v>
      </c>
      <c r="D1371" s="24" t="s">
        <v>9053</v>
      </c>
      <c r="E1371" s="22"/>
      <c r="F1371" s="22" t="s">
        <v>118</v>
      </c>
      <c r="G1371" s="22"/>
      <c r="H1371" s="22"/>
      <c r="I1371" s="25" t="s">
        <v>5713</v>
      </c>
      <c r="J1371" s="22"/>
      <c r="K1371" s="22" t="s">
        <v>5714</v>
      </c>
      <c r="L1371" s="22"/>
      <c r="M1371" s="22" t="str">
        <f>HYPERLINK("https://ceds.ed.gov/cedselementdetails.aspx?termid=22388")</f>
        <v>https://ceds.ed.gov/cedselementdetails.aspx?termid=22388</v>
      </c>
    </row>
    <row r="1372" spans="1:13" ht="409.6" x14ac:dyDescent="0.3">
      <c r="A1372" s="22" t="s">
        <v>5715</v>
      </c>
      <c r="B1372" s="22" t="s">
        <v>5716</v>
      </c>
      <c r="C1372" s="26" t="s">
        <v>8493</v>
      </c>
      <c r="D1372" s="24" t="s">
        <v>8492</v>
      </c>
      <c r="E1372" s="22" t="s">
        <v>172</v>
      </c>
      <c r="F1372" s="22"/>
      <c r="G1372" s="22" t="s">
        <v>8265</v>
      </c>
      <c r="H1372" s="22" t="s">
        <v>5717</v>
      </c>
      <c r="I1372" s="25" t="s">
        <v>5718</v>
      </c>
      <c r="J1372" s="22"/>
      <c r="K1372" s="22" t="s">
        <v>5719</v>
      </c>
      <c r="L1372" s="22"/>
      <c r="M1372" s="22" t="str">
        <f>HYPERLINK("https://ceds.ed.gov/cedselementdetails.aspx?termid=22165")</f>
        <v>https://ceds.ed.gov/cedselementdetails.aspx?termid=22165</v>
      </c>
    </row>
    <row r="1373" spans="1:13" x14ac:dyDescent="0.3">
      <c r="A1373" s="22" t="s">
        <v>5720</v>
      </c>
      <c r="B1373" s="22" t="s">
        <v>5721</v>
      </c>
      <c r="C1373" s="23" t="s">
        <v>32</v>
      </c>
      <c r="D1373" s="22" t="s">
        <v>8256</v>
      </c>
      <c r="E1373" s="22"/>
      <c r="F1373" s="22" t="s">
        <v>113</v>
      </c>
      <c r="G1373" s="22"/>
      <c r="H1373" s="22"/>
      <c r="I1373" s="25" t="s">
        <v>5722</v>
      </c>
      <c r="J1373" s="22"/>
      <c r="K1373" s="22" t="s">
        <v>5723</v>
      </c>
      <c r="L1373" s="22"/>
      <c r="M1373" s="22" t="str">
        <f>HYPERLINK("https://ceds.ed.gov/cedselementdetails.aspx?termid=22300")</f>
        <v>https://ceds.ed.gov/cedselementdetails.aspx?termid=22300</v>
      </c>
    </row>
    <row r="1374" spans="1:13" ht="72" x14ac:dyDescent="0.3">
      <c r="A1374" s="22" t="s">
        <v>5724</v>
      </c>
      <c r="B1374" s="22" t="s">
        <v>5725</v>
      </c>
      <c r="C1374" s="23" t="s">
        <v>32</v>
      </c>
      <c r="D1374" s="24" t="s">
        <v>2548</v>
      </c>
      <c r="E1374" s="22"/>
      <c r="F1374" s="22" t="s">
        <v>132</v>
      </c>
      <c r="G1374" s="22"/>
      <c r="H1374" s="22" t="s">
        <v>7945</v>
      </c>
      <c r="I1374" s="25" t="s">
        <v>5726</v>
      </c>
      <c r="J1374" s="22"/>
      <c r="K1374" s="22" t="s">
        <v>5727</v>
      </c>
      <c r="L1374" s="22"/>
      <c r="M1374" s="22" t="str">
        <f>HYPERLINK("https://ceds.ed.gov/cedselementdetails.aspx?termid=22389")</f>
        <v>https://ceds.ed.gov/cedselementdetails.aspx?termid=22389</v>
      </c>
    </row>
    <row r="1375" spans="1:13" ht="409.6" x14ac:dyDescent="0.3">
      <c r="A1375" s="22" t="s">
        <v>5728</v>
      </c>
      <c r="B1375" s="22" t="s">
        <v>5729</v>
      </c>
      <c r="C1375" s="23" t="s">
        <v>32</v>
      </c>
      <c r="D1375" s="24" t="s">
        <v>9054</v>
      </c>
      <c r="E1375" s="22"/>
      <c r="F1375" s="22" t="s">
        <v>1301</v>
      </c>
      <c r="G1375" s="22"/>
      <c r="H1375" s="22" t="s">
        <v>5730</v>
      </c>
      <c r="I1375" s="25" t="s">
        <v>5731</v>
      </c>
      <c r="J1375" s="22"/>
      <c r="K1375" s="22" t="s">
        <v>5732</v>
      </c>
      <c r="L1375" s="22"/>
      <c r="M1375" s="22" t="str">
        <f>HYPERLINK("https://ceds.ed.gov/cedselementdetails.aspx?termid=22486")</f>
        <v>https://ceds.ed.gov/cedselementdetails.aspx?termid=22486</v>
      </c>
    </row>
    <row r="1376" spans="1:13" ht="409.6" x14ac:dyDescent="0.3">
      <c r="A1376" s="22" t="s">
        <v>5733</v>
      </c>
      <c r="B1376" s="22" t="s">
        <v>5734</v>
      </c>
      <c r="C1376" s="23" t="s">
        <v>32</v>
      </c>
      <c r="D1376" s="24" t="s">
        <v>9054</v>
      </c>
      <c r="E1376" s="22"/>
      <c r="F1376" s="22" t="s">
        <v>1301</v>
      </c>
      <c r="G1376" s="22"/>
      <c r="H1376" s="22" t="s">
        <v>5735</v>
      </c>
      <c r="I1376" s="25" t="s">
        <v>5736</v>
      </c>
      <c r="J1376" s="22"/>
      <c r="K1376" s="22" t="s">
        <v>5737</v>
      </c>
      <c r="L1376" s="22"/>
      <c r="M1376" s="22" t="str">
        <f>HYPERLINK("https://ceds.ed.gov/cedselementdetails.aspx?termid=22485")</f>
        <v>https://ceds.ed.gov/cedselementdetails.aspx?termid=22485</v>
      </c>
    </row>
    <row r="1377" spans="1:13" ht="409.6" x14ac:dyDescent="0.3">
      <c r="A1377" s="22" t="s">
        <v>5738</v>
      </c>
      <c r="B1377" s="22" t="s">
        <v>5739</v>
      </c>
      <c r="C1377" s="23" t="s">
        <v>32</v>
      </c>
      <c r="D1377" s="24" t="s">
        <v>9054</v>
      </c>
      <c r="E1377" s="22"/>
      <c r="F1377" s="22" t="s">
        <v>1301</v>
      </c>
      <c r="G1377" s="22"/>
      <c r="H1377" s="22" t="s">
        <v>5740</v>
      </c>
      <c r="I1377" s="25" t="s">
        <v>5741</v>
      </c>
      <c r="J1377" s="22"/>
      <c r="K1377" s="22" t="s">
        <v>5742</v>
      </c>
      <c r="L1377" s="22"/>
      <c r="M1377" s="22" t="str">
        <f>HYPERLINK("https://ceds.ed.gov/cedselementdetails.aspx?termid=22487")</f>
        <v>https://ceds.ed.gov/cedselementdetails.aspx?termid=22487</v>
      </c>
    </row>
    <row r="1378" spans="1:13" ht="409.6" x14ac:dyDescent="0.3">
      <c r="A1378" s="22" t="s">
        <v>5743</v>
      </c>
      <c r="B1378" s="22" t="s">
        <v>5744</v>
      </c>
      <c r="C1378" s="23" t="s">
        <v>32</v>
      </c>
      <c r="D1378" s="24" t="s">
        <v>9054</v>
      </c>
      <c r="E1378" s="22"/>
      <c r="F1378" s="22" t="s">
        <v>132</v>
      </c>
      <c r="G1378" s="22"/>
      <c r="H1378" s="22"/>
      <c r="I1378" s="25" t="s">
        <v>5745</v>
      </c>
      <c r="J1378" s="22"/>
      <c r="K1378" s="22" t="s">
        <v>5746</v>
      </c>
      <c r="L1378" s="24" t="s">
        <v>4119</v>
      </c>
      <c r="M1378" s="22" t="str">
        <f>HYPERLINK("https://ceds.ed.gov/cedselementdetails.aspx?termid=21206")</f>
        <v>https://ceds.ed.gov/cedselementdetails.aspx?termid=21206</v>
      </c>
    </row>
    <row r="1379" spans="1:13" ht="409.6" x14ac:dyDescent="0.3">
      <c r="A1379" s="22" t="s">
        <v>5747</v>
      </c>
      <c r="B1379" s="22" t="s">
        <v>5748</v>
      </c>
      <c r="C1379" s="26" t="s">
        <v>9055</v>
      </c>
      <c r="D1379" s="24" t="s">
        <v>9056</v>
      </c>
      <c r="E1379" s="22"/>
      <c r="F1379" s="22" t="s">
        <v>85</v>
      </c>
      <c r="G1379" s="22"/>
      <c r="H1379" s="22"/>
      <c r="I1379" s="25" t="s">
        <v>5749</v>
      </c>
      <c r="J1379" s="22"/>
      <c r="K1379" s="22" t="s">
        <v>5750</v>
      </c>
      <c r="L1379" s="24" t="s">
        <v>5751</v>
      </c>
      <c r="M1379" s="22" t="str">
        <f>HYPERLINK("https://ceds.ed.gov/cedselementdetails.aspx?termid=21627")</f>
        <v>https://ceds.ed.gov/cedselementdetails.aspx?termid=21627</v>
      </c>
    </row>
    <row r="1380" spans="1:13" ht="43.2" x14ac:dyDescent="0.3">
      <c r="A1380" s="22" t="s">
        <v>5752</v>
      </c>
      <c r="B1380" s="22" t="s">
        <v>5753</v>
      </c>
      <c r="C1380" s="26" t="s">
        <v>22</v>
      </c>
      <c r="D1380" s="22" t="s">
        <v>8266</v>
      </c>
      <c r="E1380" s="22"/>
      <c r="F1380" s="22"/>
      <c r="G1380" s="22"/>
      <c r="H1380" s="22" t="s">
        <v>5754</v>
      </c>
      <c r="I1380" s="25" t="s">
        <v>5755</v>
      </c>
      <c r="J1380" s="22"/>
      <c r="K1380" s="22" t="s">
        <v>5756</v>
      </c>
      <c r="L1380" s="22"/>
      <c r="M1380" s="22" t="str">
        <f>HYPERLINK("https://ceds.ed.gov/cedselementdetails.aspx?termid=22390")</f>
        <v>https://ceds.ed.gov/cedselementdetails.aspx?termid=22390</v>
      </c>
    </row>
    <row r="1381" spans="1:13" x14ac:dyDescent="0.3">
      <c r="A1381" s="22" t="s">
        <v>5757</v>
      </c>
      <c r="B1381" s="22" t="s">
        <v>5758</v>
      </c>
      <c r="C1381" s="23" t="s">
        <v>32</v>
      </c>
      <c r="D1381" s="22" t="s">
        <v>239</v>
      </c>
      <c r="E1381" s="22"/>
      <c r="F1381" s="22" t="s">
        <v>1518</v>
      </c>
      <c r="G1381" s="22"/>
      <c r="H1381" s="22" t="s">
        <v>368</v>
      </c>
      <c r="I1381" s="25" t="s">
        <v>5759</v>
      </c>
      <c r="J1381" s="22"/>
      <c r="K1381" s="22" t="s">
        <v>5760</v>
      </c>
      <c r="L1381" s="22" t="s">
        <v>1568</v>
      </c>
      <c r="M1381" s="22" t="str">
        <f>HYPERLINK("https://ceds.ed.gov/cedselementdetails.aspx?termid=21731")</f>
        <v>https://ceds.ed.gov/cedselementdetails.aspx?termid=21731</v>
      </c>
    </row>
    <row r="1382" spans="1:13" ht="72" x14ac:dyDescent="0.3">
      <c r="A1382" s="22" t="s">
        <v>5761</v>
      </c>
      <c r="B1382" s="22" t="s">
        <v>5762</v>
      </c>
      <c r="C1382" s="26" t="s">
        <v>3039</v>
      </c>
      <c r="D1382" s="24" t="s">
        <v>1956</v>
      </c>
      <c r="E1382" s="22"/>
      <c r="F1382" s="22"/>
      <c r="G1382" s="22"/>
      <c r="H1382" s="22"/>
      <c r="I1382" s="25" t="s">
        <v>5763</v>
      </c>
      <c r="J1382" s="22"/>
      <c r="K1382" s="22" t="s">
        <v>5764</v>
      </c>
      <c r="L1382" s="22"/>
      <c r="M1382" s="22" t="str">
        <f>HYPERLINK("https://ceds.ed.gov/cedselementdetails.aspx?termid=22908")</f>
        <v>https://ceds.ed.gov/cedselementdetails.aspx?termid=22908</v>
      </c>
    </row>
    <row r="1383" spans="1:13" ht="72" x14ac:dyDescent="0.3">
      <c r="A1383" s="22" t="s">
        <v>5765</v>
      </c>
      <c r="B1383" s="22" t="s">
        <v>5766</v>
      </c>
      <c r="C1383" s="23" t="s">
        <v>32</v>
      </c>
      <c r="D1383" s="24" t="s">
        <v>2548</v>
      </c>
      <c r="E1383" s="22"/>
      <c r="F1383" s="22" t="s">
        <v>85</v>
      </c>
      <c r="G1383" s="22"/>
      <c r="H1383" s="22"/>
      <c r="I1383" s="25" t="s">
        <v>5767</v>
      </c>
      <c r="J1383" s="22"/>
      <c r="K1383" s="22" t="s">
        <v>5768</v>
      </c>
      <c r="L1383" s="22"/>
      <c r="M1383" s="22" t="str">
        <f>HYPERLINK("https://ceds.ed.gov/cedselementdetails.aspx?termid=22391")</f>
        <v>https://ceds.ed.gov/cedselementdetails.aspx?termid=22391</v>
      </c>
    </row>
    <row r="1384" spans="1:13" ht="43.2" x14ac:dyDescent="0.3">
      <c r="A1384" s="22" t="s">
        <v>5769</v>
      </c>
      <c r="B1384" s="22" t="s">
        <v>5770</v>
      </c>
      <c r="C1384" s="26" t="s">
        <v>9057</v>
      </c>
      <c r="D1384" s="22" t="s">
        <v>4339</v>
      </c>
      <c r="E1384" s="22"/>
      <c r="F1384" s="22"/>
      <c r="G1384" s="22"/>
      <c r="H1384" s="22"/>
      <c r="I1384" s="25" t="s">
        <v>5771</v>
      </c>
      <c r="J1384" s="22"/>
      <c r="K1384" s="22" t="s">
        <v>5772</v>
      </c>
      <c r="L1384" s="22" t="s">
        <v>226</v>
      </c>
      <c r="M1384" s="22" t="str">
        <f>HYPERLINK("https://ceds.ed.gov/cedselementdetails.aspx?termid=21207")</f>
        <v>https://ceds.ed.gov/cedselementdetails.aspx?termid=21207</v>
      </c>
    </row>
    <row r="1385" spans="1:13" ht="144" x14ac:dyDescent="0.3">
      <c r="A1385" s="22" t="s">
        <v>5773</v>
      </c>
      <c r="B1385" s="22" t="s">
        <v>5774</v>
      </c>
      <c r="C1385" s="26" t="s">
        <v>9058</v>
      </c>
      <c r="D1385" s="22" t="s">
        <v>8018</v>
      </c>
      <c r="E1385" s="22"/>
      <c r="F1385" s="22"/>
      <c r="G1385" s="22"/>
      <c r="H1385" s="22"/>
      <c r="I1385" s="25" t="s">
        <v>5775</v>
      </c>
      <c r="J1385" s="22"/>
      <c r="K1385" s="22" t="s">
        <v>5776</v>
      </c>
      <c r="L1385" s="22" t="s">
        <v>109</v>
      </c>
      <c r="M1385" s="22" t="str">
        <f>HYPERLINK("https://ceds.ed.gov/cedselementdetails.aspx?termid=21857")</f>
        <v>https://ceds.ed.gov/cedselementdetails.aspx?termid=21857</v>
      </c>
    </row>
    <row r="1386" spans="1:13" ht="409.6" x14ac:dyDescent="0.3">
      <c r="A1386" s="22" t="s">
        <v>5777</v>
      </c>
      <c r="B1386" s="22" t="s">
        <v>5778</v>
      </c>
      <c r="C1386" s="26" t="s">
        <v>8904</v>
      </c>
      <c r="D1386" s="24" t="s">
        <v>8905</v>
      </c>
      <c r="E1386" s="22"/>
      <c r="F1386" s="22"/>
      <c r="G1386" s="22"/>
      <c r="H1386" s="22"/>
      <c r="I1386" s="25" t="s">
        <v>5779</v>
      </c>
      <c r="J1386" s="22"/>
      <c r="K1386" s="22" t="s">
        <v>5780</v>
      </c>
      <c r="L1386" s="24" t="s">
        <v>3452</v>
      </c>
      <c r="M1386" s="22" t="str">
        <f>HYPERLINK("https://ceds.ed.gov/cedselementdetails.aspx?termid=21867")</f>
        <v>https://ceds.ed.gov/cedselementdetails.aspx?termid=21867</v>
      </c>
    </row>
    <row r="1387" spans="1:13" ht="259.2" x14ac:dyDescent="0.3">
      <c r="A1387" s="22" t="s">
        <v>5781</v>
      </c>
      <c r="B1387" s="22" t="s">
        <v>5782</v>
      </c>
      <c r="C1387" s="26" t="s">
        <v>9059</v>
      </c>
      <c r="D1387" s="24" t="s">
        <v>9060</v>
      </c>
      <c r="E1387" s="22"/>
      <c r="F1387" s="22"/>
      <c r="G1387" s="22"/>
      <c r="H1387" s="22"/>
      <c r="I1387" s="25" t="s">
        <v>5783</v>
      </c>
      <c r="J1387" s="22"/>
      <c r="K1387" s="22" t="s">
        <v>5784</v>
      </c>
      <c r="L1387" s="24" t="s">
        <v>399</v>
      </c>
      <c r="M1387" s="22" t="str">
        <f>HYPERLINK("https://ceds.ed.gov/cedselementdetails.aspx?termid=21325")</f>
        <v>https://ceds.ed.gov/cedselementdetails.aspx?termid=21325</v>
      </c>
    </row>
    <row r="1388" spans="1:13" ht="100.8" x14ac:dyDescent="0.3">
      <c r="A1388" s="22" t="s">
        <v>5785</v>
      </c>
      <c r="B1388" s="22" t="s">
        <v>5786</v>
      </c>
      <c r="C1388" s="26" t="s">
        <v>9061</v>
      </c>
      <c r="D1388" s="24" t="s">
        <v>210</v>
      </c>
      <c r="E1388" s="22"/>
      <c r="F1388" s="22"/>
      <c r="G1388" s="22"/>
      <c r="H1388" s="22"/>
      <c r="I1388" s="25" t="s">
        <v>5787</v>
      </c>
      <c r="J1388" s="22"/>
      <c r="K1388" s="22" t="s">
        <v>5788</v>
      </c>
      <c r="L1388" s="22" t="s">
        <v>226</v>
      </c>
      <c r="M1388" s="22" t="str">
        <f>HYPERLINK("https://ceds.ed.gov/cedselementdetails.aspx?termid=21208")</f>
        <v>https://ceds.ed.gov/cedselementdetails.aspx?termid=21208</v>
      </c>
    </row>
    <row r="1389" spans="1:13" ht="100.8" x14ac:dyDescent="0.3">
      <c r="A1389" s="22" t="s">
        <v>5789</v>
      </c>
      <c r="B1389" s="22" t="s">
        <v>5790</v>
      </c>
      <c r="C1389" s="26" t="s">
        <v>9061</v>
      </c>
      <c r="D1389" s="24" t="s">
        <v>210</v>
      </c>
      <c r="E1389" s="22"/>
      <c r="F1389" s="22"/>
      <c r="G1389" s="22"/>
      <c r="H1389" s="22"/>
      <c r="I1389" s="25" t="s">
        <v>5791</v>
      </c>
      <c r="J1389" s="22"/>
      <c r="K1389" s="22" t="s">
        <v>5792</v>
      </c>
      <c r="L1389" s="22" t="s">
        <v>226</v>
      </c>
      <c r="M1389" s="22" t="str">
        <f>HYPERLINK("https://ceds.ed.gov/cedselementdetails.aspx?termid=21209")</f>
        <v>https://ceds.ed.gov/cedselementdetails.aspx?termid=21209</v>
      </c>
    </row>
    <row r="1390" spans="1:13" ht="158.4" x14ac:dyDescent="0.3">
      <c r="A1390" s="22" t="s">
        <v>5793</v>
      </c>
      <c r="B1390" s="22" t="s">
        <v>5794</v>
      </c>
      <c r="C1390" s="26" t="s">
        <v>9024</v>
      </c>
      <c r="D1390" s="22" t="s">
        <v>1874</v>
      </c>
      <c r="E1390" s="22"/>
      <c r="F1390" s="22"/>
      <c r="G1390" s="22"/>
      <c r="H1390" s="22"/>
      <c r="I1390" s="25" t="s">
        <v>5795</v>
      </c>
      <c r="J1390" s="22"/>
      <c r="K1390" s="22" t="s">
        <v>5796</v>
      </c>
      <c r="L1390" s="22"/>
      <c r="M1390" s="22" t="str">
        <f>HYPERLINK("https://ceds.ed.gov/cedselementdetails.aspx?termid=22195")</f>
        <v>https://ceds.ed.gov/cedselementdetails.aspx?termid=22195</v>
      </c>
    </row>
    <row r="1391" spans="1:13" x14ac:dyDescent="0.3">
      <c r="A1391" s="22" t="s">
        <v>5797</v>
      </c>
      <c r="B1391" s="22" t="s">
        <v>5798</v>
      </c>
      <c r="C1391" s="23" t="s">
        <v>32</v>
      </c>
      <c r="D1391" s="22" t="s">
        <v>5214</v>
      </c>
      <c r="E1391" s="22"/>
      <c r="F1391" s="22" t="s">
        <v>118</v>
      </c>
      <c r="G1391" s="22"/>
      <c r="H1391" s="22"/>
      <c r="I1391" s="25" t="s">
        <v>5799</v>
      </c>
      <c r="J1391" s="22"/>
      <c r="K1391" s="22" t="s">
        <v>5800</v>
      </c>
      <c r="L1391" s="22"/>
      <c r="M1391" s="22" t="str">
        <f>HYPERLINK("https://ceds.ed.gov/cedselementdetails.aspx?termid=22171")</f>
        <v>https://ceds.ed.gov/cedselementdetails.aspx?termid=22171</v>
      </c>
    </row>
    <row r="1392" spans="1:13" x14ac:dyDescent="0.3">
      <c r="A1392" s="22" t="s">
        <v>5801</v>
      </c>
      <c r="B1392" s="22" t="s">
        <v>8267</v>
      </c>
      <c r="C1392" s="23" t="s">
        <v>32</v>
      </c>
      <c r="D1392" s="22" t="s">
        <v>5802</v>
      </c>
      <c r="E1392" s="22"/>
      <c r="F1392" s="22" t="s">
        <v>990</v>
      </c>
      <c r="G1392" s="22"/>
      <c r="H1392" s="22"/>
      <c r="I1392" s="25" t="s">
        <v>5803</v>
      </c>
      <c r="J1392" s="22"/>
      <c r="K1392" s="22" t="s">
        <v>5804</v>
      </c>
      <c r="L1392" s="22"/>
      <c r="M1392" s="22" t="str">
        <f>HYPERLINK("https://ceds.ed.gov/cedselementdetails.aspx?termid=22162")</f>
        <v>https://ceds.ed.gov/cedselementdetails.aspx?termid=22162</v>
      </c>
    </row>
    <row r="1393" spans="1:13" x14ac:dyDescent="0.3">
      <c r="A1393" s="22" t="s">
        <v>5805</v>
      </c>
      <c r="B1393" s="22" t="s">
        <v>5806</v>
      </c>
      <c r="C1393" s="23" t="s">
        <v>32</v>
      </c>
      <c r="D1393" s="22" t="s">
        <v>5802</v>
      </c>
      <c r="E1393" s="22"/>
      <c r="F1393" s="22" t="s">
        <v>990</v>
      </c>
      <c r="G1393" s="22"/>
      <c r="H1393" s="22"/>
      <c r="I1393" s="25" t="s">
        <v>5807</v>
      </c>
      <c r="J1393" s="22"/>
      <c r="K1393" s="22" t="s">
        <v>5808</v>
      </c>
      <c r="L1393" s="22"/>
      <c r="M1393" s="22" t="str">
        <f>HYPERLINK("https://ceds.ed.gov/cedselementdetails.aspx?termid=22163")</f>
        <v>https://ceds.ed.gov/cedselementdetails.aspx?termid=22163</v>
      </c>
    </row>
    <row r="1394" spans="1:13" x14ac:dyDescent="0.3">
      <c r="A1394" s="22" t="s">
        <v>5809</v>
      </c>
      <c r="B1394" s="22" t="s">
        <v>5810</v>
      </c>
      <c r="C1394" s="23" t="s">
        <v>32</v>
      </c>
      <c r="D1394" s="22" t="s">
        <v>5802</v>
      </c>
      <c r="E1394" s="22"/>
      <c r="F1394" s="22" t="s">
        <v>157</v>
      </c>
      <c r="G1394" s="22"/>
      <c r="H1394" s="22"/>
      <c r="I1394" s="25" t="s">
        <v>5811</v>
      </c>
      <c r="J1394" s="22"/>
      <c r="K1394" s="22" t="s">
        <v>5812</v>
      </c>
      <c r="L1394" s="22"/>
      <c r="M1394" s="22" t="str">
        <f>HYPERLINK("https://ceds.ed.gov/cedselementdetails.aspx?termid=22160")</f>
        <v>https://ceds.ed.gov/cedselementdetails.aspx?termid=22160</v>
      </c>
    </row>
    <row r="1395" spans="1:13" x14ac:dyDescent="0.3">
      <c r="A1395" s="22" t="s">
        <v>5813</v>
      </c>
      <c r="B1395" s="22" t="s">
        <v>8268</v>
      </c>
      <c r="C1395" s="23" t="s">
        <v>32</v>
      </c>
      <c r="D1395" s="22" t="s">
        <v>5802</v>
      </c>
      <c r="E1395" s="22"/>
      <c r="F1395" s="22" t="s">
        <v>990</v>
      </c>
      <c r="G1395" s="22"/>
      <c r="H1395" s="22"/>
      <c r="I1395" s="25" t="s">
        <v>5814</v>
      </c>
      <c r="J1395" s="22"/>
      <c r="K1395" s="22" t="s">
        <v>5815</v>
      </c>
      <c r="L1395" s="22"/>
      <c r="M1395" s="22" t="str">
        <f>HYPERLINK("https://ceds.ed.gov/cedselementdetails.aspx?termid=22164")</f>
        <v>https://ceds.ed.gov/cedselementdetails.aspx?termid=22164</v>
      </c>
    </row>
    <row r="1396" spans="1:13" ht="43.2" x14ac:dyDescent="0.3">
      <c r="A1396" s="22" t="s">
        <v>8269</v>
      </c>
      <c r="B1396" s="22" t="s">
        <v>8270</v>
      </c>
      <c r="C1396" s="26" t="s">
        <v>22</v>
      </c>
      <c r="D1396" s="22" t="s">
        <v>5816</v>
      </c>
      <c r="E1396" s="22" t="s">
        <v>172</v>
      </c>
      <c r="F1396" s="22"/>
      <c r="G1396" s="22" t="s">
        <v>8271</v>
      </c>
      <c r="H1396" s="22"/>
      <c r="I1396" s="25" t="s">
        <v>5817</v>
      </c>
      <c r="J1396" s="22"/>
      <c r="K1396" s="22" t="s">
        <v>8272</v>
      </c>
      <c r="L1396" s="22" t="s">
        <v>226</v>
      </c>
      <c r="M1396" s="22" t="str">
        <f>HYPERLINK("https://ceds.ed.gov/cedselementdetails.aspx?termid=21574")</f>
        <v>https://ceds.ed.gov/cedselementdetails.aspx?termid=21574</v>
      </c>
    </row>
    <row r="1397" spans="1:13" ht="43.2" x14ac:dyDescent="0.3">
      <c r="A1397" s="22" t="s">
        <v>5818</v>
      </c>
      <c r="B1397" s="22" t="s">
        <v>5819</v>
      </c>
      <c r="C1397" s="26" t="s">
        <v>22</v>
      </c>
      <c r="D1397" s="22" t="s">
        <v>2517</v>
      </c>
      <c r="E1397" s="22"/>
      <c r="F1397" s="22"/>
      <c r="G1397" s="22"/>
      <c r="H1397" s="22"/>
      <c r="I1397" s="25" t="s">
        <v>5820</v>
      </c>
      <c r="J1397" s="22"/>
      <c r="K1397" s="22" t="s">
        <v>5821</v>
      </c>
      <c r="L1397" s="22" t="s">
        <v>226</v>
      </c>
      <c r="M1397" s="22" t="str">
        <f>HYPERLINK("https://ceds.ed.gov/cedselementdetails.aspx?termid=21210")</f>
        <v>https://ceds.ed.gov/cedselementdetails.aspx?termid=21210</v>
      </c>
    </row>
    <row r="1398" spans="1:13" ht="43.2" x14ac:dyDescent="0.3">
      <c r="A1398" s="22" t="s">
        <v>5822</v>
      </c>
      <c r="B1398" s="22" t="s">
        <v>5823</v>
      </c>
      <c r="C1398" s="26" t="s">
        <v>22</v>
      </c>
      <c r="D1398" s="22" t="s">
        <v>2517</v>
      </c>
      <c r="E1398" s="22"/>
      <c r="F1398" s="22"/>
      <c r="G1398" s="22"/>
      <c r="H1398" s="22"/>
      <c r="I1398" s="25" t="s">
        <v>5824</v>
      </c>
      <c r="J1398" s="22"/>
      <c r="K1398" s="22" t="s">
        <v>5825</v>
      </c>
      <c r="L1398" s="22" t="s">
        <v>226</v>
      </c>
      <c r="M1398" s="22" t="str">
        <f>HYPERLINK("https://ceds.ed.gov/cedselementdetails.aspx?termid=21211")</f>
        <v>https://ceds.ed.gov/cedselementdetails.aspx?termid=21211</v>
      </c>
    </row>
    <row r="1399" spans="1:13" x14ac:dyDescent="0.3">
      <c r="A1399" s="22" t="s">
        <v>5826</v>
      </c>
      <c r="B1399" s="22" t="s">
        <v>5827</v>
      </c>
      <c r="C1399" s="23" t="s">
        <v>32</v>
      </c>
      <c r="D1399" s="22" t="s">
        <v>3510</v>
      </c>
      <c r="E1399" s="22"/>
      <c r="F1399" s="22" t="s">
        <v>317</v>
      </c>
      <c r="G1399" s="22"/>
      <c r="H1399" s="22" t="s">
        <v>5828</v>
      </c>
      <c r="I1399" s="25" t="s">
        <v>5829</v>
      </c>
      <c r="J1399" s="22"/>
      <c r="K1399" s="22" t="s">
        <v>5830</v>
      </c>
      <c r="L1399" s="22"/>
      <c r="M1399" s="22" t="str">
        <f>HYPERLINK("https://ceds.ed.gov/cedselementdetails.aspx?termid=21993")</f>
        <v>https://ceds.ed.gov/cedselementdetails.aspx?termid=21993</v>
      </c>
    </row>
    <row r="1400" spans="1:13" ht="409.6" x14ac:dyDescent="0.3">
      <c r="A1400" s="22" t="s">
        <v>5831</v>
      </c>
      <c r="B1400" s="22" t="s">
        <v>5832</v>
      </c>
      <c r="C1400" s="26" t="s">
        <v>8494</v>
      </c>
      <c r="D1400" s="24" t="s">
        <v>8495</v>
      </c>
      <c r="E1400" s="22" t="s">
        <v>172</v>
      </c>
      <c r="F1400" s="22"/>
      <c r="G1400" s="22" t="s">
        <v>7946</v>
      </c>
      <c r="H1400" s="22"/>
      <c r="I1400" s="25" t="s">
        <v>5833</v>
      </c>
      <c r="J1400" s="22"/>
      <c r="K1400" s="22" t="s">
        <v>5834</v>
      </c>
      <c r="L1400" s="22"/>
      <c r="M1400" s="22" t="str">
        <f>HYPERLINK("https://ceds.ed.gov/cedselementdetails.aspx?termid=22550")</f>
        <v>https://ceds.ed.gov/cedselementdetails.aspx?termid=22550</v>
      </c>
    </row>
    <row r="1401" spans="1:13" ht="409.6" x14ac:dyDescent="0.3">
      <c r="A1401" s="22" t="s">
        <v>5835</v>
      </c>
      <c r="B1401" s="22" t="s">
        <v>5836</v>
      </c>
      <c r="C1401" s="23" t="s">
        <v>32</v>
      </c>
      <c r="D1401" s="24" t="s">
        <v>8495</v>
      </c>
      <c r="E1401" s="22" t="s">
        <v>172</v>
      </c>
      <c r="F1401" s="22" t="s">
        <v>132</v>
      </c>
      <c r="G1401" s="22" t="s">
        <v>7946</v>
      </c>
      <c r="H1401" s="22" t="s">
        <v>8043</v>
      </c>
      <c r="I1401" s="25" t="s">
        <v>5837</v>
      </c>
      <c r="J1401" s="22"/>
      <c r="K1401" s="22" t="s">
        <v>5838</v>
      </c>
      <c r="L1401" s="22"/>
      <c r="M1401" s="22" t="str">
        <f>HYPERLINK("https://ceds.ed.gov/cedselementdetails.aspx?termid=22551")</f>
        <v>https://ceds.ed.gov/cedselementdetails.aspx?termid=22551</v>
      </c>
    </row>
    <row r="1402" spans="1:13" ht="43.2" x14ac:dyDescent="0.3">
      <c r="A1402" s="22" t="s">
        <v>5839</v>
      </c>
      <c r="B1402" s="22" t="s">
        <v>5840</v>
      </c>
      <c r="C1402" s="23" t="s">
        <v>32</v>
      </c>
      <c r="D1402" s="24" t="s">
        <v>3498</v>
      </c>
      <c r="E1402" s="22"/>
      <c r="F1402" s="22" t="s">
        <v>317</v>
      </c>
      <c r="G1402" s="22"/>
      <c r="H1402" s="22"/>
      <c r="I1402" s="25" t="s">
        <v>5841</v>
      </c>
      <c r="J1402" s="22"/>
      <c r="K1402" s="22" t="s">
        <v>5842</v>
      </c>
      <c r="L1402" s="22"/>
      <c r="M1402" s="22" t="str">
        <f>HYPERLINK("https://ceds.ed.gov/cedselementdetails.aspx?termid=22392")</f>
        <v>https://ceds.ed.gov/cedselementdetails.aspx?termid=22392</v>
      </c>
    </row>
    <row r="1403" spans="1:13" ht="43.2" x14ac:dyDescent="0.3">
      <c r="A1403" s="22" t="s">
        <v>5843</v>
      </c>
      <c r="B1403" s="22" t="s">
        <v>5844</v>
      </c>
      <c r="C1403" s="23" t="s">
        <v>32</v>
      </c>
      <c r="D1403" s="24" t="s">
        <v>3498</v>
      </c>
      <c r="E1403" s="22"/>
      <c r="F1403" s="22" t="s">
        <v>328</v>
      </c>
      <c r="G1403" s="22"/>
      <c r="H1403" s="22"/>
      <c r="I1403" s="25" t="s">
        <v>5845</v>
      </c>
      <c r="J1403" s="22"/>
      <c r="K1403" s="22" t="s">
        <v>5846</v>
      </c>
      <c r="L1403" s="22"/>
      <c r="M1403" s="22" t="str">
        <f>HYPERLINK("https://ceds.ed.gov/cedselementdetails.aspx?termid=22393")</f>
        <v>https://ceds.ed.gov/cedselementdetails.aspx?termid=22393</v>
      </c>
    </row>
    <row r="1404" spans="1:13" ht="43.2" x14ac:dyDescent="0.3">
      <c r="A1404" s="22" t="s">
        <v>5847</v>
      </c>
      <c r="B1404" s="22" t="s">
        <v>5848</v>
      </c>
      <c r="C1404" s="26" t="s">
        <v>22</v>
      </c>
      <c r="D1404" s="24" t="s">
        <v>3498</v>
      </c>
      <c r="E1404" s="22"/>
      <c r="F1404" s="22"/>
      <c r="G1404" s="22"/>
      <c r="H1404" s="22"/>
      <c r="I1404" s="25" t="s">
        <v>5849</v>
      </c>
      <c r="J1404" s="22"/>
      <c r="K1404" s="22" t="s">
        <v>5850</v>
      </c>
      <c r="L1404" s="22"/>
      <c r="M1404" s="22" t="str">
        <f>HYPERLINK("https://ceds.ed.gov/cedselementdetails.aspx?termid=22394")</f>
        <v>https://ceds.ed.gov/cedselementdetails.aspx?termid=22394</v>
      </c>
    </row>
    <row r="1405" spans="1:13" ht="409.6" x14ac:dyDescent="0.3">
      <c r="A1405" s="22" t="s">
        <v>5851</v>
      </c>
      <c r="B1405" s="22" t="s">
        <v>5852</v>
      </c>
      <c r="C1405" s="26" t="s">
        <v>9062</v>
      </c>
      <c r="D1405" s="24" t="s">
        <v>9063</v>
      </c>
      <c r="E1405" s="22"/>
      <c r="F1405" s="22"/>
      <c r="G1405" s="22"/>
      <c r="H1405" s="22" t="s">
        <v>5853</v>
      </c>
      <c r="I1405" s="25" t="s">
        <v>5854</v>
      </c>
      <c r="J1405" s="22"/>
      <c r="K1405" s="22" t="s">
        <v>5855</v>
      </c>
      <c r="L1405" s="22" t="s">
        <v>1553</v>
      </c>
      <c r="M1405" s="22" t="str">
        <f>HYPERLINK("https://ceds.ed.gov/cedselementdetails.aspx?termid=21415")</f>
        <v>https://ceds.ed.gov/cedselementdetails.aspx?termid=21415</v>
      </c>
    </row>
    <row r="1406" spans="1:13" ht="388.8" x14ac:dyDescent="0.3">
      <c r="A1406" s="22" t="s">
        <v>7621</v>
      </c>
      <c r="B1406" s="22" t="s">
        <v>7622</v>
      </c>
      <c r="C1406" s="26" t="s">
        <v>8496</v>
      </c>
      <c r="D1406" s="24" t="s">
        <v>8497</v>
      </c>
      <c r="E1406" s="22" t="s">
        <v>172</v>
      </c>
      <c r="F1406" s="22"/>
      <c r="G1406" s="22" t="s">
        <v>7946</v>
      </c>
      <c r="H1406" s="22"/>
      <c r="I1406" s="25" t="s">
        <v>7623</v>
      </c>
      <c r="J1406" s="22"/>
      <c r="K1406" s="22" t="s">
        <v>7624</v>
      </c>
      <c r="L1406" s="22"/>
      <c r="M1406" s="22" t="str">
        <f>HYPERLINK("https://ceds.ed.gov/cedselementdetails.aspx?termid=22951")</f>
        <v>https://ceds.ed.gov/cedselementdetails.aspx?termid=22951</v>
      </c>
    </row>
    <row r="1407" spans="1:13" ht="403.2" x14ac:dyDescent="0.3">
      <c r="A1407" s="22" t="s">
        <v>5856</v>
      </c>
      <c r="B1407" s="22" t="s">
        <v>5857</v>
      </c>
      <c r="C1407" s="26" t="s">
        <v>8498</v>
      </c>
      <c r="D1407" s="24" t="s">
        <v>8497</v>
      </c>
      <c r="E1407" s="22" t="s">
        <v>172</v>
      </c>
      <c r="F1407" s="22"/>
      <c r="G1407" s="22" t="s">
        <v>7946</v>
      </c>
      <c r="H1407" s="22"/>
      <c r="I1407" s="25" t="s">
        <v>5858</v>
      </c>
      <c r="J1407" s="22"/>
      <c r="K1407" s="22" t="s">
        <v>5859</v>
      </c>
      <c r="L1407" s="22"/>
      <c r="M1407" s="22" t="str">
        <f>HYPERLINK("https://ceds.ed.gov/cedselementdetails.aspx?termid=21611")</f>
        <v>https://ceds.ed.gov/cedselementdetails.aspx?termid=21611</v>
      </c>
    </row>
    <row r="1408" spans="1:13" ht="409.6" x14ac:dyDescent="0.3">
      <c r="A1408" s="22" t="s">
        <v>5860</v>
      </c>
      <c r="B1408" s="22" t="s">
        <v>5861</v>
      </c>
      <c r="C1408" s="23" t="s">
        <v>32</v>
      </c>
      <c r="D1408" s="24" t="s">
        <v>9064</v>
      </c>
      <c r="E1408" s="22"/>
      <c r="F1408" s="22" t="s">
        <v>85</v>
      </c>
      <c r="G1408" s="22"/>
      <c r="H1408" s="22"/>
      <c r="I1408" s="25" t="s">
        <v>5862</v>
      </c>
      <c r="J1408" s="22" t="s">
        <v>5863</v>
      </c>
      <c r="K1408" s="22" t="s">
        <v>5864</v>
      </c>
      <c r="L1408" s="24" t="s">
        <v>5865</v>
      </c>
      <c r="M1408" s="22" t="str">
        <f>HYPERLINK("https://ceds.ed.gov/cedselementdetails.aspx?termid=21212")</f>
        <v>https://ceds.ed.gov/cedselementdetails.aspx?termid=21212</v>
      </c>
    </row>
    <row r="1409" spans="1:13" ht="86.4" x14ac:dyDescent="0.3">
      <c r="A1409" s="22" t="s">
        <v>5866</v>
      </c>
      <c r="B1409" s="22" t="s">
        <v>5867</v>
      </c>
      <c r="C1409" s="26" t="s">
        <v>9065</v>
      </c>
      <c r="D1409" s="22" t="s">
        <v>7954</v>
      </c>
      <c r="E1409" s="22"/>
      <c r="F1409" s="22"/>
      <c r="G1409" s="22"/>
      <c r="H1409" s="22"/>
      <c r="I1409" s="25" t="s">
        <v>5868</v>
      </c>
      <c r="J1409" s="22"/>
      <c r="K1409" s="22" t="s">
        <v>5869</v>
      </c>
      <c r="L1409" s="22" t="s">
        <v>109</v>
      </c>
      <c r="M1409" s="22" t="str">
        <f>HYPERLINK("https://ceds.ed.gov/cedselementdetails.aspx?termid=21842")</f>
        <v>https://ceds.ed.gov/cedselementdetails.aspx?termid=21842</v>
      </c>
    </row>
    <row r="1410" spans="1:13" ht="409.6" x14ac:dyDescent="0.3">
      <c r="A1410" s="22" t="s">
        <v>5870</v>
      </c>
      <c r="B1410" s="22" t="s">
        <v>39</v>
      </c>
      <c r="C1410" s="26" t="s">
        <v>9066</v>
      </c>
      <c r="D1410" s="24" t="s">
        <v>45</v>
      </c>
      <c r="E1410" s="22"/>
      <c r="F1410" s="22"/>
      <c r="G1410" s="22"/>
      <c r="H1410" s="22"/>
      <c r="I1410" s="25" t="s">
        <v>5871</v>
      </c>
      <c r="J1410" s="22"/>
      <c r="K1410" s="22" t="s">
        <v>5872</v>
      </c>
      <c r="L1410" s="22"/>
      <c r="M1410" s="22" t="str">
        <f>HYPERLINK("https://ceds.ed.gov/cedselementdetails.aspx?termid=22649")</f>
        <v>https://ceds.ed.gov/cedselementdetails.aspx?termid=22649</v>
      </c>
    </row>
    <row r="1411" spans="1:13" ht="244.8" x14ac:dyDescent="0.3">
      <c r="A1411" s="22" t="s">
        <v>5873</v>
      </c>
      <c r="B1411" s="22" t="s">
        <v>5874</v>
      </c>
      <c r="C1411" s="23" t="s">
        <v>32</v>
      </c>
      <c r="D1411" s="24" t="s">
        <v>8499</v>
      </c>
      <c r="E1411" s="22" t="s">
        <v>172</v>
      </c>
      <c r="F1411" s="22" t="s">
        <v>1339</v>
      </c>
      <c r="G1411" s="22" t="s">
        <v>7946</v>
      </c>
      <c r="H1411" s="22"/>
      <c r="I1411" s="25" t="s">
        <v>5875</v>
      </c>
      <c r="J1411" s="22"/>
      <c r="K1411" s="22" t="s">
        <v>5876</v>
      </c>
      <c r="L1411" s="24" t="s">
        <v>64</v>
      </c>
      <c r="M1411" s="22" t="str">
        <f>HYPERLINK("https://ceds.ed.gov/cedselementdetails.aspx?termid=21213")</f>
        <v>https://ceds.ed.gov/cedselementdetails.aspx?termid=21213</v>
      </c>
    </row>
    <row r="1412" spans="1:13" ht="43.2" x14ac:dyDescent="0.3">
      <c r="A1412" s="22" t="s">
        <v>5877</v>
      </c>
      <c r="B1412" s="22" t="s">
        <v>5878</v>
      </c>
      <c r="C1412" s="26" t="s">
        <v>22</v>
      </c>
      <c r="D1412" s="22" t="s">
        <v>249</v>
      </c>
      <c r="E1412" s="22"/>
      <c r="F1412" s="22"/>
      <c r="G1412" s="22"/>
      <c r="H1412" s="22" t="s">
        <v>5879</v>
      </c>
      <c r="I1412" s="25" t="s">
        <v>5880</v>
      </c>
      <c r="J1412" s="22"/>
      <c r="K1412" s="22" t="s">
        <v>5881</v>
      </c>
      <c r="L1412" s="22" t="s">
        <v>252</v>
      </c>
      <c r="M1412" s="22" t="str">
        <f>HYPERLINK("https://ceds.ed.gov/cedselementdetails.aspx?termid=21735")</f>
        <v>https://ceds.ed.gov/cedselementdetails.aspx?termid=21735</v>
      </c>
    </row>
    <row r="1413" spans="1:13" ht="72" x14ac:dyDescent="0.3">
      <c r="A1413" s="22" t="s">
        <v>5882</v>
      </c>
      <c r="B1413" s="22" t="s">
        <v>5883</v>
      </c>
      <c r="C1413" s="23" t="s">
        <v>32</v>
      </c>
      <c r="D1413" s="24" t="s">
        <v>323</v>
      </c>
      <c r="E1413" s="22"/>
      <c r="F1413" s="22" t="s">
        <v>157</v>
      </c>
      <c r="G1413" s="22"/>
      <c r="H1413" s="22"/>
      <c r="I1413" s="25" t="s">
        <v>5884</v>
      </c>
      <c r="J1413" s="22"/>
      <c r="K1413" s="22" t="s">
        <v>5885</v>
      </c>
      <c r="L1413" s="22" t="s">
        <v>58</v>
      </c>
      <c r="M1413" s="22" t="str">
        <f>HYPERLINK("https://ceds.ed.gov/cedselementdetails.aspx?termid=21068")</f>
        <v>https://ceds.ed.gov/cedselementdetails.aspx?termid=21068</v>
      </c>
    </row>
    <row r="1414" spans="1:13" ht="57.6" x14ac:dyDescent="0.3">
      <c r="A1414" s="22" t="s">
        <v>5886</v>
      </c>
      <c r="B1414" s="22" t="s">
        <v>5887</v>
      </c>
      <c r="C1414" s="26" t="s">
        <v>8587</v>
      </c>
      <c r="D1414" s="22" t="s">
        <v>61</v>
      </c>
      <c r="E1414" s="22"/>
      <c r="F1414" s="22"/>
      <c r="G1414" s="22"/>
      <c r="H1414" s="22"/>
      <c r="I1414" s="25" t="s">
        <v>5888</v>
      </c>
      <c r="J1414" s="22"/>
      <c r="K1414" s="22" t="s">
        <v>5889</v>
      </c>
      <c r="L1414" s="22" t="s">
        <v>226</v>
      </c>
      <c r="M1414" s="22" t="str">
        <f>HYPERLINK("https://ceds.ed.gov/cedselementdetails.aspx?termid=21579")</f>
        <v>https://ceds.ed.gov/cedselementdetails.aspx?termid=21579</v>
      </c>
    </row>
    <row r="1415" spans="1:13" ht="129.6" x14ac:dyDescent="0.3">
      <c r="A1415" s="22" t="s">
        <v>5890</v>
      </c>
      <c r="B1415" s="22" t="s">
        <v>5891</v>
      </c>
      <c r="C1415" s="26" t="s">
        <v>9067</v>
      </c>
      <c r="D1415" s="22" t="s">
        <v>3218</v>
      </c>
      <c r="E1415" s="22"/>
      <c r="F1415" s="22"/>
      <c r="G1415" s="22"/>
      <c r="H1415" s="22" t="s">
        <v>5892</v>
      </c>
      <c r="I1415" s="25" t="s">
        <v>5893</v>
      </c>
      <c r="J1415" s="22"/>
      <c r="K1415" s="22" t="s">
        <v>5894</v>
      </c>
      <c r="L1415" s="24" t="s">
        <v>5895</v>
      </c>
      <c r="M1415" s="22" t="str">
        <f>HYPERLINK("https://ceds.ed.gov/cedselementdetails.aspx?termid=21096")</f>
        <v>https://ceds.ed.gov/cedselementdetails.aspx?termid=21096</v>
      </c>
    </row>
    <row r="1416" spans="1:13" ht="86.4" x14ac:dyDescent="0.3">
      <c r="A1416" s="22" t="s">
        <v>5896</v>
      </c>
      <c r="B1416" s="22" t="s">
        <v>5897</v>
      </c>
      <c r="C1416" s="26" t="s">
        <v>9068</v>
      </c>
      <c r="D1416" s="22" t="s">
        <v>3218</v>
      </c>
      <c r="E1416" s="22"/>
      <c r="F1416" s="22"/>
      <c r="G1416" s="22"/>
      <c r="H1416" s="22"/>
      <c r="I1416" s="25" t="s">
        <v>5898</v>
      </c>
      <c r="J1416" s="22"/>
      <c r="K1416" s="22" t="s">
        <v>5899</v>
      </c>
      <c r="L1416" s="24" t="s">
        <v>198</v>
      </c>
      <c r="M1416" s="22" t="str">
        <f>HYPERLINK("https://ceds.ed.gov/cedselementdetails.aspx?termid=21095")</f>
        <v>https://ceds.ed.gov/cedselementdetails.aspx?termid=21095</v>
      </c>
    </row>
    <row r="1417" spans="1:13" ht="43.2" x14ac:dyDescent="0.3">
      <c r="A1417" s="22" t="s">
        <v>5900</v>
      </c>
      <c r="B1417" s="22" t="s">
        <v>5901</v>
      </c>
      <c r="C1417" s="26" t="s">
        <v>22</v>
      </c>
      <c r="D1417" s="22" t="s">
        <v>5902</v>
      </c>
      <c r="E1417" s="22"/>
      <c r="F1417" s="22"/>
      <c r="G1417" s="22"/>
      <c r="H1417" s="22" t="s">
        <v>5903</v>
      </c>
      <c r="I1417" s="25" t="s">
        <v>5904</v>
      </c>
      <c r="J1417" s="22"/>
      <c r="K1417" s="22" t="s">
        <v>5905</v>
      </c>
      <c r="L1417" s="22"/>
      <c r="M1417" s="22" t="str">
        <f>HYPERLINK("https://ceds.ed.gov/cedselementdetails.aspx?termid=22395")</f>
        <v>https://ceds.ed.gov/cedselementdetails.aspx?termid=22395</v>
      </c>
    </row>
    <row r="1418" spans="1:13" ht="100.8" x14ac:dyDescent="0.3">
      <c r="A1418" s="22" t="s">
        <v>5906</v>
      </c>
      <c r="B1418" s="22" t="s">
        <v>8273</v>
      </c>
      <c r="C1418" s="26" t="s">
        <v>9069</v>
      </c>
      <c r="D1418" s="22" t="s">
        <v>2114</v>
      </c>
      <c r="E1418" s="22"/>
      <c r="F1418" s="22"/>
      <c r="G1418" s="22"/>
      <c r="H1418" s="22"/>
      <c r="I1418" s="25" t="s">
        <v>5907</v>
      </c>
      <c r="J1418" s="22"/>
      <c r="K1418" s="22" t="s">
        <v>5908</v>
      </c>
      <c r="L1418" s="22" t="s">
        <v>2608</v>
      </c>
      <c r="M1418" s="22" t="str">
        <f>HYPERLINK("https://ceds.ed.gov/cedselementdetails.aspx?termid=22596")</f>
        <v>https://ceds.ed.gov/cedselementdetails.aspx?termid=22596</v>
      </c>
    </row>
    <row r="1419" spans="1:13" ht="187.2" x14ac:dyDescent="0.3">
      <c r="A1419" s="22" t="s">
        <v>5909</v>
      </c>
      <c r="B1419" s="22" t="s">
        <v>5910</v>
      </c>
      <c r="C1419" s="26" t="s">
        <v>9070</v>
      </c>
      <c r="D1419" s="24" t="s">
        <v>2090</v>
      </c>
      <c r="E1419" s="22"/>
      <c r="F1419" s="22"/>
      <c r="G1419" s="22"/>
      <c r="H1419" s="22"/>
      <c r="I1419" s="25" t="s">
        <v>5911</v>
      </c>
      <c r="J1419" s="22"/>
      <c r="K1419" s="22" t="s">
        <v>5912</v>
      </c>
      <c r="L1419" s="24" t="s">
        <v>5913</v>
      </c>
      <c r="M1419" s="22" t="str">
        <f>HYPERLINK("https://ceds.ed.gov/cedselementdetails.aspx?termid=22595")</f>
        <v>https://ceds.ed.gov/cedselementdetails.aspx?termid=22595</v>
      </c>
    </row>
    <row r="1420" spans="1:13" x14ac:dyDescent="0.3">
      <c r="A1420" s="22" t="s">
        <v>5914</v>
      </c>
      <c r="B1420" s="22" t="s">
        <v>5915</v>
      </c>
      <c r="C1420" s="23" t="s">
        <v>32</v>
      </c>
      <c r="D1420" s="22" t="s">
        <v>5902</v>
      </c>
      <c r="E1420" s="22"/>
      <c r="F1420" s="22" t="s">
        <v>85</v>
      </c>
      <c r="G1420" s="22"/>
      <c r="H1420" s="22" t="s">
        <v>5903</v>
      </c>
      <c r="I1420" s="25" t="s">
        <v>5916</v>
      </c>
      <c r="J1420" s="22"/>
      <c r="K1420" s="22" t="s">
        <v>5917</v>
      </c>
      <c r="L1420" s="22"/>
      <c r="M1420" s="22" t="str">
        <f>HYPERLINK("https://ceds.ed.gov/cedselementdetails.aspx?termid=22396")</f>
        <v>https://ceds.ed.gov/cedselementdetails.aspx?termid=22396</v>
      </c>
    </row>
    <row r="1421" spans="1:13" ht="43.2" x14ac:dyDescent="0.3">
      <c r="A1421" s="22" t="s">
        <v>5918</v>
      </c>
      <c r="B1421" s="22" t="s">
        <v>5919</v>
      </c>
      <c r="C1421" s="26" t="s">
        <v>22</v>
      </c>
      <c r="D1421" s="22" t="s">
        <v>3218</v>
      </c>
      <c r="E1421" s="22"/>
      <c r="F1421" s="22"/>
      <c r="G1421" s="22"/>
      <c r="H1421" s="22" t="s">
        <v>5920</v>
      </c>
      <c r="I1421" s="25" t="s">
        <v>5921</v>
      </c>
      <c r="J1421" s="22"/>
      <c r="K1421" s="22" t="s">
        <v>5922</v>
      </c>
      <c r="L1421" s="22" t="s">
        <v>252</v>
      </c>
      <c r="M1421" s="22" t="str">
        <f>HYPERLINK("https://ceds.ed.gov/cedselementdetails.aspx?termid=21741")</f>
        <v>https://ceds.ed.gov/cedselementdetails.aspx?termid=21741</v>
      </c>
    </row>
    <row r="1422" spans="1:13" ht="72" x14ac:dyDescent="0.3">
      <c r="A1422" s="22" t="s">
        <v>5923</v>
      </c>
      <c r="B1422" s="22" t="s">
        <v>5924</v>
      </c>
      <c r="C1422" s="26" t="s">
        <v>9071</v>
      </c>
      <c r="D1422" s="22" t="s">
        <v>61</v>
      </c>
      <c r="E1422" s="22"/>
      <c r="F1422" s="22"/>
      <c r="G1422" s="22"/>
      <c r="H1422" s="22"/>
      <c r="I1422" s="25" t="s">
        <v>5925</v>
      </c>
      <c r="J1422" s="22"/>
      <c r="K1422" s="22" t="s">
        <v>5926</v>
      </c>
      <c r="L1422" s="24" t="s">
        <v>1289</v>
      </c>
      <c r="M1422" s="22" t="str">
        <f>HYPERLINK("https://ceds.ed.gov/cedselementdetails.aspx?termid=21563")</f>
        <v>https://ceds.ed.gov/cedselementdetails.aspx?termid=21563</v>
      </c>
    </row>
    <row r="1423" spans="1:13" ht="115.2" x14ac:dyDescent="0.3">
      <c r="A1423" s="22" t="s">
        <v>5927</v>
      </c>
      <c r="B1423" s="22" t="s">
        <v>5928</v>
      </c>
      <c r="C1423" s="26" t="s">
        <v>8500</v>
      </c>
      <c r="D1423" s="24" t="s">
        <v>8418</v>
      </c>
      <c r="E1423" s="22" t="s">
        <v>172</v>
      </c>
      <c r="F1423" s="22"/>
      <c r="G1423" s="22" t="s">
        <v>7946</v>
      </c>
      <c r="H1423" s="22" t="s">
        <v>5929</v>
      </c>
      <c r="I1423" s="25" t="s">
        <v>5930</v>
      </c>
      <c r="J1423" s="22"/>
      <c r="K1423" s="22" t="s">
        <v>5931</v>
      </c>
      <c r="L1423" s="24" t="s">
        <v>5932</v>
      </c>
      <c r="M1423" s="22" t="str">
        <f>HYPERLINK("https://ceds.ed.gov/cedselementdetails.aspx?termid=21705")</f>
        <v>https://ceds.ed.gov/cedselementdetails.aspx?termid=21705</v>
      </c>
    </row>
    <row r="1424" spans="1:13" ht="57.6" x14ac:dyDescent="0.3">
      <c r="A1424" s="22" t="s">
        <v>5933</v>
      </c>
      <c r="B1424" s="22" t="s">
        <v>5934</v>
      </c>
      <c r="C1424" s="26" t="s">
        <v>8990</v>
      </c>
      <c r="D1424" s="22" t="s">
        <v>4956</v>
      </c>
      <c r="E1424" s="22"/>
      <c r="F1424" s="22"/>
      <c r="G1424" s="22"/>
      <c r="H1424" s="22"/>
      <c r="I1424" s="25" t="s">
        <v>5935</v>
      </c>
      <c r="J1424" s="22"/>
      <c r="K1424" s="22" t="s">
        <v>5936</v>
      </c>
      <c r="L1424" s="22" t="s">
        <v>25</v>
      </c>
      <c r="M1424" s="22" t="str">
        <f>HYPERLINK("https://ceds.ed.gov/cedselementdetails.aspx?termid=21481")</f>
        <v>https://ceds.ed.gov/cedselementdetails.aspx?termid=21481</v>
      </c>
    </row>
    <row r="1425" spans="1:13" ht="100.8" x14ac:dyDescent="0.3">
      <c r="A1425" s="22" t="s">
        <v>5937</v>
      </c>
      <c r="B1425" s="22" t="s">
        <v>5938</v>
      </c>
      <c r="C1425" s="26" t="s">
        <v>9072</v>
      </c>
      <c r="D1425" s="22" t="s">
        <v>4956</v>
      </c>
      <c r="E1425" s="22"/>
      <c r="F1425" s="22"/>
      <c r="G1425" s="22"/>
      <c r="H1425" s="22"/>
      <c r="I1425" s="25" t="s">
        <v>5939</v>
      </c>
      <c r="J1425" s="22"/>
      <c r="K1425" s="22" t="s">
        <v>5940</v>
      </c>
      <c r="L1425" s="22" t="s">
        <v>25</v>
      </c>
      <c r="M1425" s="22" t="str">
        <f>HYPERLINK("https://ceds.ed.gov/cedselementdetails.aspx?termid=21216")</f>
        <v>https://ceds.ed.gov/cedselementdetails.aspx?termid=21216</v>
      </c>
    </row>
    <row r="1426" spans="1:13" ht="86.4" x14ac:dyDescent="0.3">
      <c r="A1426" s="22" t="s">
        <v>5941</v>
      </c>
      <c r="B1426" s="22" t="s">
        <v>8274</v>
      </c>
      <c r="C1426" s="26" t="s">
        <v>9073</v>
      </c>
      <c r="D1426" s="22" t="s">
        <v>4956</v>
      </c>
      <c r="E1426" s="22"/>
      <c r="F1426" s="22"/>
      <c r="G1426" s="22"/>
      <c r="H1426" s="22"/>
      <c r="I1426" s="25" t="s">
        <v>5942</v>
      </c>
      <c r="J1426" s="22"/>
      <c r="K1426" s="22" t="s">
        <v>5943</v>
      </c>
      <c r="L1426" s="22" t="s">
        <v>25</v>
      </c>
      <c r="M1426" s="22" t="str">
        <f>HYPERLINK("https://ceds.ed.gov/cedselementdetails.aspx?termid=21217")</f>
        <v>https://ceds.ed.gov/cedselementdetails.aspx?termid=21217</v>
      </c>
    </row>
    <row r="1427" spans="1:13" ht="172.8" x14ac:dyDescent="0.3">
      <c r="A1427" s="22" t="s">
        <v>5944</v>
      </c>
      <c r="B1427" s="22" t="s">
        <v>5945</v>
      </c>
      <c r="C1427" s="26" t="s">
        <v>9074</v>
      </c>
      <c r="D1427" s="22" t="s">
        <v>27</v>
      </c>
      <c r="E1427" s="22"/>
      <c r="F1427" s="22"/>
      <c r="G1427" s="22"/>
      <c r="H1427" s="22"/>
      <c r="I1427" s="25" t="s">
        <v>5946</v>
      </c>
      <c r="J1427" s="22"/>
      <c r="K1427" s="22" t="s">
        <v>5947</v>
      </c>
      <c r="L1427" s="22"/>
      <c r="M1427" s="22" t="str">
        <f>HYPERLINK("https://ceds.ed.gov/cedselementdetails.aspx?termid=21593")</f>
        <v>https://ceds.ed.gov/cedselementdetails.aspx?termid=21593</v>
      </c>
    </row>
    <row r="1428" spans="1:13" x14ac:dyDescent="0.3">
      <c r="A1428" s="22" t="s">
        <v>5948</v>
      </c>
      <c r="B1428" s="22" t="s">
        <v>5949</v>
      </c>
      <c r="C1428" s="23" t="s">
        <v>32</v>
      </c>
      <c r="D1428" s="22" t="s">
        <v>239</v>
      </c>
      <c r="E1428" s="22"/>
      <c r="F1428" s="22" t="s">
        <v>1518</v>
      </c>
      <c r="G1428" s="22"/>
      <c r="H1428" s="22" t="s">
        <v>368</v>
      </c>
      <c r="I1428" s="25" t="s">
        <v>5950</v>
      </c>
      <c r="J1428" s="22"/>
      <c r="K1428" s="22" t="s">
        <v>5951</v>
      </c>
      <c r="L1428" s="22" t="s">
        <v>1568</v>
      </c>
      <c r="M1428" s="22" t="str">
        <f>HYPERLINK("https://ceds.ed.gov/cedselementdetails.aspx?termid=21732")</f>
        <v>https://ceds.ed.gov/cedselementdetails.aspx?termid=21732</v>
      </c>
    </row>
    <row r="1429" spans="1:13" ht="43.2" x14ac:dyDescent="0.3">
      <c r="A1429" s="22" t="s">
        <v>5952</v>
      </c>
      <c r="B1429" s="22" t="s">
        <v>7421</v>
      </c>
      <c r="C1429" s="26" t="s">
        <v>22</v>
      </c>
      <c r="D1429" s="22" t="s">
        <v>4941</v>
      </c>
      <c r="E1429" s="22"/>
      <c r="F1429" s="22"/>
      <c r="G1429" s="22"/>
      <c r="H1429" s="22"/>
      <c r="I1429" s="25" t="s">
        <v>5953</v>
      </c>
      <c r="J1429" s="22"/>
      <c r="K1429" s="22" t="s">
        <v>5954</v>
      </c>
      <c r="L1429" s="22"/>
      <c r="M1429" s="22" t="str">
        <f>HYPERLINK("https://ceds.ed.gov/cedselementdetails.aspx?termid=21516")</f>
        <v>https://ceds.ed.gov/cedselementdetails.aspx?termid=21516</v>
      </c>
    </row>
    <row r="1430" spans="1:13" ht="158.4" x14ac:dyDescent="0.3">
      <c r="A1430" s="22" t="s">
        <v>5955</v>
      </c>
      <c r="B1430" s="22" t="s">
        <v>5956</v>
      </c>
      <c r="C1430" s="26" t="s">
        <v>22</v>
      </c>
      <c r="D1430" s="24" t="s">
        <v>9075</v>
      </c>
      <c r="E1430" s="22"/>
      <c r="F1430" s="22"/>
      <c r="G1430" s="22"/>
      <c r="H1430" s="22"/>
      <c r="I1430" s="25" t="s">
        <v>5957</v>
      </c>
      <c r="J1430" s="22"/>
      <c r="K1430" s="22" t="s">
        <v>5958</v>
      </c>
      <c r="L1430" s="22"/>
      <c r="M1430" s="22" t="str">
        <f>HYPERLINK("https://ceds.ed.gov/cedselementdetails.aspx?termid=22397")</f>
        <v>https://ceds.ed.gov/cedselementdetails.aspx?termid=22397</v>
      </c>
    </row>
    <row r="1431" spans="1:13" ht="201.6" x14ac:dyDescent="0.3">
      <c r="A1431" s="22" t="s">
        <v>5959</v>
      </c>
      <c r="B1431" s="22" t="s">
        <v>5960</v>
      </c>
      <c r="C1431" s="26" t="s">
        <v>9076</v>
      </c>
      <c r="D1431" s="24" t="s">
        <v>9077</v>
      </c>
      <c r="E1431" s="22"/>
      <c r="F1431" s="22"/>
      <c r="G1431" s="22"/>
      <c r="H1431" s="22" t="s">
        <v>5961</v>
      </c>
      <c r="I1431" s="25" t="s">
        <v>5962</v>
      </c>
      <c r="J1431" s="22"/>
      <c r="K1431" s="22" t="s">
        <v>5963</v>
      </c>
      <c r="L1431" s="24" t="s">
        <v>5964</v>
      </c>
      <c r="M1431" s="22" t="str">
        <f>HYPERLINK("https://ceds.ed.gov/cedselementdetails.aspx?termid=21218")</f>
        <v>https://ceds.ed.gov/cedselementdetails.aspx?termid=21218</v>
      </c>
    </row>
    <row r="1432" spans="1:13" ht="57.6" x14ac:dyDescent="0.3">
      <c r="A1432" s="22" t="s">
        <v>7625</v>
      </c>
      <c r="B1432" s="22" t="s">
        <v>7626</v>
      </c>
      <c r="C1432" s="26" t="s">
        <v>9078</v>
      </c>
      <c r="D1432" s="22" t="s">
        <v>8032</v>
      </c>
      <c r="E1432" s="22"/>
      <c r="F1432" s="22"/>
      <c r="G1432" s="22"/>
      <c r="H1432" s="22" t="s">
        <v>7627</v>
      </c>
      <c r="I1432" s="25" t="s">
        <v>7628</v>
      </c>
      <c r="J1432" s="22"/>
      <c r="K1432" s="22" t="s">
        <v>7629</v>
      </c>
      <c r="L1432" s="22"/>
      <c r="M1432" s="22" t="str">
        <f>HYPERLINK("https://ceds.ed.gov/cedselementdetails.aspx?termid=22952")</f>
        <v>https://ceds.ed.gov/cedselementdetails.aspx?termid=22952</v>
      </c>
    </row>
    <row r="1433" spans="1:13" ht="115.2" x14ac:dyDescent="0.3">
      <c r="A1433" s="22" t="s">
        <v>7630</v>
      </c>
      <c r="B1433" s="22" t="s">
        <v>7631</v>
      </c>
      <c r="C1433" s="26" t="s">
        <v>9079</v>
      </c>
      <c r="D1433" s="22" t="s">
        <v>8032</v>
      </c>
      <c r="E1433" s="22"/>
      <c r="F1433" s="22"/>
      <c r="G1433" s="22"/>
      <c r="H1433" s="22" t="s">
        <v>7632</v>
      </c>
      <c r="I1433" s="25" t="s">
        <v>7633</v>
      </c>
      <c r="J1433" s="22"/>
      <c r="K1433" s="22" t="s">
        <v>7634</v>
      </c>
      <c r="L1433" s="22"/>
      <c r="M1433" s="22" t="str">
        <f>HYPERLINK("https://ceds.ed.gov/cedselementdetails.aspx?termid=22953")</f>
        <v>https://ceds.ed.gov/cedselementdetails.aspx?termid=22953</v>
      </c>
    </row>
    <row r="1434" spans="1:13" ht="57.6" x14ac:dyDescent="0.3">
      <c r="A1434" s="22" t="s">
        <v>7635</v>
      </c>
      <c r="B1434" s="22" t="s">
        <v>7636</v>
      </c>
      <c r="C1434" s="26" t="s">
        <v>9080</v>
      </c>
      <c r="D1434" s="22" t="s">
        <v>8032</v>
      </c>
      <c r="E1434" s="22"/>
      <c r="F1434" s="22"/>
      <c r="G1434" s="22"/>
      <c r="H1434" s="22" t="s">
        <v>7637</v>
      </c>
      <c r="I1434" s="25" t="s">
        <v>7638</v>
      </c>
      <c r="J1434" s="22"/>
      <c r="K1434" s="22" t="s">
        <v>7639</v>
      </c>
      <c r="L1434" s="22"/>
      <c r="M1434" s="22" t="str">
        <f>HYPERLINK("https://ceds.ed.gov/cedselementdetails.aspx?termid=22954")</f>
        <v>https://ceds.ed.gov/cedselementdetails.aspx?termid=22954</v>
      </c>
    </row>
    <row r="1435" spans="1:13" ht="43.2" x14ac:dyDescent="0.3">
      <c r="A1435" s="22" t="s">
        <v>8275</v>
      </c>
      <c r="B1435" s="22" t="s">
        <v>8276</v>
      </c>
      <c r="C1435" s="26" t="s">
        <v>22</v>
      </c>
      <c r="D1435" s="24" t="s">
        <v>8390</v>
      </c>
      <c r="E1435" s="22" t="s">
        <v>167</v>
      </c>
      <c r="F1435" s="22" t="s">
        <v>2</v>
      </c>
      <c r="G1435" s="22" t="s">
        <v>7949</v>
      </c>
      <c r="H1435" s="22" t="s">
        <v>8277</v>
      </c>
      <c r="I1435" s="25" t="s">
        <v>8369</v>
      </c>
      <c r="J1435" s="22"/>
      <c r="K1435" s="22" t="s">
        <v>8278</v>
      </c>
      <c r="L1435" s="22"/>
      <c r="M1435" s="22" t="str">
        <f>HYPERLINK("https://ceds.ed.gov/cedselementdetails.aspx?termid=22990")</f>
        <v>https://ceds.ed.gov/cedselementdetails.aspx?termid=22990</v>
      </c>
    </row>
    <row r="1436" spans="1:13" ht="409.6" x14ac:dyDescent="0.3">
      <c r="A1436" s="22" t="s">
        <v>5965</v>
      </c>
      <c r="B1436" s="22" t="s">
        <v>5966</v>
      </c>
      <c r="C1436" s="26" t="s">
        <v>22</v>
      </c>
      <c r="D1436" s="24" t="s">
        <v>9081</v>
      </c>
      <c r="E1436" s="22"/>
      <c r="F1436" s="22"/>
      <c r="G1436" s="22"/>
      <c r="H1436" s="22"/>
      <c r="I1436" s="25" t="s">
        <v>5967</v>
      </c>
      <c r="J1436" s="22"/>
      <c r="K1436" s="22" t="s">
        <v>5968</v>
      </c>
      <c r="L1436" s="24" t="s">
        <v>64</v>
      </c>
      <c r="M1436" s="22" t="str">
        <f>HYPERLINK("https://ceds.ed.gov/cedselementdetails.aspx?termid=21219")</f>
        <v>https://ceds.ed.gov/cedselementdetails.aspx?termid=21219</v>
      </c>
    </row>
    <row r="1437" spans="1:13" ht="43.2" x14ac:dyDescent="0.3">
      <c r="A1437" s="22" t="s">
        <v>5969</v>
      </c>
      <c r="B1437" s="22" t="s">
        <v>5970</v>
      </c>
      <c r="C1437" s="26" t="s">
        <v>22</v>
      </c>
      <c r="D1437" s="24" t="s">
        <v>9082</v>
      </c>
      <c r="E1437" s="22"/>
      <c r="F1437" s="22"/>
      <c r="G1437" s="22"/>
      <c r="H1437" s="22"/>
      <c r="I1437" s="25" t="s">
        <v>5971</v>
      </c>
      <c r="J1437" s="22"/>
      <c r="K1437" s="22" t="s">
        <v>5972</v>
      </c>
      <c r="L1437" s="22" t="s">
        <v>207</v>
      </c>
      <c r="M1437" s="22" t="str">
        <f>HYPERLINK("https://ceds.ed.gov/cedselementdetails.aspx?termid=21806")</f>
        <v>https://ceds.ed.gov/cedselementdetails.aspx?termid=21806</v>
      </c>
    </row>
    <row r="1438" spans="1:13" x14ac:dyDescent="0.3">
      <c r="A1438" s="22" t="s">
        <v>5973</v>
      </c>
      <c r="B1438" s="22" t="s">
        <v>5974</v>
      </c>
      <c r="C1438" s="23" t="s">
        <v>32</v>
      </c>
      <c r="D1438" s="22" t="s">
        <v>8033</v>
      </c>
      <c r="E1438" s="22"/>
      <c r="F1438" s="22" t="s">
        <v>157</v>
      </c>
      <c r="G1438" s="22"/>
      <c r="H1438" s="22"/>
      <c r="I1438" s="25" t="s">
        <v>5975</v>
      </c>
      <c r="J1438" s="22"/>
      <c r="K1438" s="22" t="s">
        <v>5976</v>
      </c>
      <c r="L1438" s="22" t="s">
        <v>207</v>
      </c>
      <c r="M1438" s="22" t="str">
        <f>HYPERLINK("https://ceds.ed.gov/cedselementdetails.aspx?termid=21807")</f>
        <v>https://ceds.ed.gov/cedselementdetails.aspx?termid=21807</v>
      </c>
    </row>
    <row r="1439" spans="1:13" ht="43.2" x14ac:dyDescent="0.3">
      <c r="A1439" s="22" t="s">
        <v>5977</v>
      </c>
      <c r="B1439" s="22" t="s">
        <v>5978</v>
      </c>
      <c r="C1439" s="23" t="s">
        <v>32</v>
      </c>
      <c r="D1439" s="24" t="s">
        <v>9083</v>
      </c>
      <c r="E1439" s="22"/>
      <c r="F1439" s="22" t="s">
        <v>85</v>
      </c>
      <c r="G1439" s="22"/>
      <c r="H1439" s="22"/>
      <c r="I1439" s="25" t="s">
        <v>5979</v>
      </c>
      <c r="J1439" s="22"/>
      <c r="K1439" s="22" t="s">
        <v>5980</v>
      </c>
      <c r="L1439" s="22"/>
      <c r="M1439" s="22" t="str">
        <f>HYPERLINK("https://ceds.ed.gov/cedselementdetails.aspx?termid=22398")</f>
        <v>https://ceds.ed.gov/cedselementdetails.aspx?termid=22398</v>
      </c>
    </row>
    <row r="1440" spans="1:13" ht="43.2" x14ac:dyDescent="0.3">
      <c r="A1440" s="22" t="s">
        <v>5981</v>
      </c>
      <c r="B1440" s="22" t="s">
        <v>5982</v>
      </c>
      <c r="C1440" s="23" t="s">
        <v>32</v>
      </c>
      <c r="D1440" s="24" t="s">
        <v>9084</v>
      </c>
      <c r="E1440" s="22"/>
      <c r="F1440" s="22" t="s">
        <v>85</v>
      </c>
      <c r="G1440" s="22"/>
      <c r="H1440" s="22"/>
      <c r="I1440" s="25" t="s">
        <v>5983</v>
      </c>
      <c r="J1440" s="22"/>
      <c r="K1440" s="22" t="s">
        <v>5984</v>
      </c>
      <c r="L1440" s="22"/>
      <c r="M1440" s="22" t="str">
        <f>HYPERLINK("https://ceds.ed.gov/cedselementdetails.aspx?termid=22402")</f>
        <v>https://ceds.ed.gov/cedselementdetails.aspx?termid=22402</v>
      </c>
    </row>
    <row r="1441" spans="1:13" ht="100.8" x14ac:dyDescent="0.3">
      <c r="A1441" s="22" t="s">
        <v>5985</v>
      </c>
      <c r="B1441" s="22" t="s">
        <v>5986</v>
      </c>
      <c r="C1441" s="26" t="s">
        <v>9085</v>
      </c>
      <c r="D1441" s="24" t="s">
        <v>9086</v>
      </c>
      <c r="E1441" s="22"/>
      <c r="F1441" s="22"/>
      <c r="G1441" s="22"/>
      <c r="H1441" s="22"/>
      <c r="I1441" s="25" t="s">
        <v>5987</v>
      </c>
      <c r="J1441" s="22"/>
      <c r="K1441" s="22" t="s">
        <v>5988</v>
      </c>
      <c r="L1441" s="22"/>
      <c r="M1441" s="22" t="str">
        <f>HYPERLINK("https://ceds.ed.gov/cedselementdetails.aspx?termid=22403")</f>
        <v>https://ceds.ed.gov/cedselementdetails.aspx?termid=22403</v>
      </c>
    </row>
    <row r="1442" spans="1:13" ht="43.2" x14ac:dyDescent="0.3">
      <c r="A1442" s="22" t="s">
        <v>5989</v>
      </c>
      <c r="B1442" s="22" t="s">
        <v>5990</v>
      </c>
      <c r="C1442" s="23" t="s">
        <v>32</v>
      </c>
      <c r="D1442" s="24" t="s">
        <v>9084</v>
      </c>
      <c r="E1442" s="22"/>
      <c r="F1442" s="22" t="s">
        <v>85</v>
      </c>
      <c r="G1442" s="22"/>
      <c r="H1442" s="22"/>
      <c r="I1442" s="25" t="s">
        <v>5991</v>
      </c>
      <c r="J1442" s="22"/>
      <c r="K1442" s="22" t="s">
        <v>5992</v>
      </c>
      <c r="L1442" s="22"/>
      <c r="M1442" s="22" t="str">
        <f>HYPERLINK("https://ceds.ed.gov/cedselementdetails.aspx?termid=22404")</f>
        <v>https://ceds.ed.gov/cedselementdetails.aspx?termid=22404</v>
      </c>
    </row>
    <row r="1443" spans="1:13" ht="43.2" x14ac:dyDescent="0.3">
      <c r="A1443" s="22" t="s">
        <v>5993</v>
      </c>
      <c r="B1443" s="22" t="s">
        <v>5994</v>
      </c>
      <c r="C1443" s="23" t="s">
        <v>32</v>
      </c>
      <c r="D1443" s="24" t="s">
        <v>9084</v>
      </c>
      <c r="E1443" s="22"/>
      <c r="F1443" s="22" t="s">
        <v>1518</v>
      </c>
      <c r="G1443" s="22"/>
      <c r="H1443" s="22"/>
      <c r="I1443" s="25" t="s">
        <v>5995</v>
      </c>
      <c r="J1443" s="22"/>
      <c r="K1443" s="22" t="s">
        <v>5996</v>
      </c>
      <c r="L1443" s="22"/>
      <c r="M1443" s="22" t="str">
        <f>HYPERLINK("https://ceds.ed.gov/cedselementdetails.aspx?termid=22405")</f>
        <v>https://ceds.ed.gov/cedselementdetails.aspx?termid=22405</v>
      </c>
    </row>
    <row r="1444" spans="1:13" ht="72" x14ac:dyDescent="0.3">
      <c r="A1444" s="22" t="s">
        <v>5997</v>
      </c>
      <c r="B1444" s="22" t="s">
        <v>5998</v>
      </c>
      <c r="C1444" s="26" t="s">
        <v>9087</v>
      </c>
      <c r="D1444" s="24" t="s">
        <v>9088</v>
      </c>
      <c r="E1444" s="22"/>
      <c r="F1444" s="22"/>
      <c r="G1444" s="22"/>
      <c r="H1444" s="22"/>
      <c r="I1444" s="25" t="s">
        <v>5999</v>
      </c>
      <c r="J1444" s="22"/>
      <c r="K1444" s="22" t="s">
        <v>6000</v>
      </c>
      <c r="L1444" s="22"/>
      <c r="M1444" s="22" t="str">
        <f>HYPERLINK("https://ceds.ed.gov/cedselementdetails.aspx?termid=22406")</f>
        <v>https://ceds.ed.gov/cedselementdetails.aspx?termid=22406</v>
      </c>
    </row>
    <row r="1445" spans="1:13" ht="43.2" x14ac:dyDescent="0.3">
      <c r="A1445" s="22" t="s">
        <v>6001</v>
      </c>
      <c r="B1445" s="22" t="s">
        <v>6002</v>
      </c>
      <c r="C1445" s="23" t="s">
        <v>32</v>
      </c>
      <c r="D1445" s="24" t="s">
        <v>9084</v>
      </c>
      <c r="E1445" s="22"/>
      <c r="F1445" s="22" t="s">
        <v>1518</v>
      </c>
      <c r="G1445" s="22"/>
      <c r="H1445" s="22"/>
      <c r="I1445" s="25" t="s">
        <v>6003</v>
      </c>
      <c r="J1445" s="22"/>
      <c r="K1445" s="22" t="s">
        <v>6004</v>
      </c>
      <c r="L1445" s="22"/>
      <c r="M1445" s="22" t="str">
        <f>HYPERLINK("https://ceds.ed.gov/cedselementdetails.aspx?termid=22407")</f>
        <v>https://ceds.ed.gov/cedselementdetails.aspx?termid=22407</v>
      </c>
    </row>
    <row r="1446" spans="1:13" ht="43.2" x14ac:dyDescent="0.3">
      <c r="A1446" s="22" t="s">
        <v>6005</v>
      </c>
      <c r="B1446" s="22" t="s">
        <v>6006</v>
      </c>
      <c r="C1446" s="23" t="s">
        <v>32</v>
      </c>
      <c r="D1446" s="24" t="s">
        <v>9084</v>
      </c>
      <c r="E1446" s="22"/>
      <c r="F1446" s="22" t="s">
        <v>328</v>
      </c>
      <c r="G1446" s="22"/>
      <c r="H1446" s="22"/>
      <c r="I1446" s="25" t="s">
        <v>6007</v>
      </c>
      <c r="J1446" s="22"/>
      <c r="K1446" s="22" t="s">
        <v>6008</v>
      </c>
      <c r="L1446" s="22"/>
      <c r="M1446" s="22" t="str">
        <f>HYPERLINK("https://ceds.ed.gov/cedselementdetails.aspx?termid=22408")</f>
        <v>https://ceds.ed.gov/cedselementdetails.aspx?termid=22408</v>
      </c>
    </row>
    <row r="1447" spans="1:13" ht="409.6" x14ac:dyDescent="0.3">
      <c r="A1447" s="22" t="s">
        <v>6009</v>
      </c>
      <c r="B1447" s="22" t="s">
        <v>6010</v>
      </c>
      <c r="C1447" s="26" t="s">
        <v>9089</v>
      </c>
      <c r="D1447" s="24" t="s">
        <v>9088</v>
      </c>
      <c r="E1447" s="22"/>
      <c r="F1447" s="22"/>
      <c r="G1447" s="22"/>
      <c r="H1447" s="22" t="s">
        <v>6011</v>
      </c>
      <c r="I1447" s="25" t="s">
        <v>6012</v>
      </c>
      <c r="J1447" s="22"/>
      <c r="K1447" s="22" t="s">
        <v>6013</v>
      </c>
      <c r="L1447" s="22"/>
      <c r="M1447" s="22" t="str">
        <f>HYPERLINK("https://ceds.ed.gov/cedselementdetails.aspx?termid=22245")</f>
        <v>https://ceds.ed.gov/cedselementdetails.aspx?termid=22245</v>
      </c>
    </row>
    <row r="1448" spans="1:13" ht="43.2" x14ac:dyDescent="0.3">
      <c r="A1448" s="22" t="s">
        <v>6014</v>
      </c>
      <c r="B1448" s="22" t="s">
        <v>6015</v>
      </c>
      <c r="C1448" s="23" t="s">
        <v>32</v>
      </c>
      <c r="D1448" s="24" t="s">
        <v>9084</v>
      </c>
      <c r="E1448" s="22"/>
      <c r="F1448" s="22" t="s">
        <v>118</v>
      </c>
      <c r="G1448" s="22"/>
      <c r="H1448" s="22"/>
      <c r="I1448" s="25" t="s">
        <v>6016</v>
      </c>
      <c r="J1448" s="22"/>
      <c r="K1448" s="22" t="s">
        <v>6017</v>
      </c>
      <c r="L1448" s="22"/>
      <c r="M1448" s="22" t="str">
        <f>HYPERLINK("https://ceds.ed.gov/cedselementdetails.aspx?termid=22421")</f>
        <v>https://ceds.ed.gov/cedselementdetails.aspx?termid=22421</v>
      </c>
    </row>
    <row r="1449" spans="1:13" ht="43.2" x14ac:dyDescent="0.3">
      <c r="A1449" s="22" t="s">
        <v>6018</v>
      </c>
      <c r="B1449" s="22" t="s">
        <v>6019</v>
      </c>
      <c r="C1449" s="23" t="s">
        <v>32</v>
      </c>
      <c r="D1449" s="24" t="s">
        <v>9084</v>
      </c>
      <c r="E1449" s="22"/>
      <c r="F1449" s="22" t="s">
        <v>132</v>
      </c>
      <c r="G1449" s="22"/>
      <c r="H1449" s="22" t="s">
        <v>133</v>
      </c>
      <c r="I1449" s="25" t="s">
        <v>6020</v>
      </c>
      <c r="J1449" s="22"/>
      <c r="K1449" s="22" t="s">
        <v>6021</v>
      </c>
      <c r="L1449" s="22" t="s">
        <v>207</v>
      </c>
      <c r="M1449" s="22" t="str">
        <f>HYPERLINK("https://ceds.ed.gov/cedselementdetails.aspx?termid=21808")</f>
        <v>https://ceds.ed.gov/cedselementdetails.aspx?termid=21808</v>
      </c>
    </row>
    <row r="1450" spans="1:13" ht="72" x14ac:dyDescent="0.3">
      <c r="A1450" s="22" t="s">
        <v>6022</v>
      </c>
      <c r="B1450" s="22" t="s">
        <v>6023</v>
      </c>
      <c r="C1450" s="26" t="s">
        <v>9090</v>
      </c>
      <c r="D1450" s="24" t="s">
        <v>9088</v>
      </c>
      <c r="E1450" s="22"/>
      <c r="F1450" s="22"/>
      <c r="G1450" s="22"/>
      <c r="H1450" s="22"/>
      <c r="I1450" s="25" t="s">
        <v>6024</v>
      </c>
      <c r="J1450" s="22"/>
      <c r="K1450" s="22" t="s">
        <v>6025</v>
      </c>
      <c r="L1450" s="22"/>
      <c r="M1450" s="22" t="str">
        <f>HYPERLINK("https://ceds.ed.gov/cedselementdetails.aspx?termid=22409")</f>
        <v>https://ceds.ed.gov/cedselementdetails.aspx?termid=22409</v>
      </c>
    </row>
    <row r="1451" spans="1:13" ht="43.2" x14ac:dyDescent="0.3">
      <c r="A1451" s="22" t="s">
        <v>6026</v>
      </c>
      <c r="B1451" s="22" t="s">
        <v>6027</v>
      </c>
      <c r="C1451" s="23" t="s">
        <v>32</v>
      </c>
      <c r="D1451" s="24" t="s">
        <v>9084</v>
      </c>
      <c r="E1451" s="22"/>
      <c r="F1451" s="22" t="s">
        <v>328</v>
      </c>
      <c r="G1451" s="22"/>
      <c r="H1451" s="22"/>
      <c r="I1451" s="25" t="s">
        <v>6028</v>
      </c>
      <c r="J1451" s="22"/>
      <c r="K1451" s="22" t="s">
        <v>6029</v>
      </c>
      <c r="L1451" s="22"/>
      <c r="M1451" s="22" t="str">
        <f>HYPERLINK("https://ceds.ed.gov/cedselementdetails.aspx?termid=22410")</f>
        <v>https://ceds.ed.gov/cedselementdetails.aspx?termid=22410</v>
      </c>
    </row>
    <row r="1452" spans="1:13" ht="43.2" x14ac:dyDescent="0.3">
      <c r="A1452" s="22" t="s">
        <v>6030</v>
      </c>
      <c r="B1452" s="22" t="s">
        <v>6031</v>
      </c>
      <c r="C1452" s="26" t="s">
        <v>22</v>
      </c>
      <c r="D1452" s="24" t="s">
        <v>9091</v>
      </c>
      <c r="E1452" s="22"/>
      <c r="F1452" s="22"/>
      <c r="G1452" s="22"/>
      <c r="H1452" s="22"/>
      <c r="I1452" s="25" t="s">
        <v>6032</v>
      </c>
      <c r="J1452" s="22"/>
      <c r="K1452" s="22" t="s">
        <v>6033</v>
      </c>
      <c r="L1452" s="22"/>
      <c r="M1452" s="22" t="str">
        <f>HYPERLINK("https://ceds.ed.gov/cedselementdetails.aspx?termid=22598")</f>
        <v>https://ceds.ed.gov/cedselementdetails.aspx?termid=22598</v>
      </c>
    </row>
    <row r="1453" spans="1:13" ht="409.6" x14ac:dyDescent="0.3">
      <c r="A1453" s="22" t="s">
        <v>6034</v>
      </c>
      <c r="B1453" s="22" t="s">
        <v>6035</v>
      </c>
      <c r="C1453" s="26" t="s">
        <v>9092</v>
      </c>
      <c r="D1453" s="24" t="s">
        <v>9088</v>
      </c>
      <c r="E1453" s="22"/>
      <c r="F1453" s="22"/>
      <c r="G1453" s="22"/>
      <c r="H1453" s="22"/>
      <c r="I1453" s="25" t="s">
        <v>6036</v>
      </c>
      <c r="J1453" s="22"/>
      <c r="K1453" s="22" t="s">
        <v>6037</v>
      </c>
      <c r="L1453" s="22"/>
      <c r="M1453" s="22" t="str">
        <f>HYPERLINK("https://ceds.ed.gov/cedselementdetails.aspx?termid=22464")</f>
        <v>https://ceds.ed.gov/cedselementdetails.aspx?termid=22464</v>
      </c>
    </row>
    <row r="1454" spans="1:13" ht="43.2" x14ac:dyDescent="0.3">
      <c r="A1454" s="22" t="s">
        <v>6038</v>
      </c>
      <c r="B1454" s="22" t="s">
        <v>6039</v>
      </c>
      <c r="C1454" s="23" t="s">
        <v>32</v>
      </c>
      <c r="D1454" s="24" t="s">
        <v>9084</v>
      </c>
      <c r="E1454" s="22"/>
      <c r="F1454" s="22" t="s">
        <v>157</v>
      </c>
      <c r="G1454" s="22"/>
      <c r="H1454" s="22"/>
      <c r="I1454" s="25" t="s">
        <v>6040</v>
      </c>
      <c r="J1454" s="22"/>
      <c r="K1454" s="22" t="s">
        <v>6041</v>
      </c>
      <c r="L1454" s="22" t="s">
        <v>207</v>
      </c>
      <c r="M1454" s="22" t="str">
        <f>HYPERLINK("https://ceds.ed.gov/cedselementdetails.aspx?termid=21809")</f>
        <v>https://ceds.ed.gov/cedselementdetails.aspx?termid=21809</v>
      </c>
    </row>
    <row r="1455" spans="1:13" ht="187.2" x14ac:dyDescent="0.3">
      <c r="A1455" s="22" t="s">
        <v>6042</v>
      </c>
      <c r="B1455" s="22" t="s">
        <v>6043</v>
      </c>
      <c r="C1455" s="26" t="s">
        <v>9093</v>
      </c>
      <c r="D1455" s="24" t="s">
        <v>9088</v>
      </c>
      <c r="E1455" s="22"/>
      <c r="F1455" s="22"/>
      <c r="G1455" s="22"/>
      <c r="H1455" s="22" t="s">
        <v>6044</v>
      </c>
      <c r="I1455" s="25" t="s">
        <v>6045</v>
      </c>
      <c r="J1455" s="22"/>
      <c r="K1455" s="22" t="s">
        <v>6046</v>
      </c>
      <c r="L1455" s="22"/>
      <c r="M1455" s="22" t="str">
        <f>HYPERLINK("https://ceds.ed.gov/cedselementdetails.aspx?termid=22412")</f>
        <v>https://ceds.ed.gov/cedselementdetails.aspx?termid=22412</v>
      </c>
    </row>
    <row r="1456" spans="1:13" ht="43.2" x14ac:dyDescent="0.3">
      <c r="A1456" s="22" t="s">
        <v>6047</v>
      </c>
      <c r="B1456" s="22" t="s">
        <v>6048</v>
      </c>
      <c r="C1456" s="26" t="s">
        <v>9026</v>
      </c>
      <c r="D1456" s="24" t="s">
        <v>9094</v>
      </c>
      <c r="E1456" s="22"/>
      <c r="F1456" s="22"/>
      <c r="G1456" s="22"/>
      <c r="H1456" s="22"/>
      <c r="I1456" s="25" t="s">
        <v>6049</v>
      </c>
      <c r="J1456" s="22"/>
      <c r="K1456" s="22" t="s">
        <v>6050</v>
      </c>
      <c r="L1456" s="22"/>
      <c r="M1456" s="22" t="str">
        <f>HYPERLINK("https://ceds.ed.gov/cedselementdetails.aspx?termid=22399")</f>
        <v>https://ceds.ed.gov/cedselementdetails.aspx?termid=22399</v>
      </c>
    </row>
    <row r="1457" spans="1:13" ht="100.8" x14ac:dyDescent="0.3">
      <c r="A1457" s="22" t="s">
        <v>6051</v>
      </c>
      <c r="B1457" s="22" t="s">
        <v>6052</v>
      </c>
      <c r="C1457" s="26" t="s">
        <v>8550</v>
      </c>
      <c r="D1457" s="24" t="s">
        <v>9095</v>
      </c>
      <c r="E1457" s="22"/>
      <c r="F1457" s="22"/>
      <c r="G1457" s="22"/>
      <c r="H1457" s="22"/>
      <c r="I1457" s="25" t="s">
        <v>6053</v>
      </c>
      <c r="J1457" s="22"/>
      <c r="K1457" s="22" t="s">
        <v>6054</v>
      </c>
      <c r="L1457" s="22"/>
      <c r="M1457" s="22" t="str">
        <f>HYPERLINK("https://ceds.ed.gov/cedselementdetails.aspx?termid=22401")</f>
        <v>https://ceds.ed.gov/cedselementdetails.aspx?termid=22401</v>
      </c>
    </row>
    <row r="1458" spans="1:13" ht="172.8" x14ac:dyDescent="0.3">
      <c r="A1458" s="22" t="s">
        <v>6055</v>
      </c>
      <c r="B1458" s="22" t="s">
        <v>6056</v>
      </c>
      <c r="C1458" s="26" t="s">
        <v>9096</v>
      </c>
      <c r="D1458" s="24" t="s">
        <v>9097</v>
      </c>
      <c r="E1458" s="22"/>
      <c r="F1458" s="22"/>
      <c r="G1458" s="22"/>
      <c r="H1458" s="22"/>
      <c r="I1458" s="25" t="s">
        <v>6057</v>
      </c>
      <c r="J1458" s="22"/>
      <c r="K1458" s="22" t="s">
        <v>6058</v>
      </c>
      <c r="L1458" s="22" t="s">
        <v>207</v>
      </c>
      <c r="M1458" s="22" t="str">
        <f>HYPERLINK("https://ceds.ed.gov/cedselementdetails.aspx?termid=21811")</f>
        <v>https://ceds.ed.gov/cedselementdetails.aspx?termid=21811</v>
      </c>
    </row>
    <row r="1459" spans="1:13" ht="43.2" x14ac:dyDescent="0.3">
      <c r="A1459" s="22" t="s">
        <v>6059</v>
      </c>
      <c r="B1459" s="22" t="s">
        <v>6060</v>
      </c>
      <c r="C1459" s="23" t="s">
        <v>32</v>
      </c>
      <c r="D1459" s="24" t="s">
        <v>9098</v>
      </c>
      <c r="E1459" s="22"/>
      <c r="F1459" s="22" t="s">
        <v>85</v>
      </c>
      <c r="G1459" s="22"/>
      <c r="H1459" s="22"/>
      <c r="I1459" s="25" t="s">
        <v>6061</v>
      </c>
      <c r="J1459" s="22"/>
      <c r="K1459" s="22" t="s">
        <v>6062</v>
      </c>
      <c r="L1459" s="22"/>
      <c r="M1459" s="22" t="str">
        <f>HYPERLINK("https://ceds.ed.gov/cedselementdetails.aspx?termid=22413")</f>
        <v>https://ceds.ed.gov/cedselementdetails.aspx?termid=22413</v>
      </c>
    </row>
    <row r="1460" spans="1:13" ht="158.4" x14ac:dyDescent="0.3">
      <c r="A1460" s="22" t="s">
        <v>6063</v>
      </c>
      <c r="B1460" s="22" t="s">
        <v>6064</v>
      </c>
      <c r="C1460" s="26" t="s">
        <v>9099</v>
      </c>
      <c r="D1460" s="24" t="s">
        <v>9100</v>
      </c>
      <c r="E1460" s="22"/>
      <c r="F1460" s="22"/>
      <c r="G1460" s="22"/>
      <c r="H1460" s="22"/>
      <c r="I1460" s="25" t="s">
        <v>6065</v>
      </c>
      <c r="J1460" s="22"/>
      <c r="K1460" s="22" t="s">
        <v>6066</v>
      </c>
      <c r="L1460" s="22"/>
      <c r="M1460" s="22" t="str">
        <f>HYPERLINK("https://ceds.ed.gov/cedselementdetails.aspx?termid=22429")</f>
        <v>https://ceds.ed.gov/cedselementdetails.aspx?termid=22429</v>
      </c>
    </row>
    <row r="1461" spans="1:13" ht="43.2" x14ac:dyDescent="0.3">
      <c r="A1461" s="22" t="s">
        <v>6067</v>
      </c>
      <c r="B1461" s="22" t="s">
        <v>6068</v>
      </c>
      <c r="C1461" s="23" t="s">
        <v>32</v>
      </c>
      <c r="D1461" s="24" t="s">
        <v>9098</v>
      </c>
      <c r="E1461" s="22"/>
      <c r="F1461" s="22" t="s">
        <v>132</v>
      </c>
      <c r="G1461" s="22"/>
      <c r="H1461" s="22" t="s">
        <v>7945</v>
      </c>
      <c r="I1461" s="25" t="s">
        <v>6069</v>
      </c>
      <c r="J1461" s="22"/>
      <c r="K1461" s="22" t="s">
        <v>6070</v>
      </c>
      <c r="L1461" s="22"/>
      <c r="M1461" s="22" t="str">
        <f>HYPERLINK("https://ceds.ed.gov/cedselementdetails.aspx?termid=22414")</f>
        <v>https://ceds.ed.gov/cedselementdetails.aspx?termid=22414</v>
      </c>
    </row>
    <row r="1462" spans="1:13" ht="43.2" x14ac:dyDescent="0.3">
      <c r="A1462" s="22" t="s">
        <v>6071</v>
      </c>
      <c r="B1462" s="22" t="s">
        <v>6072</v>
      </c>
      <c r="C1462" s="26" t="s">
        <v>22</v>
      </c>
      <c r="D1462" s="22" t="s">
        <v>8033</v>
      </c>
      <c r="E1462" s="22"/>
      <c r="F1462" s="22"/>
      <c r="G1462" s="22"/>
      <c r="H1462" s="22"/>
      <c r="I1462" s="25" t="s">
        <v>6073</v>
      </c>
      <c r="J1462" s="22"/>
      <c r="K1462" s="22" t="s">
        <v>6074</v>
      </c>
      <c r="L1462" s="22"/>
      <c r="M1462" s="22" t="str">
        <f>HYPERLINK("https://ceds.ed.gov/cedselementdetails.aspx?termid=22599")</f>
        <v>https://ceds.ed.gov/cedselementdetails.aspx?termid=22599</v>
      </c>
    </row>
    <row r="1463" spans="1:13" x14ac:dyDescent="0.3">
      <c r="A1463" s="22" t="s">
        <v>6075</v>
      </c>
      <c r="B1463" s="22" t="s">
        <v>6076</v>
      </c>
      <c r="C1463" s="23" t="s">
        <v>32</v>
      </c>
      <c r="D1463" s="22" t="s">
        <v>8033</v>
      </c>
      <c r="E1463" s="22"/>
      <c r="F1463" s="22" t="s">
        <v>118</v>
      </c>
      <c r="G1463" s="22"/>
      <c r="H1463" s="22"/>
      <c r="I1463" s="25" t="s">
        <v>6077</v>
      </c>
      <c r="J1463" s="22"/>
      <c r="K1463" s="22" t="s">
        <v>6078</v>
      </c>
      <c r="L1463" s="22"/>
      <c r="M1463" s="22" t="str">
        <f>HYPERLINK("https://ceds.ed.gov/cedselementdetails.aspx?termid=22600")</f>
        <v>https://ceds.ed.gov/cedselementdetails.aspx?termid=22600</v>
      </c>
    </row>
    <row r="1464" spans="1:13" ht="43.2" x14ac:dyDescent="0.3">
      <c r="A1464" s="22" t="s">
        <v>6079</v>
      </c>
      <c r="B1464" s="22" t="s">
        <v>6080</v>
      </c>
      <c r="C1464" s="26" t="s">
        <v>22</v>
      </c>
      <c r="D1464" s="22" t="s">
        <v>8033</v>
      </c>
      <c r="E1464" s="22"/>
      <c r="F1464" s="22"/>
      <c r="G1464" s="22"/>
      <c r="H1464" s="22"/>
      <c r="I1464" s="25" t="s">
        <v>6081</v>
      </c>
      <c r="J1464" s="22"/>
      <c r="K1464" s="22" t="s">
        <v>6082</v>
      </c>
      <c r="L1464" s="22"/>
      <c r="M1464" s="22" t="str">
        <f>HYPERLINK("https://ceds.ed.gov/cedselementdetails.aspx?termid=22415")</f>
        <v>https://ceds.ed.gov/cedselementdetails.aspx?termid=22415</v>
      </c>
    </row>
    <row r="1465" spans="1:13" ht="43.2" x14ac:dyDescent="0.3">
      <c r="A1465" s="22" t="s">
        <v>6083</v>
      </c>
      <c r="B1465" s="22" t="s">
        <v>6084</v>
      </c>
      <c r="C1465" s="26" t="s">
        <v>22</v>
      </c>
      <c r="D1465" s="22" t="s">
        <v>8033</v>
      </c>
      <c r="E1465" s="22"/>
      <c r="F1465" s="22"/>
      <c r="G1465" s="22"/>
      <c r="H1465" s="22"/>
      <c r="I1465" s="25" t="s">
        <v>6085</v>
      </c>
      <c r="J1465" s="22"/>
      <c r="K1465" s="22" t="s">
        <v>6086</v>
      </c>
      <c r="L1465" s="22" t="s">
        <v>207</v>
      </c>
      <c r="M1465" s="22" t="str">
        <f>HYPERLINK("https://ceds.ed.gov/cedselementdetails.aspx?termid=21810")</f>
        <v>https://ceds.ed.gov/cedselementdetails.aspx?termid=21810</v>
      </c>
    </row>
    <row r="1466" spans="1:13" ht="43.2" x14ac:dyDescent="0.3">
      <c r="A1466" s="22" t="s">
        <v>6087</v>
      </c>
      <c r="B1466" s="22" t="s">
        <v>6088</v>
      </c>
      <c r="C1466" s="23" t="s">
        <v>32</v>
      </c>
      <c r="D1466" s="24" t="s">
        <v>9098</v>
      </c>
      <c r="E1466" s="22"/>
      <c r="F1466" s="22" t="s">
        <v>317</v>
      </c>
      <c r="G1466" s="22"/>
      <c r="H1466" s="22"/>
      <c r="I1466" s="25" t="s">
        <v>6089</v>
      </c>
      <c r="J1466" s="22"/>
      <c r="K1466" s="22" t="s">
        <v>6090</v>
      </c>
      <c r="L1466" s="22"/>
      <c r="M1466" s="22" t="str">
        <f>HYPERLINK("https://ceds.ed.gov/cedselementdetails.aspx?termid=22416")</f>
        <v>https://ceds.ed.gov/cedselementdetails.aspx?termid=22416</v>
      </c>
    </row>
    <row r="1467" spans="1:13" ht="43.2" x14ac:dyDescent="0.3">
      <c r="A1467" s="22" t="s">
        <v>6091</v>
      </c>
      <c r="B1467" s="22" t="s">
        <v>6092</v>
      </c>
      <c r="C1467" s="23" t="s">
        <v>32</v>
      </c>
      <c r="D1467" s="24" t="s">
        <v>9098</v>
      </c>
      <c r="E1467" s="22"/>
      <c r="F1467" s="22" t="s">
        <v>118</v>
      </c>
      <c r="G1467" s="22"/>
      <c r="H1467" s="22" t="s">
        <v>143</v>
      </c>
      <c r="I1467" s="25" t="s">
        <v>6093</v>
      </c>
      <c r="J1467" s="22"/>
      <c r="K1467" s="22" t="s">
        <v>6094</v>
      </c>
      <c r="L1467" s="22"/>
      <c r="M1467" s="22" t="str">
        <f>HYPERLINK("https://ceds.ed.gov/cedselementdetails.aspx?termid=22417")</f>
        <v>https://ceds.ed.gov/cedselementdetails.aspx?termid=22417</v>
      </c>
    </row>
    <row r="1468" spans="1:13" ht="43.2" x14ac:dyDescent="0.3">
      <c r="A1468" s="22" t="s">
        <v>6095</v>
      </c>
      <c r="B1468" s="22" t="s">
        <v>6096</v>
      </c>
      <c r="C1468" s="23" t="s">
        <v>32</v>
      </c>
      <c r="D1468" s="24" t="s">
        <v>9098</v>
      </c>
      <c r="E1468" s="22"/>
      <c r="F1468" s="22" t="s">
        <v>2836</v>
      </c>
      <c r="G1468" s="22"/>
      <c r="H1468" s="22"/>
      <c r="I1468" s="25" t="s">
        <v>6097</v>
      </c>
      <c r="J1468" s="22"/>
      <c r="K1468" s="22" t="s">
        <v>6098</v>
      </c>
      <c r="L1468" s="22"/>
      <c r="M1468" s="22" t="str">
        <f>HYPERLINK("https://ceds.ed.gov/cedselementdetails.aspx?termid=22418")</f>
        <v>https://ceds.ed.gov/cedselementdetails.aspx?termid=22418</v>
      </c>
    </row>
    <row r="1469" spans="1:13" ht="43.2" x14ac:dyDescent="0.3">
      <c r="A1469" s="22" t="s">
        <v>6099</v>
      </c>
      <c r="B1469" s="22" t="s">
        <v>6100</v>
      </c>
      <c r="C1469" s="23" t="s">
        <v>32</v>
      </c>
      <c r="D1469" s="24" t="s">
        <v>9098</v>
      </c>
      <c r="E1469" s="22"/>
      <c r="F1469" s="22" t="s">
        <v>85</v>
      </c>
      <c r="G1469" s="22"/>
      <c r="H1469" s="22"/>
      <c r="I1469" s="25" t="s">
        <v>6101</v>
      </c>
      <c r="J1469" s="22"/>
      <c r="K1469" s="22" t="s">
        <v>6102</v>
      </c>
      <c r="L1469" s="22"/>
      <c r="M1469" s="22" t="str">
        <f>HYPERLINK("https://ceds.ed.gov/cedselementdetails.aspx?termid=22419")</f>
        <v>https://ceds.ed.gov/cedselementdetails.aspx?termid=22419</v>
      </c>
    </row>
    <row r="1470" spans="1:13" ht="43.2" x14ac:dyDescent="0.3">
      <c r="A1470" s="22" t="s">
        <v>6103</v>
      </c>
      <c r="B1470" s="22" t="s">
        <v>6104</v>
      </c>
      <c r="C1470" s="23" t="s">
        <v>32</v>
      </c>
      <c r="D1470" s="24" t="s">
        <v>9098</v>
      </c>
      <c r="E1470" s="22"/>
      <c r="F1470" s="22" t="s">
        <v>85</v>
      </c>
      <c r="G1470" s="22"/>
      <c r="H1470" s="22"/>
      <c r="I1470" s="25" t="s">
        <v>6105</v>
      </c>
      <c r="J1470" s="22"/>
      <c r="K1470" s="22" t="s">
        <v>6106</v>
      </c>
      <c r="L1470" s="22"/>
      <c r="M1470" s="22" t="str">
        <f>HYPERLINK("https://ceds.ed.gov/cedselementdetails.aspx?termid=22420")</f>
        <v>https://ceds.ed.gov/cedselementdetails.aspx?termid=22420</v>
      </c>
    </row>
    <row r="1471" spans="1:13" ht="43.2" x14ac:dyDescent="0.3">
      <c r="A1471" s="22" t="s">
        <v>6107</v>
      </c>
      <c r="B1471" s="22" t="s">
        <v>8279</v>
      </c>
      <c r="C1471" s="23" t="s">
        <v>32</v>
      </c>
      <c r="D1471" s="24" t="s">
        <v>9098</v>
      </c>
      <c r="E1471" s="22"/>
      <c r="F1471" s="22" t="s">
        <v>132</v>
      </c>
      <c r="G1471" s="22"/>
      <c r="H1471" s="22" t="s">
        <v>7945</v>
      </c>
      <c r="I1471" s="25" t="s">
        <v>6108</v>
      </c>
      <c r="J1471" s="22"/>
      <c r="K1471" s="22" t="s">
        <v>6109</v>
      </c>
      <c r="L1471" s="22"/>
      <c r="M1471" s="22" t="str">
        <f>HYPERLINK("https://ceds.ed.gov/cedselementdetails.aspx?termid=22422")</f>
        <v>https://ceds.ed.gov/cedselementdetails.aspx?termid=22422</v>
      </c>
    </row>
    <row r="1472" spans="1:13" ht="43.2" x14ac:dyDescent="0.3">
      <c r="A1472" s="22" t="s">
        <v>6110</v>
      </c>
      <c r="B1472" s="22" t="s">
        <v>6111</v>
      </c>
      <c r="C1472" s="23" t="s">
        <v>7423</v>
      </c>
      <c r="D1472" s="24" t="s">
        <v>9084</v>
      </c>
      <c r="E1472" s="22"/>
      <c r="F1472" s="22"/>
      <c r="G1472" s="22"/>
      <c r="H1472" s="22" t="s">
        <v>7994</v>
      </c>
      <c r="I1472" s="25" t="s">
        <v>6112</v>
      </c>
      <c r="J1472" s="22"/>
      <c r="K1472" s="22" t="s">
        <v>6113</v>
      </c>
      <c r="L1472" s="22"/>
      <c r="M1472" s="22" t="str">
        <f>HYPERLINK("https://ceds.ed.gov/cedselementdetails.aspx?termid=22357")</f>
        <v>https://ceds.ed.gov/cedselementdetails.aspx?termid=22357</v>
      </c>
    </row>
    <row r="1473" spans="1:13" ht="57.6" x14ac:dyDescent="0.3">
      <c r="A1473" s="22" t="s">
        <v>6114</v>
      </c>
      <c r="B1473" s="22" t="s">
        <v>6115</v>
      </c>
      <c r="C1473" s="23" t="s">
        <v>32</v>
      </c>
      <c r="D1473" s="24" t="s">
        <v>9101</v>
      </c>
      <c r="E1473" s="22"/>
      <c r="F1473" s="22" t="s">
        <v>157</v>
      </c>
      <c r="G1473" s="22"/>
      <c r="H1473" s="22"/>
      <c r="I1473" s="25" t="s">
        <v>6116</v>
      </c>
      <c r="J1473" s="22"/>
      <c r="K1473" s="22" t="s">
        <v>6117</v>
      </c>
      <c r="L1473" s="22"/>
      <c r="M1473" s="22" t="str">
        <f>HYPERLINK("https://ceds.ed.gov/cedselementdetails.aspx?termid=22424")</f>
        <v>https://ceds.ed.gov/cedselementdetails.aspx?termid=22424</v>
      </c>
    </row>
    <row r="1474" spans="1:13" ht="43.2" x14ac:dyDescent="0.3">
      <c r="A1474" s="22" t="s">
        <v>6118</v>
      </c>
      <c r="B1474" s="22" t="s">
        <v>6119</v>
      </c>
      <c r="C1474" s="23" t="s">
        <v>32</v>
      </c>
      <c r="D1474" s="24" t="s">
        <v>9098</v>
      </c>
      <c r="E1474" s="22"/>
      <c r="F1474" s="22" t="s">
        <v>118</v>
      </c>
      <c r="G1474" s="22"/>
      <c r="H1474" s="22"/>
      <c r="I1474" s="25" t="s">
        <v>6120</v>
      </c>
      <c r="J1474" s="22"/>
      <c r="K1474" s="22" t="s">
        <v>6121</v>
      </c>
      <c r="L1474" s="22"/>
      <c r="M1474" s="22" t="str">
        <f>HYPERLINK("https://ceds.ed.gov/cedselementdetails.aspx?termid=22426")</f>
        <v>https://ceds.ed.gov/cedselementdetails.aspx?termid=22426</v>
      </c>
    </row>
    <row r="1475" spans="1:13" ht="43.2" x14ac:dyDescent="0.3">
      <c r="A1475" s="22" t="s">
        <v>6122</v>
      </c>
      <c r="B1475" s="22" t="s">
        <v>6123</v>
      </c>
      <c r="C1475" s="23" t="s">
        <v>32</v>
      </c>
      <c r="D1475" s="24" t="s">
        <v>9098</v>
      </c>
      <c r="E1475" s="22"/>
      <c r="F1475" s="22" t="s">
        <v>2836</v>
      </c>
      <c r="G1475" s="22"/>
      <c r="H1475" s="22"/>
      <c r="I1475" s="25" t="s">
        <v>6124</v>
      </c>
      <c r="J1475" s="22"/>
      <c r="K1475" s="22" t="s">
        <v>6125</v>
      </c>
      <c r="L1475" s="22"/>
      <c r="M1475" s="22" t="str">
        <f>HYPERLINK("https://ceds.ed.gov/cedselementdetails.aspx?termid=22427")</f>
        <v>https://ceds.ed.gov/cedselementdetails.aspx?termid=22427</v>
      </c>
    </row>
    <row r="1476" spans="1:13" ht="57.6" x14ac:dyDescent="0.3">
      <c r="A1476" s="22" t="s">
        <v>6126</v>
      </c>
      <c r="B1476" s="22" t="s">
        <v>6127</v>
      </c>
      <c r="C1476" s="26" t="s">
        <v>9102</v>
      </c>
      <c r="D1476" s="24" t="s">
        <v>9098</v>
      </c>
      <c r="E1476" s="22"/>
      <c r="F1476" s="22"/>
      <c r="G1476" s="22"/>
      <c r="H1476" s="22"/>
      <c r="I1476" s="25" t="s">
        <v>6128</v>
      </c>
      <c r="J1476" s="22"/>
      <c r="K1476" s="22" t="s">
        <v>6129</v>
      </c>
      <c r="L1476" s="22"/>
      <c r="M1476" s="22" t="str">
        <f>HYPERLINK("https://ceds.ed.gov/cedselementdetails.aspx?termid=22428")</f>
        <v>https://ceds.ed.gov/cedselementdetails.aspx?termid=22428</v>
      </c>
    </row>
    <row r="1477" spans="1:13" ht="230.4" x14ac:dyDescent="0.3">
      <c r="A1477" s="22" t="s">
        <v>6130</v>
      </c>
      <c r="B1477" s="22" t="s">
        <v>6131</v>
      </c>
      <c r="C1477" s="26" t="s">
        <v>8501</v>
      </c>
      <c r="D1477" s="24" t="s">
        <v>8467</v>
      </c>
      <c r="E1477" s="22" t="s">
        <v>172</v>
      </c>
      <c r="F1477" s="22"/>
      <c r="G1477" s="22" t="s">
        <v>7946</v>
      </c>
      <c r="H1477" s="22"/>
      <c r="I1477" s="25" t="s">
        <v>6132</v>
      </c>
      <c r="J1477" s="22"/>
      <c r="K1477" s="22" t="s">
        <v>6133</v>
      </c>
      <c r="L1477" s="22"/>
      <c r="M1477" s="22" t="str">
        <f>HYPERLINK("https://ceds.ed.gov/cedselementdetails.aspx?termid=21220")</f>
        <v>https://ceds.ed.gov/cedselementdetails.aspx?termid=21220</v>
      </c>
    </row>
    <row r="1478" spans="1:13" ht="187.2" x14ac:dyDescent="0.3">
      <c r="A1478" s="22" t="s">
        <v>6134</v>
      </c>
      <c r="B1478" s="22" t="s">
        <v>6135</v>
      </c>
      <c r="C1478" s="26" t="s">
        <v>9103</v>
      </c>
      <c r="D1478" s="24" t="s">
        <v>6136</v>
      </c>
      <c r="E1478" s="22"/>
      <c r="F1478" s="22"/>
      <c r="G1478" s="22"/>
      <c r="H1478" s="22"/>
      <c r="I1478" s="25" t="s">
        <v>6137</v>
      </c>
      <c r="J1478" s="22"/>
      <c r="K1478" s="22" t="s">
        <v>6138</v>
      </c>
      <c r="L1478" s="22"/>
      <c r="M1478" s="22" t="str">
        <f>HYPERLINK("https://ceds.ed.gov/cedselementdetails.aspx?termid=21780")</f>
        <v>https://ceds.ed.gov/cedselementdetails.aspx?termid=21780</v>
      </c>
    </row>
    <row r="1479" spans="1:13" ht="43.2" x14ac:dyDescent="0.3">
      <c r="A1479" s="22" t="s">
        <v>6139</v>
      </c>
      <c r="B1479" s="22" t="s">
        <v>6140</v>
      </c>
      <c r="C1479" s="26" t="s">
        <v>9104</v>
      </c>
      <c r="D1479" s="24" t="s">
        <v>6141</v>
      </c>
      <c r="E1479" s="22"/>
      <c r="F1479" s="22"/>
      <c r="G1479" s="22"/>
      <c r="H1479" s="22"/>
      <c r="I1479" s="25" t="s">
        <v>6142</v>
      </c>
      <c r="J1479" s="22"/>
      <c r="K1479" s="22" t="s">
        <v>6143</v>
      </c>
      <c r="L1479" s="22" t="s">
        <v>226</v>
      </c>
      <c r="M1479" s="22" t="str">
        <f>HYPERLINK("https://ceds.ed.gov/cedselementdetails.aspx?termid=21565")</f>
        <v>https://ceds.ed.gov/cedselementdetails.aspx?termid=21565</v>
      </c>
    </row>
    <row r="1480" spans="1:13" ht="144" x14ac:dyDescent="0.3">
      <c r="A1480" s="22" t="s">
        <v>6144</v>
      </c>
      <c r="B1480" s="22" t="s">
        <v>6145</v>
      </c>
      <c r="C1480" s="26" t="s">
        <v>9105</v>
      </c>
      <c r="D1480" s="24" t="s">
        <v>210</v>
      </c>
      <c r="E1480" s="22"/>
      <c r="F1480" s="22"/>
      <c r="G1480" s="22"/>
      <c r="H1480" s="22"/>
      <c r="I1480" s="25" t="s">
        <v>6146</v>
      </c>
      <c r="J1480" s="22"/>
      <c r="K1480" s="22" t="s">
        <v>6147</v>
      </c>
      <c r="L1480" s="22" t="s">
        <v>226</v>
      </c>
      <c r="M1480" s="22" t="str">
        <f>HYPERLINK("https://ceds.ed.gov/cedselementdetails.aspx?termid=21221")</f>
        <v>https://ceds.ed.gov/cedselementdetails.aspx?termid=21221</v>
      </c>
    </row>
    <row r="1481" spans="1:13" ht="144" x14ac:dyDescent="0.3">
      <c r="A1481" s="22" t="s">
        <v>6148</v>
      </c>
      <c r="B1481" s="22" t="s">
        <v>6149</v>
      </c>
      <c r="C1481" s="26" t="s">
        <v>9105</v>
      </c>
      <c r="D1481" s="24" t="s">
        <v>210</v>
      </c>
      <c r="E1481" s="22"/>
      <c r="F1481" s="22"/>
      <c r="G1481" s="22"/>
      <c r="H1481" s="22"/>
      <c r="I1481" s="25" t="s">
        <v>6150</v>
      </c>
      <c r="J1481" s="22"/>
      <c r="K1481" s="22" t="s">
        <v>6151</v>
      </c>
      <c r="L1481" s="22" t="s">
        <v>226</v>
      </c>
      <c r="M1481" s="22" t="str">
        <f>HYPERLINK("https://ceds.ed.gov/cedselementdetails.aspx?termid=21544")</f>
        <v>https://ceds.ed.gov/cedselementdetails.aspx?termid=21544</v>
      </c>
    </row>
    <row r="1482" spans="1:13" ht="43.2" x14ac:dyDescent="0.3">
      <c r="A1482" s="22" t="s">
        <v>6152</v>
      </c>
      <c r="B1482" s="22" t="s">
        <v>6153</v>
      </c>
      <c r="C1482" s="26" t="s">
        <v>22</v>
      </c>
      <c r="D1482" s="22" t="s">
        <v>8018</v>
      </c>
      <c r="E1482" s="22"/>
      <c r="F1482" s="22"/>
      <c r="G1482" s="22"/>
      <c r="H1482" s="22"/>
      <c r="I1482" s="25" t="s">
        <v>6154</v>
      </c>
      <c r="J1482" s="22"/>
      <c r="K1482" s="22" t="s">
        <v>6155</v>
      </c>
      <c r="L1482" s="24" t="s">
        <v>6156</v>
      </c>
      <c r="M1482" s="22" t="str">
        <f>HYPERLINK("https://ceds.ed.gov/cedselementdetails.aspx?termid=21854")</f>
        <v>https://ceds.ed.gov/cedselementdetails.aspx?termid=21854</v>
      </c>
    </row>
    <row r="1483" spans="1:13" ht="129.6" x14ac:dyDescent="0.3">
      <c r="A1483" s="22" t="s">
        <v>6157</v>
      </c>
      <c r="B1483" s="22" t="s">
        <v>6158</v>
      </c>
      <c r="C1483" s="23" t="s">
        <v>32</v>
      </c>
      <c r="D1483" s="24" t="s">
        <v>9106</v>
      </c>
      <c r="E1483" s="22"/>
      <c r="F1483" s="22" t="s">
        <v>113</v>
      </c>
      <c r="G1483" s="22"/>
      <c r="H1483" s="22"/>
      <c r="I1483" s="25" t="s">
        <v>6159</v>
      </c>
      <c r="J1483" s="22"/>
      <c r="K1483" s="22" t="s">
        <v>6160</v>
      </c>
      <c r="L1483" s="22"/>
      <c r="M1483" s="22" t="str">
        <f>HYPERLINK("https://ceds.ed.gov/cedselementdetails.aspx?termid=22909")</f>
        <v>https://ceds.ed.gov/cedselementdetails.aspx?termid=22909</v>
      </c>
    </row>
    <row r="1484" spans="1:13" ht="43.2" x14ac:dyDescent="0.3">
      <c r="A1484" s="22" t="s">
        <v>6161</v>
      </c>
      <c r="B1484" s="22" t="s">
        <v>6162</v>
      </c>
      <c r="C1484" s="26" t="s">
        <v>22</v>
      </c>
      <c r="D1484" s="22" t="s">
        <v>8280</v>
      </c>
      <c r="E1484" s="22"/>
      <c r="F1484" s="22"/>
      <c r="G1484" s="22"/>
      <c r="H1484" s="22"/>
      <c r="I1484" s="25" t="s">
        <v>6163</v>
      </c>
      <c r="J1484" s="22"/>
      <c r="K1484" s="22" t="s">
        <v>6164</v>
      </c>
      <c r="L1484" s="24" t="s">
        <v>3452</v>
      </c>
      <c r="M1484" s="22" t="str">
        <f>HYPERLINK("https://ceds.ed.gov/cedselementdetails.aspx?termid=21863")</f>
        <v>https://ceds.ed.gov/cedselementdetails.aspx?termid=21863</v>
      </c>
    </row>
    <row r="1485" spans="1:13" ht="409.6" x14ac:dyDescent="0.3">
      <c r="A1485" s="22" t="s">
        <v>6165</v>
      </c>
      <c r="B1485" s="22" t="s">
        <v>6166</v>
      </c>
      <c r="C1485" s="26" t="s">
        <v>9107</v>
      </c>
      <c r="D1485" s="24" t="s">
        <v>6167</v>
      </c>
      <c r="E1485" s="22"/>
      <c r="F1485" s="22"/>
      <c r="G1485" s="22"/>
      <c r="H1485" s="22"/>
      <c r="I1485" s="25" t="s">
        <v>6168</v>
      </c>
      <c r="J1485" s="22"/>
      <c r="K1485" s="22" t="s">
        <v>6169</v>
      </c>
      <c r="L1485" s="22"/>
      <c r="M1485" s="22" t="str">
        <f>HYPERLINK("https://ceds.ed.gov/cedselementdetails.aspx?termid=22210")</f>
        <v>https://ceds.ed.gov/cedselementdetails.aspx?termid=22210</v>
      </c>
    </row>
    <row r="1486" spans="1:13" ht="43.2" x14ac:dyDescent="0.3">
      <c r="A1486" s="22" t="s">
        <v>6170</v>
      </c>
      <c r="B1486" s="22" t="s">
        <v>6171</v>
      </c>
      <c r="C1486" s="26" t="s">
        <v>22</v>
      </c>
      <c r="D1486" s="22" t="s">
        <v>8281</v>
      </c>
      <c r="E1486" s="22"/>
      <c r="F1486" s="22"/>
      <c r="G1486" s="22"/>
      <c r="H1486" s="22"/>
      <c r="I1486" s="25" t="s">
        <v>6172</v>
      </c>
      <c r="J1486" s="22"/>
      <c r="K1486" s="22" t="s">
        <v>6173</v>
      </c>
      <c r="L1486" s="22" t="s">
        <v>109</v>
      </c>
      <c r="M1486" s="22" t="str">
        <f>HYPERLINK("https://ceds.ed.gov/cedselementdetails.aspx?termid=21851")</f>
        <v>https://ceds.ed.gov/cedselementdetails.aspx?termid=21851</v>
      </c>
    </row>
    <row r="1487" spans="1:13" ht="360" x14ac:dyDescent="0.3">
      <c r="A1487" s="22" t="s">
        <v>6174</v>
      </c>
      <c r="B1487" s="22" t="s">
        <v>6175</v>
      </c>
      <c r="C1487" s="23" t="s">
        <v>32</v>
      </c>
      <c r="D1487" s="24" t="s">
        <v>8502</v>
      </c>
      <c r="E1487" s="22" t="s">
        <v>172</v>
      </c>
      <c r="F1487" s="22" t="s">
        <v>132</v>
      </c>
      <c r="G1487" s="22" t="s">
        <v>8282</v>
      </c>
      <c r="H1487" s="22" t="s">
        <v>7945</v>
      </c>
      <c r="I1487" s="25" t="s">
        <v>6176</v>
      </c>
      <c r="J1487" s="22"/>
      <c r="K1487" s="22" t="s">
        <v>6177</v>
      </c>
      <c r="L1487" s="22" t="s">
        <v>2608</v>
      </c>
      <c r="M1487" s="22" t="str">
        <f>HYPERLINK("https://ceds.ed.gov/cedselementdetails.aspx?termid=21618")</f>
        <v>https://ceds.ed.gov/cedselementdetails.aspx?termid=21618</v>
      </c>
    </row>
    <row r="1488" spans="1:13" ht="43.2" x14ac:dyDescent="0.3">
      <c r="A1488" s="22" t="s">
        <v>6178</v>
      </c>
      <c r="B1488" s="22" t="s">
        <v>8283</v>
      </c>
      <c r="C1488" s="26" t="s">
        <v>22</v>
      </c>
      <c r="D1488" s="22" t="s">
        <v>4956</v>
      </c>
      <c r="E1488" s="22"/>
      <c r="F1488" s="22"/>
      <c r="G1488" s="22"/>
      <c r="H1488" s="22"/>
      <c r="I1488" s="25" t="s">
        <v>6179</v>
      </c>
      <c r="J1488" s="22"/>
      <c r="K1488" s="22" t="s">
        <v>6180</v>
      </c>
      <c r="L1488" s="22" t="s">
        <v>214</v>
      </c>
      <c r="M1488" s="22" t="str">
        <f>HYPERLINK("https://ceds.ed.gov/cedselementdetails.aspx?termid=21476")</f>
        <v>https://ceds.ed.gov/cedselementdetails.aspx?termid=21476</v>
      </c>
    </row>
    <row r="1489" spans="1:13" ht="43.2" x14ac:dyDescent="0.3">
      <c r="A1489" s="22" t="s">
        <v>6181</v>
      </c>
      <c r="B1489" s="22" t="s">
        <v>6182</v>
      </c>
      <c r="C1489" s="23" t="s">
        <v>32</v>
      </c>
      <c r="D1489" s="24" t="s">
        <v>3225</v>
      </c>
      <c r="E1489" s="22"/>
      <c r="F1489" s="22" t="s">
        <v>1518</v>
      </c>
      <c r="G1489" s="22"/>
      <c r="H1489" s="22"/>
      <c r="I1489" s="25" t="s">
        <v>6183</v>
      </c>
      <c r="J1489" s="22"/>
      <c r="K1489" s="22" t="s">
        <v>6184</v>
      </c>
      <c r="L1489" s="22" t="s">
        <v>242</v>
      </c>
      <c r="M1489" s="22" t="str">
        <f>HYPERLINK("https://ceds.ed.gov/cedselementdetails.aspx?termid=21223")</f>
        <v>https://ceds.ed.gov/cedselementdetails.aspx?termid=21223</v>
      </c>
    </row>
    <row r="1490" spans="1:13" ht="43.2" x14ac:dyDescent="0.3">
      <c r="A1490" s="22" t="s">
        <v>6185</v>
      </c>
      <c r="B1490" s="22" t="s">
        <v>6186</v>
      </c>
      <c r="C1490" s="26" t="s">
        <v>8970</v>
      </c>
      <c r="D1490" s="24" t="s">
        <v>3225</v>
      </c>
      <c r="E1490" s="22"/>
      <c r="F1490" s="22"/>
      <c r="G1490" s="22"/>
      <c r="H1490" s="22"/>
      <c r="I1490" s="25" t="s">
        <v>6187</v>
      </c>
      <c r="J1490" s="22"/>
      <c r="K1490" s="22" t="s">
        <v>6188</v>
      </c>
      <c r="L1490" s="22" t="s">
        <v>242</v>
      </c>
      <c r="M1490" s="22" t="str">
        <f>HYPERLINK("https://ceds.ed.gov/cedselementdetails.aspx?termid=21224")</f>
        <v>https://ceds.ed.gov/cedselementdetails.aspx?termid=21224</v>
      </c>
    </row>
    <row r="1491" spans="1:13" ht="216" x14ac:dyDescent="0.3">
      <c r="A1491" s="22" t="s">
        <v>6189</v>
      </c>
      <c r="B1491" s="22" t="s">
        <v>6190</v>
      </c>
      <c r="C1491" s="23" t="s">
        <v>32</v>
      </c>
      <c r="D1491" s="24" t="s">
        <v>8503</v>
      </c>
      <c r="E1491" s="22" t="s">
        <v>172</v>
      </c>
      <c r="F1491" s="22" t="s">
        <v>157</v>
      </c>
      <c r="G1491" s="22" t="s">
        <v>8282</v>
      </c>
      <c r="H1491" s="22"/>
      <c r="I1491" s="25" t="s">
        <v>6191</v>
      </c>
      <c r="J1491" s="22"/>
      <c r="K1491" s="22" t="s">
        <v>6192</v>
      </c>
      <c r="L1491" s="22" t="s">
        <v>2608</v>
      </c>
      <c r="M1491" s="22" t="str">
        <f>HYPERLINK("https://ceds.ed.gov/cedselementdetails.aspx?termid=21619")</f>
        <v>https://ceds.ed.gov/cedselementdetails.aspx?termid=21619</v>
      </c>
    </row>
    <row r="1492" spans="1:13" ht="244.8" x14ac:dyDescent="0.3">
      <c r="A1492" s="22" t="s">
        <v>6193</v>
      </c>
      <c r="B1492" s="22" t="s">
        <v>1938</v>
      </c>
      <c r="C1492" s="23" t="s">
        <v>32</v>
      </c>
      <c r="D1492" s="24" t="s">
        <v>9108</v>
      </c>
      <c r="E1492" s="22"/>
      <c r="F1492" s="22" t="s">
        <v>118</v>
      </c>
      <c r="G1492" s="22"/>
      <c r="H1492" s="22" t="s">
        <v>143</v>
      </c>
      <c r="I1492" s="25" t="s">
        <v>6194</v>
      </c>
      <c r="J1492" s="22"/>
      <c r="K1492" s="22" t="s">
        <v>6195</v>
      </c>
      <c r="L1492" s="24" t="s">
        <v>6196</v>
      </c>
      <c r="M1492" s="22" t="str">
        <f>HYPERLINK("https://ceds.ed.gov/cedselementdetails.aspx?termid=21584")</f>
        <v>https://ceds.ed.gov/cedselementdetails.aspx?termid=21584</v>
      </c>
    </row>
    <row r="1493" spans="1:13" ht="244.8" x14ac:dyDescent="0.3">
      <c r="A1493" s="22" t="s">
        <v>6197</v>
      </c>
      <c r="B1493" s="22" t="s">
        <v>6198</v>
      </c>
      <c r="C1493" s="23" t="s">
        <v>32</v>
      </c>
      <c r="D1493" s="24" t="s">
        <v>9108</v>
      </c>
      <c r="E1493" s="22"/>
      <c r="F1493" s="22" t="s">
        <v>118</v>
      </c>
      <c r="G1493" s="22"/>
      <c r="H1493" s="22"/>
      <c r="I1493" s="25" t="s">
        <v>6199</v>
      </c>
      <c r="J1493" s="22"/>
      <c r="K1493" s="22" t="s">
        <v>6200</v>
      </c>
      <c r="L1493" s="24" t="s">
        <v>6201</v>
      </c>
      <c r="M1493" s="22" t="str">
        <f>HYPERLINK("https://ceds.ed.gov/cedselementdetails.aspx?termid=21583")</f>
        <v>https://ceds.ed.gov/cedselementdetails.aspx?termid=21583</v>
      </c>
    </row>
    <row r="1494" spans="1:13" ht="115.2" x14ac:dyDescent="0.3">
      <c r="A1494" s="22" t="s">
        <v>6202</v>
      </c>
      <c r="B1494" s="22" t="s">
        <v>6203</v>
      </c>
      <c r="C1494" s="26" t="s">
        <v>9109</v>
      </c>
      <c r="D1494" s="24" t="s">
        <v>9110</v>
      </c>
      <c r="E1494" s="22"/>
      <c r="F1494" s="22"/>
      <c r="G1494" s="22"/>
      <c r="H1494" s="22"/>
      <c r="I1494" s="25" t="s">
        <v>6204</v>
      </c>
      <c r="J1494" s="22"/>
      <c r="K1494" s="22" t="s">
        <v>6205</v>
      </c>
      <c r="L1494" s="22" t="s">
        <v>2608</v>
      </c>
      <c r="M1494" s="22" t="str">
        <f>HYPERLINK("https://ceds.ed.gov/cedselementdetails.aspx?termid=22209")</f>
        <v>https://ceds.ed.gov/cedselementdetails.aspx?termid=22209</v>
      </c>
    </row>
    <row r="1495" spans="1:13" ht="43.2" x14ac:dyDescent="0.3">
      <c r="A1495" s="22" t="s">
        <v>6206</v>
      </c>
      <c r="B1495" s="22" t="s">
        <v>6207</v>
      </c>
      <c r="C1495" s="26" t="s">
        <v>22</v>
      </c>
      <c r="D1495" s="24" t="s">
        <v>9111</v>
      </c>
      <c r="E1495" s="22"/>
      <c r="F1495" s="22"/>
      <c r="G1495" s="22"/>
      <c r="H1495" s="22"/>
      <c r="I1495" s="25" t="s">
        <v>6208</v>
      </c>
      <c r="J1495" s="22"/>
      <c r="K1495" s="22" t="s">
        <v>6209</v>
      </c>
      <c r="L1495" s="22" t="s">
        <v>109</v>
      </c>
      <c r="M1495" s="22" t="str">
        <f>HYPERLINK("https://ceds.ed.gov/cedselementdetails.aspx?termid=21856")</f>
        <v>https://ceds.ed.gov/cedselementdetails.aspx?termid=21856</v>
      </c>
    </row>
    <row r="1496" spans="1:13" ht="43.2" x14ac:dyDescent="0.3">
      <c r="A1496" s="22" t="s">
        <v>6210</v>
      </c>
      <c r="B1496" s="22" t="s">
        <v>6211</v>
      </c>
      <c r="C1496" s="26" t="s">
        <v>22</v>
      </c>
      <c r="D1496" s="22" t="s">
        <v>8018</v>
      </c>
      <c r="E1496" s="22"/>
      <c r="F1496" s="22"/>
      <c r="G1496" s="22"/>
      <c r="H1496" s="22"/>
      <c r="I1496" s="25" t="s">
        <v>6212</v>
      </c>
      <c r="J1496" s="22"/>
      <c r="K1496" s="22" t="s">
        <v>6213</v>
      </c>
      <c r="L1496" s="22" t="s">
        <v>109</v>
      </c>
      <c r="M1496" s="22" t="str">
        <f>HYPERLINK("https://ceds.ed.gov/cedselementdetails.aspx?termid=21855")</f>
        <v>https://ceds.ed.gov/cedselementdetails.aspx?termid=21855</v>
      </c>
    </row>
    <row r="1497" spans="1:13" ht="43.2" x14ac:dyDescent="0.3">
      <c r="A1497" s="22" t="s">
        <v>6214</v>
      </c>
      <c r="B1497" s="22" t="s">
        <v>6215</v>
      </c>
      <c r="C1497" s="26" t="s">
        <v>22</v>
      </c>
      <c r="D1497" s="22" t="s">
        <v>8284</v>
      </c>
      <c r="E1497" s="22"/>
      <c r="F1497" s="22"/>
      <c r="G1497" s="22"/>
      <c r="H1497" s="22"/>
      <c r="I1497" s="25" t="s">
        <v>6216</v>
      </c>
      <c r="J1497" s="22"/>
      <c r="K1497" s="22" t="s">
        <v>6217</v>
      </c>
      <c r="L1497" s="22" t="s">
        <v>109</v>
      </c>
      <c r="M1497" s="22" t="str">
        <f>HYPERLINK("https://ceds.ed.gov/cedselementdetails.aspx?termid=21845")</f>
        <v>https://ceds.ed.gov/cedselementdetails.aspx?termid=21845</v>
      </c>
    </row>
    <row r="1498" spans="1:13" ht="43.2" x14ac:dyDescent="0.3">
      <c r="A1498" s="22" t="s">
        <v>6218</v>
      </c>
      <c r="B1498" s="22" t="s">
        <v>6219</v>
      </c>
      <c r="C1498" s="26" t="s">
        <v>22</v>
      </c>
      <c r="D1498" s="24" t="s">
        <v>9111</v>
      </c>
      <c r="E1498" s="22"/>
      <c r="F1498" s="22"/>
      <c r="G1498" s="22"/>
      <c r="H1498" s="22"/>
      <c r="I1498" s="25" t="s">
        <v>6220</v>
      </c>
      <c r="J1498" s="22"/>
      <c r="K1498" s="22" t="s">
        <v>6221</v>
      </c>
      <c r="L1498" s="22" t="s">
        <v>109</v>
      </c>
      <c r="M1498" s="22" t="str">
        <f>HYPERLINK("https://ceds.ed.gov/cedselementdetails.aspx?termid=21853")</f>
        <v>https://ceds.ed.gov/cedselementdetails.aspx?termid=21853</v>
      </c>
    </row>
    <row r="1499" spans="1:13" ht="244.8" x14ac:dyDescent="0.3">
      <c r="A1499" s="22" t="s">
        <v>6222</v>
      </c>
      <c r="B1499" s="22" t="s">
        <v>6223</v>
      </c>
      <c r="C1499" s="26" t="s">
        <v>8504</v>
      </c>
      <c r="D1499" s="24" t="s">
        <v>8505</v>
      </c>
      <c r="E1499" s="22" t="s">
        <v>172</v>
      </c>
      <c r="F1499" s="22"/>
      <c r="G1499" s="22" t="s">
        <v>7946</v>
      </c>
      <c r="H1499" s="22"/>
      <c r="I1499" s="25" t="s">
        <v>6224</v>
      </c>
      <c r="J1499" s="22"/>
      <c r="K1499" s="22" t="s">
        <v>6225</v>
      </c>
      <c r="L1499" s="22"/>
      <c r="M1499" s="22" t="str">
        <f>HYPERLINK("https://ceds.ed.gov/cedselementdetails.aspx?termid=21692")</f>
        <v>https://ceds.ed.gov/cedselementdetails.aspx?termid=21692</v>
      </c>
    </row>
    <row r="1500" spans="1:13" ht="43.2" x14ac:dyDescent="0.3">
      <c r="A1500" s="22" t="s">
        <v>6226</v>
      </c>
      <c r="B1500" s="22" t="s">
        <v>6227</v>
      </c>
      <c r="C1500" s="26" t="s">
        <v>22</v>
      </c>
      <c r="D1500" s="22" t="s">
        <v>7954</v>
      </c>
      <c r="E1500" s="22"/>
      <c r="F1500" s="22"/>
      <c r="G1500" s="22"/>
      <c r="H1500" s="22"/>
      <c r="I1500" s="25" t="s">
        <v>6228</v>
      </c>
      <c r="J1500" s="22"/>
      <c r="K1500" s="22" t="s">
        <v>6229</v>
      </c>
      <c r="L1500" s="22" t="s">
        <v>109</v>
      </c>
      <c r="M1500" s="22" t="str">
        <f>HYPERLINK("https://ceds.ed.gov/cedselementdetails.aspx?termid=21859")</f>
        <v>https://ceds.ed.gov/cedselementdetails.aspx?termid=21859</v>
      </c>
    </row>
    <row r="1501" spans="1:13" ht="409.6" x14ac:dyDescent="0.3">
      <c r="A1501" s="22" t="s">
        <v>6230</v>
      </c>
      <c r="B1501" s="22" t="s">
        <v>6231</v>
      </c>
      <c r="C1501" s="26" t="s">
        <v>8506</v>
      </c>
      <c r="D1501" s="24" t="s">
        <v>8507</v>
      </c>
      <c r="E1501" s="22" t="s">
        <v>172</v>
      </c>
      <c r="F1501" s="22"/>
      <c r="G1501" s="22" t="s">
        <v>8285</v>
      </c>
      <c r="H1501" s="22"/>
      <c r="I1501" s="25" t="s">
        <v>6232</v>
      </c>
      <c r="J1501" s="22"/>
      <c r="K1501" s="22" t="s">
        <v>6233</v>
      </c>
      <c r="L1501" s="24" t="s">
        <v>64</v>
      </c>
      <c r="M1501" s="22" t="str">
        <f>HYPERLINK("https://ceds.ed.gov/cedselementdetails.aspx?termid=21225")</f>
        <v>https://ceds.ed.gov/cedselementdetails.aspx?termid=21225</v>
      </c>
    </row>
    <row r="1502" spans="1:13" ht="72" x14ac:dyDescent="0.3">
      <c r="A1502" s="22" t="s">
        <v>6234</v>
      </c>
      <c r="B1502" s="22" t="s">
        <v>6235</v>
      </c>
      <c r="C1502" s="26" t="s">
        <v>9112</v>
      </c>
      <c r="D1502" s="22" t="s">
        <v>229</v>
      </c>
      <c r="E1502" s="22"/>
      <c r="F1502" s="22"/>
      <c r="G1502" s="22"/>
      <c r="H1502" s="22"/>
      <c r="I1502" s="25" t="s">
        <v>6236</v>
      </c>
      <c r="J1502" s="22"/>
      <c r="K1502" s="22" t="s">
        <v>6237</v>
      </c>
      <c r="L1502" s="22"/>
      <c r="M1502" s="22" t="str">
        <f>HYPERLINK("https://ceds.ed.gov/cedselementdetails.aspx?termid=22896")</f>
        <v>https://ceds.ed.gov/cedselementdetails.aspx?termid=22896</v>
      </c>
    </row>
    <row r="1503" spans="1:13" x14ac:dyDescent="0.3">
      <c r="A1503" s="22" t="s">
        <v>6238</v>
      </c>
      <c r="B1503" s="22" t="s">
        <v>6239</v>
      </c>
      <c r="C1503" s="23" t="s">
        <v>32</v>
      </c>
      <c r="D1503" s="22" t="s">
        <v>229</v>
      </c>
      <c r="E1503" s="22"/>
      <c r="F1503" s="22"/>
      <c r="G1503" s="22"/>
      <c r="H1503" s="22"/>
      <c r="I1503" s="25" t="s">
        <v>6240</v>
      </c>
      <c r="J1503" s="22"/>
      <c r="K1503" s="22" t="s">
        <v>6241</v>
      </c>
      <c r="L1503" s="22"/>
      <c r="M1503" s="22" t="str">
        <f>HYPERLINK("https://ceds.ed.gov/cedselementdetails.aspx?termid=22897")</f>
        <v>https://ceds.ed.gov/cedselementdetails.aspx?termid=22897</v>
      </c>
    </row>
    <row r="1504" spans="1:13" ht="129.6" x14ac:dyDescent="0.3">
      <c r="A1504" s="22" t="s">
        <v>6242</v>
      </c>
      <c r="B1504" s="22" t="s">
        <v>6243</v>
      </c>
      <c r="C1504" s="26" t="s">
        <v>9113</v>
      </c>
      <c r="D1504" s="22" t="s">
        <v>61</v>
      </c>
      <c r="E1504" s="22"/>
      <c r="F1504" s="22"/>
      <c r="G1504" s="22"/>
      <c r="H1504" s="22"/>
      <c r="I1504" s="25" t="s">
        <v>6244</v>
      </c>
      <c r="J1504" s="22"/>
      <c r="K1504" s="22" t="s">
        <v>6245</v>
      </c>
      <c r="L1504" s="22" t="s">
        <v>226</v>
      </c>
      <c r="M1504" s="22" t="str">
        <f>HYPERLINK("https://ceds.ed.gov/cedselementdetails.aspx?termid=21553")</f>
        <v>https://ceds.ed.gov/cedselementdetails.aspx?termid=21553</v>
      </c>
    </row>
    <row r="1505" spans="1:13" ht="72" x14ac:dyDescent="0.3">
      <c r="A1505" s="22" t="s">
        <v>8286</v>
      </c>
      <c r="B1505" s="22" t="s">
        <v>8287</v>
      </c>
      <c r="C1505" s="26" t="s">
        <v>22</v>
      </c>
      <c r="D1505" s="24" t="s">
        <v>8389</v>
      </c>
      <c r="E1505" s="22" t="s">
        <v>167</v>
      </c>
      <c r="F1505" s="22" t="s">
        <v>2</v>
      </c>
      <c r="G1505" s="22" t="s">
        <v>7949</v>
      </c>
      <c r="H1505" s="22"/>
      <c r="I1505" s="25" t="s">
        <v>8370</v>
      </c>
      <c r="J1505" s="22"/>
      <c r="K1505" s="22" t="s">
        <v>8288</v>
      </c>
      <c r="L1505" s="22"/>
      <c r="M1505" s="22" t="str">
        <f>HYPERLINK("https://ceds.ed.gov/cedselementdetails.aspx?termid=22991")</f>
        <v>https://ceds.ed.gov/cedselementdetails.aspx?termid=22991</v>
      </c>
    </row>
    <row r="1506" spans="1:13" ht="72" x14ac:dyDescent="0.3">
      <c r="A1506" s="22" t="s">
        <v>8289</v>
      </c>
      <c r="B1506" s="22" t="s">
        <v>8290</v>
      </c>
      <c r="C1506" s="26" t="s">
        <v>8381</v>
      </c>
      <c r="D1506" s="24" t="s">
        <v>8389</v>
      </c>
      <c r="E1506" s="22" t="s">
        <v>167</v>
      </c>
      <c r="F1506" s="22" t="s">
        <v>2</v>
      </c>
      <c r="G1506" s="22" t="s">
        <v>7949</v>
      </c>
      <c r="H1506" s="22" t="s">
        <v>8291</v>
      </c>
      <c r="I1506" s="25" t="s">
        <v>8371</v>
      </c>
      <c r="J1506" s="22"/>
      <c r="K1506" s="22" t="s">
        <v>8292</v>
      </c>
      <c r="L1506" s="22"/>
      <c r="M1506" s="22" t="str">
        <f>HYPERLINK("https://ceds.ed.gov/cedselementdetails.aspx?termid=22992")</f>
        <v>https://ceds.ed.gov/cedselementdetails.aspx?termid=22992</v>
      </c>
    </row>
    <row r="1507" spans="1:13" ht="72" x14ac:dyDescent="0.3">
      <c r="A1507" s="22" t="s">
        <v>6246</v>
      </c>
      <c r="B1507" s="22" t="s">
        <v>6247</v>
      </c>
      <c r="C1507" s="23" t="s">
        <v>32</v>
      </c>
      <c r="D1507" s="22" t="s">
        <v>61</v>
      </c>
      <c r="E1507" s="22"/>
      <c r="F1507" s="22" t="s">
        <v>3145</v>
      </c>
      <c r="G1507" s="22"/>
      <c r="H1507" s="22"/>
      <c r="I1507" s="25" t="s">
        <v>6248</v>
      </c>
      <c r="J1507" s="22"/>
      <c r="K1507" s="22" t="s">
        <v>6249</v>
      </c>
      <c r="L1507" s="24" t="s">
        <v>64</v>
      </c>
      <c r="M1507" s="22" t="str">
        <f>HYPERLINK("https://ceds.ed.gov/cedselementdetails.aspx?termid=21226")</f>
        <v>https://ceds.ed.gov/cedselementdetails.aspx?termid=21226</v>
      </c>
    </row>
    <row r="1508" spans="1:13" ht="144" x14ac:dyDescent="0.3">
      <c r="A1508" s="22" t="s">
        <v>6250</v>
      </c>
      <c r="B1508" s="22" t="s">
        <v>6251</v>
      </c>
      <c r="C1508" s="26" t="s">
        <v>9114</v>
      </c>
      <c r="D1508" s="22" t="s">
        <v>61</v>
      </c>
      <c r="E1508" s="22"/>
      <c r="F1508" s="22"/>
      <c r="G1508" s="22"/>
      <c r="H1508" s="22"/>
      <c r="I1508" s="25" t="s">
        <v>6252</v>
      </c>
      <c r="J1508" s="22"/>
      <c r="K1508" s="22" t="s">
        <v>6253</v>
      </c>
      <c r="L1508" s="22"/>
      <c r="M1508" s="22" t="str">
        <f>HYPERLINK("https://ceds.ed.gov/cedselementdetails.aspx?termid=21521")</f>
        <v>https://ceds.ed.gov/cedselementdetails.aspx?termid=21521</v>
      </c>
    </row>
    <row r="1509" spans="1:13" ht="72" x14ac:dyDescent="0.3">
      <c r="A1509" s="22" t="s">
        <v>6254</v>
      </c>
      <c r="B1509" s="22" t="s">
        <v>6255</v>
      </c>
      <c r="C1509" s="26" t="s">
        <v>9115</v>
      </c>
      <c r="D1509" s="22" t="s">
        <v>8120</v>
      </c>
      <c r="E1509" s="22"/>
      <c r="F1509" s="22"/>
      <c r="G1509" s="22"/>
      <c r="H1509" s="22"/>
      <c r="I1509" s="25" t="s">
        <v>6256</v>
      </c>
      <c r="J1509" s="22"/>
      <c r="K1509" s="22" t="s">
        <v>6257</v>
      </c>
      <c r="L1509" s="22" t="s">
        <v>3099</v>
      </c>
      <c r="M1509" s="22" t="str">
        <f>HYPERLINK("https://ceds.ed.gov/cedselementdetails.aspx?termid=21305")</f>
        <v>https://ceds.ed.gov/cedselementdetails.aspx?termid=21305</v>
      </c>
    </row>
    <row r="1510" spans="1:13" x14ac:dyDescent="0.3">
      <c r="A1510" s="22" t="s">
        <v>6258</v>
      </c>
      <c r="B1510" s="22" t="s">
        <v>6259</v>
      </c>
      <c r="C1510" s="23" t="s">
        <v>32</v>
      </c>
      <c r="D1510" s="22" t="s">
        <v>258</v>
      </c>
      <c r="E1510" s="22"/>
      <c r="F1510" s="22" t="s">
        <v>3842</v>
      </c>
      <c r="G1510" s="22"/>
      <c r="H1510" s="22"/>
      <c r="I1510" s="25" t="s">
        <v>6260</v>
      </c>
      <c r="J1510" s="22"/>
      <c r="K1510" s="22" t="s">
        <v>6261</v>
      </c>
      <c r="L1510" s="22"/>
      <c r="M1510" s="22" t="str">
        <f>HYPERLINK("https://ceds.ed.gov/cedselementdetails.aspx?termid=21776")</f>
        <v>https://ceds.ed.gov/cedselementdetails.aspx?termid=21776</v>
      </c>
    </row>
    <row r="1511" spans="1:13" ht="360" x14ac:dyDescent="0.3">
      <c r="A1511" s="22" t="s">
        <v>6262</v>
      </c>
      <c r="B1511" s="22" t="s">
        <v>6263</v>
      </c>
      <c r="C1511" s="26" t="s">
        <v>22</v>
      </c>
      <c r="D1511" s="24" t="s">
        <v>9116</v>
      </c>
      <c r="E1511" s="22"/>
      <c r="F1511" s="22"/>
      <c r="G1511" s="22"/>
      <c r="H1511" s="22"/>
      <c r="I1511" s="25" t="s">
        <v>6264</v>
      </c>
      <c r="J1511" s="22"/>
      <c r="K1511" s="22" t="s">
        <v>6265</v>
      </c>
      <c r="L1511" s="22"/>
      <c r="M1511" s="22" t="str">
        <f>HYPERLINK("https://ceds.ed.gov/cedselementdetails.aspx?termid=21760")</f>
        <v>https://ceds.ed.gov/cedselementdetails.aspx?termid=21760</v>
      </c>
    </row>
    <row r="1512" spans="1:13" x14ac:dyDescent="0.3">
      <c r="A1512" s="22" t="s">
        <v>6266</v>
      </c>
      <c r="B1512" s="22" t="s">
        <v>6267</v>
      </c>
      <c r="C1512" s="23" t="s">
        <v>32</v>
      </c>
      <c r="D1512" s="22" t="s">
        <v>4636</v>
      </c>
      <c r="E1512" s="22"/>
      <c r="F1512" s="22" t="s">
        <v>6268</v>
      </c>
      <c r="G1512" s="22"/>
      <c r="H1512" s="22"/>
      <c r="I1512" s="25" t="s">
        <v>6269</v>
      </c>
      <c r="J1512" s="22"/>
      <c r="K1512" s="22" t="s">
        <v>6270</v>
      </c>
      <c r="L1512" s="22"/>
      <c r="M1512" s="22" t="str">
        <f>HYPERLINK("https://ceds.ed.gov/cedselementdetails.aspx?termid=22876")</f>
        <v>https://ceds.ed.gov/cedselementdetails.aspx?termid=22876</v>
      </c>
    </row>
    <row r="1513" spans="1:13" ht="43.2" x14ac:dyDescent="0.3">
      <c r="A1513" s="22" t="s">
        <v>6271</v>
      </c>
      <c r="B1513" s="22" t="s">
        <v>6272</v>
      </c>
      <c r="C1513" s="23" t="s">
        <v>32</v>
      </c>
      <c r="D1513" s="24" t="s">
        <v>4107</v>
      </c>
      <c r="E1513" s="22"/>
      <c r="F1513" s="22" t="s">
        <v>1518</v>
      </c>
      <c r="G1513" s="22"/>
      <c r="H1513" s="22"/>
      <c r="I1513" s="25" t="s">
        <v>6273</v>
      </c>
      <c r="J1513" s="22"/>
      <c r="K1513" s="22" t="s">
        <v>6274</v>
      </c>
      <c r="L1513" s="22" t="s">
        <v>226</v>
      </c>
      <c r="M1513" s="22" t="str">
        <f>HYPERLINK("https://ceds.ed.gov/cedselementdetails.aspx?termid=21560")</f>
        <v>https://ceds.ed.gov/cedselementdetails.aspx?termid=21560</v>
      </c>
    </row>
    <row r="1514" spans="1:13" ht="129.6" x14ac:dyDescent="0.3">
      <c r="A1514" s="22" t="s">
        <v>6275</v>
      </c>
      <c r="B1514" s="22" t="s">
        <v>6276</v>
      </c>
      <c r="C1514" s="26" t="s">
        <v>9117</v>
      </c>
      <c r="D1514" s="22" t="s">
        <v>101</v>
      </c>
      <c r="E1514" s="22"/>
      <c r="F1514" s="22"/>
      <c r="G1514" s="22"/>
      <c r="H1514" s="22"/>
      <c r="I1514" s="25" t="s">
        <v>6277</v>
      </c>
      <c r="J1514" s="22"/>
      <c r="K1514" s="22" t="s">
        <v>6278</v>
      </c>
      <c r="L1514" s="22" t="s">
        <v>226</v>
      </c>
      <c r="M1514" s="22" t="str">
        <f>HYPERLINK("https://ceds.ed.gov/cedselementdetails.aspx?termid=21227")</f>
        <v>https://ceds.ed.gov/cedselementdetails.aspx?termid=21227</v>
      </c>
    </row>
    <row r="1515" spans="1:13" ht="144" x14ac:dyDescent="0.3">
      <c r="A1515" s="22" t="s">
        <v>6279</v>
      </c>
      <c r="B1515" s="22" t="s">
        <v>6280</v>
      </c>
      <c r="C1515" s="26" t="s">
        <v>8508</v>
      </c>
      <c r="D1515" s="24" t="s">
        <v>8509</v>
      </c>
      <c r="E1515" s="22" t="s">
        <v>172</v>
      </c>
      <c r="F1515" s="22"/>
      <c r="G1515" s="22" t="s">
        <v>7946</v>
      </c>
      <c r="H1515" s="22"/>
      <c r="I1515" s="25" t="s">
        <v>6281</v>
      </c>
      <c r="J1515" s="22"/>
      <c r="K1515" s="22" t="s">
        <v>6282</v>
      </c>
      <c r="L1515" s="22"/>
      <c r="M1515" s="22" t="str">
        <f>HYPERLINK("https://ceds.ed.gov/cedselementdetails.aspx?termid=21523")</f>
        <v>https://ceds.ed.gov/cedselementdetails.aspx?termid=21523</v>
      </c>
    </row>
    <row r="1516" spans="1:13" ht="86.4" x14ac:dyDescent="0.3">
      <c r="A1516" s="22" t="s">
        <v>6283</v>
      </c>
      <c r="B1516" s="22" t="s">
        <v>6284</v>
      </c>
      <c r="C1516" s="26" t="s">
        <v>9118</v>
      </c>
      <c r="D1516" s="22" t="s">
        <v>8256</v>
      </c>
      <c r="E1516" s="22"/>
      <c r="F1516" s="22"/>
      <c r="G1516" s="22"/>
      <c r="H1516" s="22"/>
      <c r="I1516" s="25" t="s">
        <v>6285</v>
      </c>
      <c r="J1516" s="22"/>
      <c r="K1516" s="22" t="s">
        <v>6286</v>
      </c>
      <c r="L1516" s="22"/>
      <c r="M1516" s="22" t="str">
        <f>HYPERLINK("https://ceds.ed.gov/cedselementdetails.aspx?termid=22299")</f>
        <v>https://ceds.ed.gov/cedselementdetails.aspx?termid=22299</v>
      </c>
    </row>
    <row r="1517" spans="1:13" x14ac:dyDescent="0.3">
      <c r="A1517" s="22" t="s">
        <v>6287</v>
      </c>
      <c r="B1517" s="22" t="s">
        <v>6288</v>
      </c>
      <c r="C1517" s="23" t="s">
        <v>32</v>
      </c>
      <c r="D1517" s="22" t="s">
        <v>2480</v>
      </c>
      <c r="E1517" s="22"/>
      <c r="F1517" s="22" t="s">
        <v>85</v>
      </c>
      <c r="G1517" s="22"/>
      <c r="H1517" s="22"/>
      <c r="I1517" s="25" t="s">
        <v>6289</v>
      </c>
      <c r="J1517" s="22"/>
      <c r="K1517" s="22" t="s">
        <v>6290</v>
      </c>
      <c r="L1517" s="22" t="s">
        <v>1553</v>
      </c>
      <c r="M1517" s="22" t="str">
        <f>HYPERLINK("https://ceds.ed.gov/cedselementdetails.aspx?termid=21423")</f>
        <v>https://ceds.ed.gov/cedselementdetails.aspx?termid=21423</v>
      </c>
    </row>
    <row r="1518" spans="1:13" ht="409.6" x14ac:dyDescent="0.3">
      <c r="A1518" s="22" t="s">
        <v>6291</v>
      </c>
      <c r="B1518" s="22" t="s">
        <v>6292</v>
      </c>
      <c r="C1518" s="26" t="s">
        <v>8743</v>
      </c>
      <c r="D1518" s="22" t="s">
        <v>2480</v>
      </c>
      <c r="E1518" s="22"/>
      <c r="F1518" s="22"/>
      <c r="G1518" s="22"/>
      <c r="H1518" s="22" t="s">
        <v>8055</v>
      </c>
      <c r="I1518" s="25" t="s">
        <v>6293</v>
      </c>
      <c r="J1518" s="22"/>
      <c r="K1518" s="22" t="s">
        <v>6294</v>
      </c>
      <c r="L1518" s="22" t="s">
        <v>1553</v>
      </c>
      <c r="M1518" s="22" t="str">
        <f>HYPERLINK("https://ceds.ed.gov/cedselementdetails.aspx?termid=21424")</f>
        <v>https://ceds.ed.gov/cedselementdetails.aspx?termid=21424</v>
      </c>
    </row>
    <row r="1519" spans="1:13" ht="409.6" x14ac:dyDescent="0.3">
      <c r="A1519" s="22" t="s">
        <v>6295</v>
      </c>
      <c r="B1519" s="22" t="s">
        <v>6296</v>
      </c>
      <c r="C1519" s="26" t="s">
        <v>9119</v>
      </c>
      <c r="D1519" s="22" t="s">
        <v>2480</v>
      </c>
      <c r="E1519" s="22"/>
      <c r="F1519" s="22"/>
      <c r="G1519" s="22"/>
      <c r="H1519" s="22"/>
      <c r="I1519" s="25" t="s">
        <v>6297</v>
      </c>
      <c r="J1519" s="22"/>
      <c r="K1519" s="22" t="s">
        <v>6298</v>
      </c>
      <c r="L1519" s="22" t="s">
        <v>1553</v>
      </c>
      <c r="M1519" s="22" t="str">
        <f>HYPERLINK("https://ceds.ed.gov/cedselementdetails.aspx?termid=21425")</f>
        <v>https://ceds.ed.gov/cedselementdetails.aspx?termid=21425</v>
      </c>
    </row>
    <row r="1520" spans="1:13" x14ac:dyDescent="0.3">
      <c r="A1520" s="22" t="s">
        <v>6299</v>
      </c>
      <c r="B1520" s="22" t="s">
        <v>6300</v>
      </c>
      <c r="C1520" s="23" t="s">
        <v>32</v>
      </c>
      <c r="D1520" s="22" t="s">
        <v>8281</v>
      </c>
      <c r="E1520" s="22"/>
      <c r="F1520" s="22" t="s">
        <v>85</v>
      </c>
      <c r="G1520" s="22"/>
      <c r="H1520" s="22"/>
      <c r="I1520" s="25" t="s">
        <v>6301</v>
      </c>
      <c r="J1520" s="22"/>
      <c r="K1520" s="22" t="s">
        <v>6302</v>
      </c>
      <c r="L1520" s="22"/>
      <c r="M1520" s="22" t="str">
        <f>HYPERLINK("https://ceds.ed.gov/cedselementdetails.aspx?termid=22432")</f>
        <v>https://ceds.ed.gov/cedselementdetails.aspx?termid=22432</v>
      </c>
    </row>
    <row r="1521" spans="1:13" x14ac:dyDescent="0.3">
      <c r="A1521" s="22" t="s">
        <v>6303</v>
      </c>
      <c r="B1521" s="22" t="s">
        <v>6304</v>
      </c>
      <c r="C1521" s="23" t="s">
        <v>32</v>
      </c>
      <c r="D1521" s="22" t="s">
        <v>8281</v>
      </c>
      <c r="E1521" s="22"/>
      <c r="F1521" s="22" t="s">
        <v>85</v>
      </c>
      <c r="G1521" s="22"/>
      <c r="H1521" s="22"/>
      <c r="I1521" s="25" t="s">
        <v>6305</v>
      </c>
      <c r="J1521" s="22"/>
      <c r="K1521" s="22" t="s">
        <v>6306</v>
      </c>
      <c r="L1521" s="22"/>
      <c r="M1521" s="22" t="str">
        <f>HYPERLINK("https://ceds.ed.gov/cedselementdetails.aspx?termid=22433")</f>
        <v>https://ceds.ed.gov/cedselementdetails.aspx?termid=22433</v>
      </c>
    </row>
    <row r="1522" spans="1:13" x14ac:dyDescent="0.3">
      <c r="A1522" s="22" t="s">
        <v>6307</v>
      </c>
      <c r="B1522" s="22" t="s">
        <v>6308</v>
      </c>
      <c r="C1522" s="23" t="s">
        <v>32</v>
      </c>
      <c r="D1522" s="22" t="s">
        <v>8281</v>
      </c>
      <c r="E1522" s="22"/>
      <c r="F1522" s="22" t="s">
        <v>118</v>
      </c>
      <c r="G1522" s="22"/>
      <c r="H1522" s="22" t="s">
        <v>143</v>
      </c>
      <c r="I1522" s="25" t="s">
        <v>6309</v>
      </c>
      <c r="J1522" s="22"/>
      <c r="K1522" s="22" t="s">
        <v>6310</v>
      </c>
      <c r="L1522" s="22"/>
      <c r="M1522" s="22" t="str">
        <f>HYPERLINK("https://ceds.ed.gov/cedselementdetails.aspx?termid=22436")</f>
        <v>https://ceds.ed.gov/cedselementdetails.aspx?termid=22436</v>
      </c>
    </row>
    <row r="1523" spans="1:13" ht="43.2" x14ac:dyDescent="0.3">
      <c r="A1523" s="22" t="s">
        <v>6311</v>
      </c>
      <c r="B1523" s="22" t="s">
        <v>6312</v>
      </c>
      <c r="C1523" s="26" t="s">
        <v>22</v>
      </c>
      <c r="D1523" s="22" t="s">
        <v>8281</v>
      </c>
      <c r="E1523" s="22"/>
      <c r="F1523" s="22"/>
      <c r="G1523" s="22"/>
      <c r="H1523" s="22"/>
      <c r="I1523" s="25" t="s">
        <v>6313</v>
      </c>
      <c r="J1523" s="22"/>
      <c r="K1523" s="22" t="s">
        <v>6314</v>
      </c>
      <c r="L1523" s="22"/>
      <c r="M1523" s="22" t="str">
        <f>HYPERLINK("https://ceds.ed.gov/cedselementdetails.aspx?termid=22435")</f>
        <v>https://ceds.ed.gov/cedselementdetails.aspx?termid=22435</v>
      </c>
    </row>
    <row r="1524" spans="1:13" x14ac:dyDescent="0.3">
      <c r="A1524" s="22" t="s">
        <v>6315</v>
      </c>
      <c r="B1524" s="22" t="s">
        <v>6316</v>
      </c>
      <c r="C1524" s="23" t="s">
        <v>32</v>
      </c>
      <c r="D1524" s="22" t="s">
        <v>8281</v>
      </c>
      <c r="E1524" s="22"/>
      <c r="F1524" s="22" t="s">
        <v>118</v>
      </c>
      <c r="G1524" s="22"/>
      <c r="H1524" s="22"/>
      <c r="I1524" s="25" t="s">
        <v>6317</v>
      </c>
      <c r="J1524" s="22"/>
      <c r="K1524" s="22" t="s">
        <v>6318</v>
      </c>
      <c r="L1524" s="22"/>
      <c r="M1524" s="22" t="str">
        <f>HYPERLINK("https://ceds.ed.gov/cedselementdetails.aspx?termid=22437")</f>
        <v>https://ceds.ed.gov/cedselementdetails.aspx?termid=22437</v>
      </c>
    </row>
    <row r="1525" spans="1:13" x14ac:dyDescent="0.3">
      <c r="A1525" s="22" t="s">
        <v>6319</v>
      </c>
      <c r="B1525" s="22" t="s">
        <v>6320</v>
      </c>
      <c r="C1525" s="23" t="s">
        <v>32</v>
      </c>
      <c r="D1525" s="22" t="s">
        <v>8281</v>
      </c>
      <c r="E1525" s="22"/>
      <c r="F1525" s="22" t="s">
        <v>85</v>
      </c>
      <c r="G1525" s="22"/>
      <c r="H1525" s="22"/>
      <c r="I1525" s="25" t="s">
        <v>6321</v>
      </c>
      <c r="J1525" s="22"/>
      <c r="K1525" s="22" t="s">
        <v>6322</v>
      </c>
      <c r="L1525" s="22"/>
      <c r="M1525" s="22" t="str">
        <f>HYPERLINK("https://ceds.ed.gov/cedselementdetails.aspx?termid=22434")</f>
        <v>https://ceds.ed.gov/cedselementdetails.aspx?termid=22434</v>
      </c>
    </row>
    <row r="1526" spans="1:13" x14ac:dyDescent="0.3">
      <c r="A1526" s="22" t="s">
        <v>6323</v>
      </c>
      <c r="B1526" s="22" t="s">
        <v>6324</v>
      </c>
      <c r="C1526" s="23" t="s">
        <v>32</v>
      </c>
      <c r="D1526" s="22" t="s">
        <v>8261</v>
      </c>
      <c r="E1526" s="22"/>
      <c r="F1526" s="22" t="s">
        <v>118</v>
      </c>
      <c r="G1526" s="22"/>
      <c r="H1526" s="22"/>
      <c r="I1526" s="25" t="s">
        <v>6325</v>
      </c>
      <c r="J1526" s="22" t="s">
        <v>6326</v>
      </c>
      <c r="K1526" s="22" t="s">
        <v>6327</v>
      </c>
      <c r="L1526" s="22" t="s">
        <v>109</v>
      </c>
      <c r="M1526" s="22" t="str">
        <f>HYPERLINK("https://ceds.ed.gov/cedselementdetails.aspx?termid=21830")</f>
        <v>https://ceds.ed.gov/cedselementdetails.aspx?termid=21830</v>
      </c>
    </row>
    <row r="1527" spans="1:13" x14ac:dyDescent="0.3">
      <c r="A1527" s="22" t="s">
        <v>6328</v>
      </c>
      <c r="B1527" s="22" t="s">
        <v>6329</v>
      </c>
      <c r="C1527" s="23" t="s">
        <v>32</v>
      </c>
      <c r="D1527" s="22" t="s">
        <v>8261</v>
      </c>
      <c r="E1527" s="22"/>
      <c r="F1527" s="22" t="s">
        <v>118</v>
      </c>
      <c r="G1527" s="22"/>
      <c r="H1527" s="22"/>
      <c r="I1527" s="25" t="s">
        <v>6330</v>
      </c>
      <c r="J1527" s="22" t="s">
        <v>6331</v>
      </c>
      <c r="K1527" s="22" t="s">
        <v>6332</v>
      </c>
      <c r="L1527" s="22" t="s">
        <v>109</v>
      </c>
      <c r="M1527" s="22" t="str">
        <f>HYPERLINK("https://ceds.ed.gov/cedselementdetails.aspx?termid=21831")</f>
        <v>https://ceds.ed.gov/cedselementdetails.aspx?termid=21831</v>
      </c>
    </row>
    <row r="1528" spans="1:13" ht="100.8" x14ac:dyDescent="0.3">
      <c r="A1528" s="22" t="s">
        <v>6333</v>
      </c>
      <c r="B1528" s="22" t="s">
        <v>6334</v>
      </c>
      <c r="C1528" s="26" t="s">
        <v>9120</v>
      </c>
      <c r="D1528" s="22" t="s">
        <v>8261</v>
      </c>
      <c r="E1528" s="22"/>
      <c r="F1528" s="22"/>
      <c r="G1528" s="22"/>
      <c r="H1528" s="22"/>
      <c r="I1528" s="25" t="s">
        <v>6335</v>
      </c>
      <c r="J1528" s="22" t="s">
        <v>6336</v>
      </c>
      <c r="K1528" s="22" t="s">
        <v>6337</v>
      </c>
      <c r="L1528" s="22" t="s">
        <v>6338</v>
      </c>
      <c r="M1528" s="22" t="str">
        <f>HYPERLINK("https://ceds.ed.gov/cedselementdetails.aspx?termid=21356")</f>
        <v>https://ceds.ed.gov/cedselementdetails.aspx?termid=21356</v>
      </c>
    </row>
    <row r="1529" spans="1:13" x14ac:dyDescent="0.3">
      <c r="A1529" s="22" t="s">
        <v>6339</v>
      </c>
      <c r="B1529" s="22" t="s">
        <v>6340</v>
      </c>
      <c r="C1529" s="23" t="s">
        <v>32</v>
      </c>
      <c r="D1529" s="22" t="s">
        <v>8261</v>
      </c>
      <c r="E1529" s="22"/>
      <c r="F1529" s="22" t="s">
        <v>1339</v>
      </c>
      <c r="G1529" s="22"/>
      <c r="H1529" s="22"/>
      <c r="I1529" s="25" t="s">
        <v>6341</v>
      </c>
      <c r="J1529" s="22" t="s">
        <v>6342</v>
      </c>
      <c r="K1529" s="22" t="s">
        <v>6343</v>
      </c>
      <c r="L1529" s="22" t="s">
        <v>6338</v>
      </c>
      <c r="M1529" s="22" t="str">
        <f>HYPERLINK("https://ceds.ed.gov/cedselementdetails.aspx?termid=21357")</f>
        <v>https://ceds.ed.gov/cedselementdetails.aspx?termid=21357</v>
      </c>
    </row>
    <row r="1530" spans="1:13" x14ac:dyDescent="0.3">
      <c r="A1530" s="22" t="s">
        <v>6344</v>
      </c>
      <c r="B1530" s="22" t="s">
        <v>6345</v>
      </c>
      <c r="C1530" s="23" t="s">
        <v>32</v>
      </c>
      <c r="D1530" s="22" t="s">
        <v>3510</v>
      </c>
      <c r="E1530" s="22"/>
      <c r="F1530" s="22" t="s">
        <v>1518</v>
      </c>
      <c r="G1530" s="22"/>
      <c r="H1530" s="22" t="s">
        <v>6346</v>
      </c>
      <c r="I1530" s="25" t="s">
        <v>6347</v>
      </c>
      <c r="J1530" s="22"/>
      <c r="K1530" s="22" t="s">
        <v>6348</v>
      </c>
      <c r="L1530" s="22"/>
      <c r="M1530" s="22" t="str">
        <f>HYPERLINK("https://ceds.ed.gov/cedselementdetails.aspx?termid=21991")</f>
        <v>https://ceds.ed.gov/cedselementdetails.aspx?termid=21991</v>
      </c>
    </row>
    <row r="1531" spans="1:13" ht="388.8" x14ac:dyDescent="0.3">
      <c r="A1531" s="22" t="s">
        <v>7640</v>
      </c>
      <c r="B1531" s="22" t="s">
        <v>7641</v>
      </c>
      <c r="C1531" s="26" t="s">
        <v>9121</v>
      </c>
      <c r="D1531" s="24" t="s">
        <v>8656</v>
      </c>
      <c r="E1531" s="22"/>
      <c r="F1531" s="22"/>
      <c r="G1531" s="22"/>
      <c r="H1531" s="22" t="s">
        <v>7642</v>
      </c>
      <c r="I1531" s="25" t="s">
        <v>7643</v>
      </c>
      <c r="J1531" s="22"/>
      <c r="K1531" s="22" t="s">
        <v>7640</v>
      </c>
      <c r="L1531" s="22"/>
      <c r="M1531" s="22" t="str">
        <f>HYPERLINK("https://ceds.ed.gov/cedselementdetails.aspx?termid=22955")</f>
        <v>https://ceds.ed.gov/cedselementdetails.aspx?termid=22955</v>
      </c>
    </row>
    <row r="1532" spans="1:13" ht="43.2" x14ac:dyDescent="0.3">
      <c r="A1532" s="22" t="s">
        <v>6349</v>
      </c>
      <c r="B1532" s="22" t="s">
        <v>6350</v>
      </c>
      <c r="C1532" s="23" t="s">
        <v>32</v>
      </c>
      <c r="D1532" s="24" t="s">
        <v>9122</v>
      </c>
      <c r="E1532" s="22"/>
      <c r="F1532" s="22" t="s">
        <v>328</v>
      </c>
      <c r="G1532" s="22"/>
      <c r="H1532" s="22"/>
      <c r="I1532" s="25" t="s">
        <v>6351</v>
      </c>
      <c r="J1532" s="22"/>
      <c r="K1532" s="22" t="s">
        <v>6352</v>
      </c>
      <c r="L1532" s="22"/>
      <c r="M1532" s="22" t="str">
        <f>HYPERLINK("https://ceds.ed.gov/cedselementdetails.aspx?termid=22460")</f>
        <v>https://ceds.ed.gov/cedselementdetails.aspx?termid=22460</v>
      </c>
    </row>
    <row r="1533" spans="1:13" ht="86.4" x14ac:dyDescent="0.3">
      <c r="A1533" s="22" t="s">
        <v>6353</v>
      </c>
      <c r="B1533" s="22" t="s">
        <v>6354</v>
      </c>
      <c r="C1533" s="26" t="s">
        <v>9123</v>
      </c>
      <c r="D1533" s="22" t="s">
        <v>8075</v>
      </c>
      <c r="E1533" s="22"/>
      <c r="F1533" s="22"/>
      <c r="G1533" s="22"/>
      <c r="H1533" s="22"/>
      <c r="I1533" s="25" t="s">
        <v>6355</v>
      </c>
      <c r="J1533" s="22"/>
      <c r="K1533" s="22" t="s">
        <v>6356</v>
      </c>
      <c r="L1533" s="22"/>
      <c r="M1533" s="22" t="str">
        <f>HYPERLINK("https://ceds.ed.gov/cedselementdetails.aspx?termid=22494")</f>
        <v>https://ceds.ed.gov/cedselementdetails.aspx?termid=22494</v>
      </c>
    </row>
    <row r="1534" spans="1:13" ht="115.2" x14ac:dyDescent="0.3">
      <c r="A1534" s="22" t="s">
        <v>6357</v>
      </c>
      <c r="B1534" s="22" t="s">
        <v>6358</v>
      </c>
      <c r="C1534" s="26" t="s">
        <v>9124</v>
      </c>
      <c r="D1534" s="22" t="s">
        <v>1202</v>
      </c>
      <c r="E1534" s="22"/>
      <c r="F1534" s="22"/>
      <c r="G1534" s="22"/>
      <c r="H1534" s="22"/>
      <c r="I1534" s="25" t="s">
        <v>6359</v>
      </c>
      <c r="J1534" s="22"/>
      <c r="K1534" s="22" t="s">
        <v>6360</v>
      </c>
      <c r="L1534" s="22"/>
      <c r="M1534" s="22" t="str">
        <f>HYPERLINK("https://ceds.ed.gov/cedselementdetails.aspx?termid=21228")</f>
        <v>https://ceds.ed.gov/cedselementdetails.aspx?termid=21228</v>
      </c>
    </row>
    <row r="1535" spans="1:13" ht="158.4" x14ac:dyDescent="0.3">
      <c r="A1535" s="22" t="s">
        <v>6361</v>
      </c>
      <c r="B1535" s="22" t="s">
        <v>6362</v>
      </c>
      <c r="C1535" s="26" t="s">
        <v>8510</v>
      </c>
      <c r="D1535" s="24" t="s">
        <v>8511</v>
      </c>
      <c r="E1535" s="22" t="s">
        <v>172</v>
      </c>
      <c r="F1535" s="22"/>
      <c r="G1535" s="22" t="s">
        <v>8050</v>
      </c>
      <c r="H1535" s="22"/>
      <c r="I1535" s="25" t="s">
        <v>6363</v>
      </c>
      <c r="J1535" s="22"/>
      <c r="K1535" s="22" t="s">
        <v>6364</v>
      </c>
      <c r="L1535" s="22"/>
      <c r="M1535" s="22" t="str">
        <f>HYPERLINK("https://ceds.ed.gov/cedselementdetails.aspx?termid=21515")</f>
        <v>https://ceds.ed.gov/cedselementdetails.aspx?termid=21515</v>
      </c>
    </row>
    <row r="1536" spans="1:13" ht="201.6" x14ac:dyDescent="0.3">
      <c r="A1536" s="22" t="s">
        <v>6365</v>
      </c>
      <c r="B1536" s="22" t="s">
        <v>6366</v>
      </c>
      <c r="C1536" s="26" t="s">
        <v>9125</v>
      </c>
      <c r="D1536" s="22" t="s">
        <v>61</v>
      </c>
      <c r="E1536" s="22"/>
      <c r="F1536" s="22"/>
      <c r="G1536" s="22"/>
      <c r="H1536" s="22"/>
      <c r="I1536" s="25" t="s">
        <v>6367</v>
      </c>
      <c r="J1536" s="22"/>
      <c r="K1536" s="22" t="s">
        <v>6368</v>
      </c>
      <c r="L1536" s="24" t="s">
        <v>64</v>
      </c>
      <c r="M1536" s="22" t="str">
        <f>HYPERLINK("https://ceds.ed.gov/cedselementdetails.aspx?termid=21229")</f>
        <v>https://ceds.ed.gov/cedselementdetails.aspx?termid=21229</v>
      </c>
    </row>
    <row r="1537" spans="1:13" ht="43.2" x14ac:dyDescent="0.3">
      <c r="A1537" s="22" t="s">
        <v>6369</v>
      </c>
      <c r="B1537" s="22" t="s">
        <v>6370</v>
      </c>
      <c r="C1537" s="26" t="s">
        <v>9126</v>
      </c>
      <c r="D1537" s="22" t="s">
        <v>2517</v>
      </c>
      <c r="E1537" s="22"/>
      <c r="F1537" s="22"/>
      <c r="G1537" s="22"/>
      <c r="H1537" s="22"/>
      <c r="I1537" s="25" t="s">
        <v>6371</v>
      </c>
      <c r="J1537" s="22"/>
      <c r="K1537" s="22" t="s">
        <v>6372</v>
      </c>
      <c r="L1537" s="22" t="s">
        <v>226</v>
      </c>
      <c r="M1537" s="22" t="str">
        <f>HYPERLINK("https://ceds.ed.gov/cedselementdetails.aspx?termid=21230")</f>
        <v>https://ceds.ed.gov/cedselementdetails.aspx?termid=21230</v>
      </c>
    </row>
    <row r="1538" spans="1:13" ht="43.2" x14ac:dyDescent="0.3">
      <c r="A1538" s="22" t="s">
        <v>6373</v>
      </c>
      <c r="B1538" s="22" t="s">
        <v>6374</v>
      </c>
      <c r="C1538" s="23" t="s">
        <v>32</v>
      </c>
      <c r="D1538" s="24" t="s">
        <v>9127</v>
      </c>
      <c r="E1538" s="22"/>
      <c r="F1538" s="22" t="s">
        <v>845</v>
      </c>
      <c r="G1538" s="22"/>
      <c r="H1538" s="22" t="s">
        <v>6375</v>
      </c>
      <c r="I1538" s="25" t="s">
        <v>6376</v>
      </c>
      <c r="J1538" s="22"/>
      <c r="K1538" s="22" t="s">
        <v>6377</v>
      </c>
      <c r="L1538" s="22"/>
      <c r="M1538" s="22" t="str">
        <f>HYPERLINK("https://ceds.ed.gov/cedselementdetails.aspx?termid=22899")</f>
        <v>https://ceds.ed.gov/cedselementdetails.aspx?termid=22899</v>
      </c>
    </row>
    <row r="1539" spans="1:13" ht="43.2" x14ac:dyDescent="0.3">
      <c r="A1539" s="22" t="s">
        <v>6378</v>
      </c>
      <c r="B1539" s="22" t="s">
        <v>6379</v>
      </c>
      <c r="C1539" s="23" t="s">
        <v>32</v>
      </c>
      <c r="D1539" s="24" t="s">
        <v>9127</v>
      </c>
      <c r="E1539" s="22"/>
      <c r="F1539" s="22" t="s">
        <v>845</v>
      </c>
      <c r="G1539" s="22"/>
      <c r="H1539" s="22" t="s">
        <v>6380</v>
      </c>
      <c r="I1539" s="25" t="s">
        <v>6381</v>
      </c>
      <c r="J1539" s="22"/>
      <c r="K1539" s="22" t="s">
        <v>6382</v>
      </c>
      <c r="L1539" s="22"/>
      <c r="M1539" s="22" t="str">
        <f>HYPERLINK("https://ceds.ed.gov/cedselementdetails.aspx?termid=22898")</f>
        <v>https://ceds.ed.gov/cedselementdetails.aspx?termid=22898</v>
      </c>
    </row>
    <row r="1540" spans="1:13" ht="43.2" x14ac:dyDescent="0.3">
      <c r="A1540" s="22" t="s">
        <v>7644</v>
      </c>
      <c r="B1540" s="22" t="s">
        <v>7645</v>
      </c>
      <c r="C1540" s="26" t="s">
        <v>9003</v>
      </c>
      <c r="D1540" s="22" t="s">
        <v>8293</v>
      </c>
      <c r="E1540" s="22"/>
      <c r="F1540" s="22"/>
      <c r="G1540" s="22"/>
      <c r="H1540" s="22"/>
      <c r="I1540" s="25" t="s">
        <v>7646</v>
      </c>
      <c r="J1540" s="22"/>
      <c r="K1540" s="22" t="s">
        <v>7647</v>
      </c>
      <c r="L1540" s="22"/>
      <c r="M1540" s="22" t="str">
        <f>HYPERLINK("https://ceds.ed.gov/cedselementdetails.aspx?termid=22956")</f>
        <v>https://ceds.ed.gov/cedselementdetails.aspx?termid=22956</v>
      </c>
    </row>
    <row r="1541" spans="1:13" x14ac:dyDescent="0.3">
      <c r="A1541" s="22" t="s">
        <v>7648</v>
      </c>
      <c r="B1541" s="22" t="s">
        <v>7649</v>
      </c>
      <c r="C1541" s="23" t="s">
        <v>32</v>
      </c>
      <c r="D1541" s="22" t="s">
        <v>8293</v>
      </c>
      <c r="E1541" s="22"/>
      <c r="F1541" s="22" t="s">
        <v>118</v>
      </c>
      <c r="G1541" s="22"/>
      <c r="H1541" s="22"/>
      <c r="I1541" s="25" t="s">
        <v>7650</v>
      </c>
      <c r="J1541" s="22"/>
      <c r="K1541" s="22" t="s">
        <v>7651</v>
      </c>
      <c r="L1541" s="22"/>
      <c r="M1541" s="22" t="str">
        <f>HYPERLINK("https://ceds.ed.gov/cedselementdetails.aspx?termid=22957")</f>
        <v>https://ceds.ed.gov/cedselementdetails.aspx?termid=22957</v>
      </c>
    </row>
    <row r="1542" spans="1:13" ht="115.2" x14ac:dyDescent="0.3">
      <c r="A1542" s="22" t="s">
        <v>7652</v>
      </c>
      <c r="B1542" s="22" t="s">
        <v>7653</v>
      </c>
      <c r="C1542" s="26" t="s">
        <v>8782</v>
      </c>
      <c r="D1542" s="22" t="s">
        <v>8293</v>
      </c>
      <c r="E1542" s="22"/>
      <c r="F1542" s="22"/>
      <c r="G1542" s="22"/>
      <c r="H1542" s="22"/>
      <c r="I1542" s="25" t="s">
        <v>7654</v>
      </c>
      <c r="J1542" s="22"/>
      <c r="K1542" s="22" t="s">
        <v>7655</v>
      </c>
      <c r="L1542" s="22"/>
      <c r="M1542" s="22" t="str">
        <f>HYPERLINK("https://ceds.ed.gov/cedselementdetails.aspx?termid=22958")</f>
        <v>https://ceds.ed.gov/cedselementdetails.aspx?termid=22958</v>
      </c>
    </row>
    <row r="1543" spans="1:13" ht="72" x14ac:dyDescent="0.3">
      <c r="A1543" s="22" t="s">
        <v>6383</v>
      </c>
      <c r="B1543" s="22" t="s">
        <v>6384</v>
      </c>
      <c r="C1543" s="23" t="s">
        <v>32</v>
      </c>
      <c r="D1543" s="24" t="s">
        <v>9128</v>
      </c>
      <c r="E1543" s="22"/>
      <c r="F1543" s="22" t="s">
        <v>118</v>
      </c>
      <c r="G1543" s="22"/>
      <c r="H1543" s="22"/>
      <c r="I1543" s="25" t="s">
        <v>6385</v>
      </c>
      <c r="J1543" s="22"/>
      <c r="K1543" s="22" t="s">
        <v>6386</v>
      </c>
      <c r="L1543" s="22"/>
      <c r="M1543" s="22" t="str">
        <f>HYPERLINK("https://ceds.ed.gov/cedselementdetails.aspx?termid=22453")</f>
        <v>https://ceds.ed.gov/cedselementdetails.aspx?termid=22453</v>
      </c>
    </row>
    <row r="1544" spans="1:13" ht="115.2" x14ac:dyDescent="0.3">
      <c r="A1544" s="22" t="s">
        <v>6387</v>
      </c>
      <c r="B1544" s="22" t="s">
        <v>6388</v>
      </c>
      <c r="C1544" s="26" t="s">
        <v>9129</v>
      </c>
      <c r="D1544" s="22" t="s">
        <v>8294</v>
      </c>
      <c r="E1544" s="22"/>
      <c r="F1544" s="22"/>
      <c r="G1544" s="22"/>
      <c r="H1544" s="22"/>
      <c r="I1544" s="25" t="s">
        <v>6389</v>
      </c>
      <c r="J1544" s="22"/>
      <c r="K1544" s="22" t="s">
        <v>6390</v>
      </c>
      <c r="L1544" s="22"/>
      <c r="M1544" s="22" t="str">
        <f>HYPERLINK("https://ceds.ed.gov/cedselementdetails.aspx?termid=22454")</f>
        <v>https://ceds.ed.gov/cedselementdetails.aspx?termid=22454</v>
      </c>
    </row>
    <row r="1545" spans="1:13" ht="43.2" x14ac:dyDescent="0.3">
      <c r="A1545" s="22" t="s">
        <v>6391</v>
      </c>
      <c r="B1545" s="22" t="s">
        <v>6392</v>
      </c>
      <c r="C1545" s="26" t="s">
        <v>22</v>
      </c>
      <c r="D1545" s="22" t="s">
        <v>8096</v>
      </c>
      <c r="E1545" s="22"/>
      <c r="F1545" s="22"/>
      <c r="G1545" s="22"/>
      <c r="H1545" s="22"/>
      <c r="I1545" s="25" t="s">
        <v>6393</v>
      </c>
      <c r="J1545" s="22"/>
      <c r="K1545" s="22" t="s">
        <v>6394</v>
      </c>
      <c r="L1545" s="22" t="s">
        <v>109</v>
      </c>
      <c r="M1545" s="22" t="str">
        <f>HYPERLINK("https://ceds.ed.gov/cedselementdetails.aspx?termid=21850")</f>
        <v>https://ceds.ed.gov/cedselementdetails.aspx?termid=21850</v>
      </c>
    </row>
    <row r="1546" spans="1:13" ht="72" x14ac:dyDescent="0.3">
      <c r="A1546" s="22" t="s">
        <v>6395</v>
      </c>
      <c r="B1546" s="22" t="s">
        <v>6396</v>
      </c>
      <c r="C1546" s="23" t="s">
        <v>32</v>
      </c>
      <c r="D1546" s="24" t="s">
        <v>9128</v>
      </c>
      <c r="E1546" s="22"/>
      <c r="F1546" s="22" t="s">
        <v>328</v>
      </c>
      <c r="G1546" s="22"/>
      <c r="H1546" s="22"/>
      <c r="I1546" s="25" t="s">
        <v>6397</v>
      </c>
      <c r="J1546" s="22"/>
      <c r="K1546" s="22" t="s">
        <v>6398</v>
      </c>
      <c r="L1546" s="22"/>
      <c r="M1546" s="22" t="str">
        <f>HYPERLINK("https://ceds.ed.gov/cedselementdetails.aspx?termid=22455")</f>
        <v>https://ceds.ed.gov/cedselementdetails.aspx?termid=22455</v>
      </c>
    </row>
    <row r="1547" spans="1:13" ht="72" x14ac:dyDescent="0.3">
      <c r="A1547" s="22" t="s">
        <v>6399</v>
      </c>
      <c r="B1547" s="22" t="s">
        <v>6400</v>
      </c>
      <c r="C1547" s="23" t="s">
        <v>32</v>
      </c>
      <c r="D1547" s="24" t="s">
        <v>9128</v>
      </c>
      <c r="E1547" s="22"/>
      <c r="F1547" s="22" t="s">
        <v>157</v>
      </c>
      <c r="G1547" s="22"/>
      <c r="H1547" s="22"/>
      <c r="I1547" s="25" t="s">
        <v>6401</v>
      </c>
      <c r="J1547" s="22"/>
      <c r="K1547" s="22" t="s">
        <v>6402</v>
      </c>
      <c r="L1547" s="22"/>
      <c r="M1547" s="22" t="str">
        <f>HYPERLINK("https://ceds.ed.gov/cedselementdetails.aspx?termid=22456")</f>
        <v>https://ceds.ed.gov/cedselementdetails.aspx?termid=22456</v>
      </c>
    </row>
    <row r="1548" spans="1:13" x14ac:dyDescent="0.3">
      <c r="A1548" s="22" t="s">
        <v>6403</v>
      </c>
      <c r="B1548" s="22" t="s">
        <v>6404</v>
      </c>
      <c r="C1548" s="23" t="s">
        <v>32</v>
      </c>
      <c r="D1548" s="22" t="s">
        <v>8294</v>
      </c>
      <c r="E1548" s="22"/>
      <c r="F1548" s="22" t="s">
        <v>157</v>
      </c>
      <c r="G1548" s="22"/>
      <c r="H1548" s="22"/>
      <c r="I1548" s="25" t="s">
        <v>6405</v>
      </c>
      <c r="J1548" s="22"/>
      <c r="K1548" s="22" t="s">
        <v>6406</v>
      </c>
      <c r="L1548" s="22"/>
      <c r="M1548" s="22" t="str">
        <f>HYPERLINK("https://ceds.ed.gov/cedselementdetails.aspx?termid=22457")</f>
        <v>https://ceds.ed.gov/cedselementdetails.aspx?termid=22457</v>
      </c>
    </row>
    <row r="1549" spans="1:13" x14ac:dyDescent="0.3">
      <c r="A1549" s="22" t="s">
        <v>6407</v>
      </c>
      <c r="B1549" s="22" t="s">
        <v>6408</v>
      </c>
      <c r="C1549" s="23" t="s">
        <v>32</v>
      </c>
      <c r="D1549" s="22" t="s">
        <v>8294</v>
      </c>
      <c r="E1549" s="22"/>
      <c r="F1549" s="22" t="s">
        <v>157</v>
      </c>
      <c r="G1549" s="22"/>
      <c r="H1549" s="22"/>
      <c r="I1549" s="25" t="s">
        <v>6409</v>
      </c>
      <c r="J1549" s="22"/>
      <c r="K1549" s="22" t="s">
        <v>6410</v>
      </c>
      <c r="L1549" s="22"/>
      <c r="M1549" s="22" t="str">
        <f>HYPERLINK("https://ceds.ed.gov/cedselementdetails.aspx?termid=22458")</f>
        <v>https://ceds.ed.gov/cedselementdetails.aspx?termid=22458</v>
      </c>
    </row>
    <row r="1550" spans="1:13" ht="86.4" x14ac:dyDescent="0.3">
      <c r="A1550" s="22" t="s">
        <v>6411</v>
      </c>
      <c r="B1550" s="22" t="s">
        <v>6412</v>
      </c>
      <c r="C1550" s="26" t="s">
        <v>9130</v>
      </c>
      <c r="D1550" s="22" t="s">
        <v>1541</v>
      </c>
      <c r="E1550" s="22"/>
      <c r="F1550" s="22"/>
      <c r="G1550" s="22"/>
      <c r="H1550" s="22"/>
      <c r="I1550" s="25" t="s">
        <v>6413</v>
      </c>
      <c r="J1550" s="22"/>
      <c r="K1550" s="22" t="s">
        <v>6414</v>
      </c>
      <c r="L1550" s="22"/>
      <c r="M1550" s="22" t="str">
        <f>HYPERLINK("https://ceds.ed.gov/cedselementdetails.aspx?termid=22601")</f>
        <v>https://ceds.ed.gov/cedselementdetails.aspx?termid=22601</v>
      </c>
    </row>
    <row r="1551" spans="1:13" ht="72" x14ac:dyDescent="0.3">
      <c r="A1551" s="22" t="s">
        <v>6415</v>
      </c>
      <c r="B1551" s="22" t="s">
        <v>6416</v>
      </c>
      <c r="C1551" s="23" t="s">
        <v>32</v>
      </c>
      <c r="D1551" s="24" t="s">
        <v>2684</v>
      </c>
      <c r="E1551" s="22"/>
      <c r="F1551" s="22" t="s">
        <v>157</v>
      </c>
      <c r="G1551" s="22"/>
      <c r="H1551" s="22"/>
      <c r="I1551" s="25" t="s">
        <v>6417</v>
      </c>
      <c r="J1551" s="22" t="s">
        <v>6418</v>
      </c>
      <c r="K1551" s="22" t="s">
        <v>6419</v>
      </c>
      <c r="L1551" s="22"/>
      <c r="M1551" s="22" t="str">
        <f>HYPERLINK("https://ceds.ed.gov/cedselementdetails.aspx?termid=21231")</f>
        <v>https://ceds.ed.gov/cedselementdetails.aspx?termid=21231</v>
      </c>
    </row>
    <row r="1552" spans="1:13" ht="43.2" x14ac:dyDescent="0.3">
      <c r="A1552" s="22" t="s">
        <v>6420</v>
      </c>
      <c r="B1552" s="22" t="s">
        <v>6421</v>
      </c>
      <c r="C1552" s="26" t="s">
        <v>22</v>
      </c>
      <c r="D1552" s="24" t="s">
        <v>3175</v>
      </c>
      <c r="E1552" s="22"/>
      <c r="F1552" s="22"/>
      <c r="G1552" s="22"/>
      <c r="H1552" s="22"/>
      <c r="I1552" s="25" t="s">
        <v>6422</v>
      </c>
      <c r="J1552" s="22"/>
      <c r="K1552" s="22" t="s">
        <v>6423</v>
      </c>
      <c r="L1552" s="22"/>
      <c r="M1552" s="22" t="str">
        <f>HYPERLINK("https://ceds.ed.gov/cedselementdetails.aspx?termid=21503")</f>
        <v>https://ceds.ed.gov/cedselementdetails.aspx?termid=21503</v>
      </c>
    </row>
    <row r="1553" spans="1:13" x14ac:dyDescent="0.3">
      <c r="A1553" s="22" t="s">
        <v>6424</v>
      </c>
      <c r="B1553" s="22" t="s">
        <v>6425</v>
      </c>
      <c r="C1553" s="23" t="s">
        <v>32</v>
      </c>
      <c r="D1553" s="22" t="s">
        <v>2522</v>
      </c>
      <c r="E1553" s="22"/>
      <c r="F1553" s="22" t="s">
        <v>118</v>
      </c>
      <c r="G1553" s="22"/>
      <c r="H1553" s="22" t="s">
        <v>2523</v>
      </c>
      <c r="I1553" s="25" t="s">
        <v>6426</v>
      </c>
      <c r="J1553" s="22"/>
      <c r="K1553" s="22" t="s">
        <v>6427</v>
      </c>
      <c r="L1553" s="22"/>
      <c r="M1553" s="22" t="str">
        <f>HYPERLINK("https://ceds.ed.gov/cedselementdetails.aspx?termid=22740")</f>
        <v>https://ceds.ed.gov/cedselementdetails.aspx?termid=22740</v>
      </c>
    </row>
    <row r="1554" spans="1:13" x14ac:dyDescent="0.3">
      <c r="A1554" s="22" t="s">
        <v>6428</v>
      </c>
      <c r="B1554" s="22" t="s">
        <v>8295</v>
      </c>
      <c r="C1554" s="23" t="s">
        <v>32</v>
      </c>
      <c r="D1554" s="22" t="s">
        <v>4034</v>
      </c>
      <c r="E1554" s="22"/>
      <c r="F1554" s="22" t="s">
        <v>132</v>
      </c>
      <c r="G1554" s="22"/>
      <c r="H1554" s="22" t="s">
        <v>7945</v>
      </c>
      <c r="I1554" s="25" t="s">
        <v>6429</v>
      </c>
      <c r="J1554" s="22"/>
      <c r="K1554" s="22" t="s">
        <v>6430</v>
      </c>
      <c r="L1554" s="22"/>
      <c r="M1554" s="22" t="str">
        <f>HYPERLINK("https://ceds.ed.gov/cedselementdetails.aspx?termid=21498")</f>
        <v>https://ceds.ed.gov/cedselementdetails.aspx?termid=21498</v>
      </c>
    </row>
    <row r="1555" spans="1:13" ht="316.8" x14ac:dyDescent="0.3">
      <c r="A1555" s="22" t="s">
        <v>6431</v>
      </c>
      <c r="B1555" s="22" t="s">
        <v>6432</v>
      </c>
      <c r="C1555" s="26" t="s">
        <v>8943</v>
      </c>
      <c r="D1555" s="22" t="s">
        <v>8096</v>
      </c>
      <c r="E1555" s="22"/>
      <c r="F1555" s="22"/>
      <c r="G1555" s="22"/>
      <c r="H1555" s="22"/>
      <c r="I1555" s="25" t="s">
        <v>6433</v>
      </c>
      <c r="J1555" s="22"/>
      <c r="K1555" s="22" t="s">
        <v>6434</v>
      </c>
      <c r="L1555" s="22" t="s">
        <v>2015</v>
      </c>
      <c r="M1555" s="22" t="str">
        <f>HYPERLINK("https://ceds.ed.gov/cedselementdetails.aspx?termid=21307")</f>
        <v>https://ceds.ed.gov/cedselementdetails.aspx?termid=21307</v>
      </c>
    </row>
    <row r="1556" spans="1:13" x14ac:dyDescent="0.3">
      <c r="A1556" s="22" t="s">
        <v>6435</v>
      </c>
      <c r="B1556" s="22" t="s">
        <v>6436</v>
      </c>
      <c r="C1556" s="23" t="s">
        <v>32</v>
      </c>
      <c r="D1556" s="22" t="s">
        <v>239</v>
      </c>
      <c r="E1556" s="22"/>
      <c r="F1556" s="22" t="s">
        <v>1518</v>
      </c>
      <c r="G1556" s="22"/>
      <c r="H1556" s="22" t="s">
        <v>368</v>
      </c>
      <c r="I1556" s="25" t="s">
        <v>6437</v>
      </c>
      <c r="J1556" s="22"/>
      <c r="K1556" s="22" t="s">
        <v>6438</v>
      </c>
      <c r="L1556" s="22" t="s">
        <v>1568</v>
      </c>
      <c r="M1556" s="22" t="str">
        <f>HYPERLINK("https://ceds.ed.gov/cedselementdetails.aspx?termid=21726")</f>
        <v>https://ceds.ed.gov/cedselementdetails.aspx?termid=21726</v>
      </c>
    </row>
    <row r="1557" spans="1:13" x14ac:dyDescent="0.3">
      <c r="A1557" s="22" t="s">
        <v>6439</v>
      </c>
      <c r="B1557" s="22" t="s">
        <v>6440</v>
      </c>
      <c r="C1557" s="23" t="s">
        <v>32</v>
      </c>
      <c r="D1557" s="22" t="s">
        <v>8033</v>
      </c>
      <c r="E1557" s="22"/>
      <c r="F1557" s="22" t="s">
        <v>1518</v>
      </c>
      <c r="G1557" s="22"/>
      <c r="H1557" s="22"/>
      <c r="I1557" s="25" t="s">
        <v>6441</v>
      </c>
      <c r="J1557" s="22"/>
      <c r="K1557" s="22" t="s">
        <v>6442</v>
      </c>
      <c r="L1557" s="22" t="s">
        <v>207</v>
      </c>
      <c r="M1557" s="22" t="str">
        <f>HYPERLINK("https://ceds.ed.gov/cedselementdetails.aspx?termid=21803")</f>
        <v>https://ceds.ed.gov/cedselementdetails.aspx?termid=21803</v>
      </c>
    </row>
    <row r="1558" spans="1:13" x14ac:dyDescent="0.3">
      <c r="A1558" s="22" t="s">
        <v>6443</v>
      </c>
      <c r="B1558" s="22" t="s">
        <v>6444</v>
      </c>
      <c r="C1558" s="23" t="s">
        <v>32</v>
      </c>
      <c r="D1558" s="22" t="s">
        <v>3214</v>
      </c>
      <c r="E1558" s="22"/>
      <c r="F1558" s="22" t="s">
        <v>132</v>
      </c>
      <c r="G1558" s="22"/>
      <c r="H1558" s="22" t="s">
        <v>7945</v>
      </c>
      <c r="I1558" s="25" t="s">
        <v>6445</v>
      </c>
      <c r="J1558" s="22"/>
      <c r="K1558" s="22" t="s">
        <v>6446</v>
      </c>
      <c r="L1558" s="22" t="s">
        <v>226</v>
      </c>
      <c r="M1558" s="22" t="str">
        <f>HYPERLINK("https://ceds.ed.gov/cedselementdetails.aspx?termid=21639")</f>
        <v>https://ceds.ed.gov/cedselementdetails.aspx?termid=21639</v>
      </c>
    </row>
    <row r="1559" spans="1:13" ht="144" x14ac:dyDescent="0.3">
      <c r="A1559" s="22" t="s">
        <v>6447</v>
      </c>
      <c r="B1559" s="22" t="s">
        <v>6448</v>
      </c>
      <c r="C1559" s="26" t="s">
        <v>8512</v>
      </c>
      <c r="D1559" s="24" t="s">
        <v>3622</v>
      </c>
      <c r="E1559" s="22"/>
      <c r="F1559" s="22"/>
      <c r="G1559" s="22"/>
      <c r="H1559" s="22"/>
      <c r="I1559" s="25" t="s">
        <v>6449</v>
      </c>
      <c r="J1559" s="22"/>
      <c r="K1559" s="22" t="s">
        <v>6450</v>
      </c>
      <c r="L1559" s="22" t="s">
        <v>226</v>
      </c>
      <c r="M1559" s="22" t="str">
        <f>HYPERLINK("https://ceds.ed.gov/cedselementdetails.aspx?termid=21587")</f>
        <v>https://ceds.ed.gov/cedselementdetails.aspx?termid=21587</v>
      </c>
    </row>
    <row r="1560" spans="1:13" ht="72" x14ac:dyDescent="0.3">
      <c r="A1560" s="22" t="s">
        <v>6451</v>
      </c>
      <c r="B1560" s="22" t="s">
        <v>8296</v>
      </c>
      <c r="C1560" s="23" t="s">
        <v>32</v>
      </c>
      <c r="D1560" s="24" t="s">
        <v>9131</v>
      </c>
      <c r="E1560" s="22"/>
      <c r="F1560" s="22" t="s">
        <v>132</v>
      </c>
      <c r="G1560" s="22"/>
      <c r="H1560" s="22" t="s">
        <v>8297</v>
      </c>
      <c r="I1560" s="25" t="s">
        <v>6453</v>
      </c>
      <c r="J1560" s="22"/>
      <c r="K1560" s="22" t="s">
        <v>6454</v>
      </c>
      <c r="L1560" s="22"/>
      <c r="M1560" s="22" t="str">
        <f>HYPERLINK("https://ceds.ed.gov/cedselementdetails.aspx?termid=22438")</f>
        <v>https://ceds.ed.gov/cedselementdetails.aspx?termid=22438</v>
      </c>
    </row>
    <row r="1561" spans="1:13" ht="115.2" x14ac:dyDescent="0.3">
      <c r="A1561" s="22" t="s">
        <v>6455</v>
      </c>
      <c r="B1561" s="22" t="s">
        <v>6456</v>
      </c>
      <c r="C1561" s="26" t="s">
        <v>9132</v>
      </c>
      <c r="D1561" s="24" t="s">
        <v>9131</v>
      </c>
      <c r="E1561" s="22"/>
      <c r="F1561" s="22"/>
      <c r="G1561" s="22"/>
      <c r="H1561" s="22" t="s">
        <v>6452</v>
      </c>
      <c r="I1561" s="25" t="s">
        <v>6457</v>
      </c>
      <c r="J1561" s="22"/>
      <c r="K1561" s="22" t="s">
        <v>6458</v>
      </c>
      <c r="L1561" s="22"/>
      <c r="M1561" s="22" t="str">
        <f>HYPERLINK("https://ceds.ed.gov/cedselementdetails.aspx?termid=22439")</f>
        <v>https://ceds.ed.gov/cedselementdetails.aspx?termid=22439</v>
      </c>
    </row>
    <row r="1562" spans="1:13" x14ac:dyDescent="0.3">
      <c r="A1562" s="22" t="s">
        <v>6459</v>
      </c>
      <c r="B1562" s="22" t="s">
        <v>6460</v>
      </c>
      <c r="C1562" s="23" t="s">
        <v>32</v>
      </c>
      <c r="D1562" s="22" t="s">
        <v>3214</v>
      </c>
      <c r="E1562" s="22"/>
      <c r="F1562" s="22" t="s">
        <v>132</v>
      </c>
      <c r="G1562" s="22"/>
      <c r="H1562" s="22" t="s">
        <v>7945</v>
      </c>
      <c r="I1562" s="25" t="s">
        <v>6461</v>
      </c>
      <c r="J1562" s="22"/>
      <c r="K1562" s="22" t="s">
        <v>6462</v>
      </c>
      <c r="L1562" s="22" t="s">
        <v>226</v>
      </c>
      <c r="M1562" s="22" t="str">
        <f>HYPERLINK("https://ceds.ed.gov/cedselementdetails.aspx?termid=21640")</f>
        <v>https://ceds.ed.gov/cedselementdetails.aspx?termid=21640</v>
      </c>
    </row>
    <row r="1563" spans="1:13" ht="144" x14ac:dyDescent="0.3">
      <c r="A1563" s="22" t="s">
        <v>6463</v>
      </c>
      <c r="B1563" s="22" t="s">
        <v>6464</v>
      </c>
      <c r="C1563" s="26" t="s">
        <v>8512</v>
      </c>
      <c r="D1563" s="24" t="s">
        <v>8513</v>
      </c>
      <c r="E1563" s="22" t="s">
        <v>172</v>
      </c>
      <c r="F1563" s="22"/>
      <c r="G1563" s="22" t="s">
        <v>7946</v>
      </c>
      <c r="H1563" s="22"/>
      <c r="I1563" s="25" t="s">
        <v>6465</v>
      </c>
      <c r="J1563" s="22"/>
      <c r="K1563" s="22" t="s">
        <v>6466</v>
      </c>
      <c r="L1563" s="22" t="s">
        <v>226</v>
      </c>
      <c r="M1563" s="22" t="str">
        <f>HYPERLINK("https://ceds.ed.gov/cedselementdetails.aspx?termid=21588")</f>
        <v>https://ceds.ed.gov/cedselementdetails.aspx?termid=21588</v>
      </c>
    </row>
    <row r="1564" spans="1:13" ht="158.4" x14ac:dyDescent="0.3">
      <c r="A1564" s="22" t="s">
        <v>6467</v>
      </c>
      <c r="B1564" s="22" t="s">
        <v>6468</v>
      </c>
      <c r="C1564" s="26" t="s">
        <v>9133</v>
      </c>
      <c r="D1564" s="22" t="s">
        <v>2517</v>
      </c>
      <c r="E1564" s="22"/>
      <c r="F1564" s="22"/>
      <c r="G1564" s="22"/>
      <c r="H1564" s="22"/>
      <c r="I1564" s="25" t="s">
        <v>6469</v>
      </c>
      <c r="J1564" s="22"/>
      <c r="K1564" s="22" t="s">
        <v>6470</v>
      </c>
      <c r="L1564" s="22" t="s">
        <v>226</v>
      </c>
      <c r="M1564" s="22" t="str">
        <f>HYPERLINK("https://ceds.ed.gov/cedselementdetails.aspx?termid=21232")</f>
        <v>https://ceds.ed.gov/cedselementdetails.aspx?termid=21232</v>
      </c>
    </row>
    <row r="1565" spans="1:13" ht="409.6" x14ac:dyDescent="0.3">
      <c r="A1565" s="22" t="s">
        <v>7656</v>
      </c>
      <c r="B1565" s="22" t="s">
        <v>7657</v>
      </c>
      <c r="C1565" s="26" t="s">
        <v>8514</v>
      </c>
      <c r="D1565" s="24" t="s">
        <v>8515</v>
      </c>
      <c r="E1565" s="22" t="s">
        <v>172</v>
      </c>
      <c r="F1565" s="22"/>
      <c r="G1565" s="22" t="s">
        <v>7995</v>
      </c>
      <c r="H1565" s="22"/>
      <c r="I1565" s="25" t="s">
        <v>7658</v>
      </c>
      <c r="J1565" s="22"/>
      <c r="K1565" s="22" t="s">
        <v>7656</v>
      </c>
      <c r="L1565" s="22"/>
      <c r="M1565" s="22" t="str">
        <f>HYPERLINK("https://ceds.ed.gov/cedselementdetails.aspx?termid=22959")</f>
        <v>https://ceds.ed.gov/cedselementdetails.aspx?termid=22959</v>
      </c>
    </row>
    <row r="1566" spans="1:13" x14ac:dyDescent="0.3">
      <c r="A1566" s="22" t="s">
        <v>6471</v>
      </c>
      <c r="B1566" s="22" t="s">
        <v>6472</v>
      </c>
      <c r="C1566" s="23" t="s">
        <v>32</v>
      </c>
      <c r="D1566" s="22" t="s">
        <v>239</v>
      </c>
      <c r="E1566" s="22"/>
      <c r="F1566" s="22" t="s">
        <v>1518</v>
      </c>
      <c r="G1566" s="22"/>
      <c r="H1566" s="22" t="s">
        <v>368</v>
      </c>
      <c r="I1566" s="25" t="s">
        <v>6473</v>
      </c>
      <c r="J1566" s="22"/>
      <c r="K1566" s="22" t="s">
        <v>6474</v>
      </c>
      <c r="L1566" s="22" t="s">
        <v>1568</v>
      </c>
      <c r="M1566" s="22" t="str">
        <f>HYPERLINK("https://ceds.ed.gov/cedselementdetails.aspx?termid=21728")</f>
        <v>https://ceds.ed.gov/cedselementdetails.aspx?termid=21728</v>
      </c>
    </row>
    <row r="1567" spans="1:13" ht="43.2" x14ac:dyDescent="0.3">
      <c r="A1567" s="22" t="s">
        <v>6475</v>
      </c>
      <c r="B1567" s="22" t="s">
        <v>6476</v>
      </c>
      <c r="C1567" s="23" t="s">
        <v>32</v>
      </c>
      <c r="D1567" s="24" t="s">
        <v>6477</v>
      </c>
      <c r="E1567" s="22"/>
      <c r="F1567" s="22" t="s">
        <v>85</v>
      </c>
      <c r="G1567" s="22"/>
      <c r="H1567" s="22"/>
      <c r="I1567" s="25" t="s">
        <v>6478</v>
      </c>
      <c r="J1567" s="22"/>
      <c r="K1567" s="22" t="s">
        <v>6479</v>
      </c>
      <c r="L1567" s="22"/>
      <c r="M1567" s="22" t="str">
        <f>HYPERLINK("https://ceds.ed.gov/cedselementdetails.aspx?termid=22441")</f>
        <v>https://ceds.ed.gov/cedselementdetails.aspx?termid=22441</v>
      </c>
    </row>
    <row r="1568" spans="1:13" ht="43.2" x14ac:dyDescent="0.3">
      <c r="A1568" s="22" t="s">
        <v>6480</v>
      </c>
      <c r="B1568" s="22" t="s">
        <v>6481</v>
      </c>
      <c r="C1568" s="23" t="s">
        <v>32</v>
      </c>
      <c r="D1568" s="24" t="s">
        <v>6477</v>
      </c>
      <c r="E1568" s="22"/>
      <c r="F1568" s="22" t="s">
        <v>328</v>
      </c>
      <c r="G1568" s="22"/>
      <c r="H1568" s="22"/>
      <c r="I1568" s="25" t="s">
        <v>6482</v>
      </c>
      <c r="J1568" s="22"/>
      <c r="K1568" s="22" t="s">
        <v>6483</v>
      </c>
      <c r="L1568" s="22"/>
      <c r="M1568" s="22" t="str">
        <f>HYPERLINK("https://ceds.ed.gov/cedselementdetails.aspx?termid=22442")</f>
        <v>https://ceds.ed.gov/cedselementdetails.aspx?termid=22442</v>
      </c>
    </row>
    <row r="1569" spans="1:13" ht="43.2" x14ac:dyDescent="0.3">
      <c r="A1569" s="22" t="s">
        <v>6484</v>
      </c>
      <c r="B1569" s="22" t="s">
        <v>8298</v>
      </c>
      <c r="C1569" s="23" t="s">
        <v>32</v>
      </c>
      <c r="D1569" s="24" t="s">
        <v>6477</v>
      </c>
      <c r="E1569" s="22"/>
      <c r="F1569" s="22" t="s">
        <v>328</v>
      </c>
      <c r="G1569" s="22"/>
      <c r="H1569" s="22"/>
      <c r="I1569" s="25" t="s">
        <v>6485</v>
      </c>
      <c r="J1569" s="22"/>
      <c r="K1569" s="22" t="s">
        <v>6486</v>
      </c>
      <c r="L1569" s="22"/>
      <c r="M1569" s="22" t="str">
        <f>HYPERLINK("https://ceds.ed.gov/cedselementdetails.aspx?termid=22443")</f>
        <v>https://ceds.ed.gov/cedselementdetails.aspx?termid=22443</v>
      </c>
    </row>
    <row r="1570" spans="1:13" ht="43.2" x14ac:dyDescent="0.3">
      <c r="A1570" s="22" t="s">
        <v>6487</v>
      </c>
      <c r="B1570" s="22" t="s">
        <v>8299</v>
      </c>
      <c r="C1570" s="23" t="s">
        <v>32</v>
      </c>
      <c r="D1570" s="24" t="s">
        <v>6477</v>
      </c>
      <c r="E1570" s="22"/>
      <c r="F1570" s="22" t="s">
        <v>328</v>
      </c>
      <c r="G1570" s="22"/>
      <c r="H1570" s="22"/>
      <c r="I1570" s="25" t="s">
        <v>6488</v>
      </c>
      <c r="J1570" s="22"/>
      <c r="K1570" s="22" t="s">
        <v>6489</v>
      </c>
      <c r="L1570" s="22"/>
      <c r="M1570" s="22" t="str">
        <f>HYPERLINK("https://ceds.ed.gov/cedselementdetails.aspx?termid=22444")</f>
        <v>https://ceds.ed.gov/cedselementdetails.aspx?termid=22444</v>
      </c>
    </row>
    <row r="1571" spans="1:13" ht="43.2" x14ac:dyDescent="0.3">
      <c r="A1571" s="22" t="s">
        <v>6490</v>
      </c>
      <c r="B1571" s="22" t="s">
        <v>6491</v>
      </c>
      <c r="C1571" s="23" t="s">
        <v>32</v>
      </c>
      <c r="D1571" s="24" t="s">
        <v>6477</v>
      </c>
      <c r="E1571" s="22"/>
      <c r="F1571" s="22" t="s">
        <v>148</v>
      </c>
      <c r="G1571" s="22"/>
      <c r="H1571" s="22"/>
      <c r="I1571" s="25" t="s">
        <v>6492</v>
      </c>
      <c r="J1571" s="22"/>
      <c r="K1571" s="22" t="s">
        <v>6493</v>
      </c>
      <c r="L1571" s="22"/>
      <c r="M1571" s="22" t="str">
        <f>HYPERLINK("https://ceds.ed.gov/cedselementdetails.aspx?termid=22445")</f>
        <v>https://ceds.ed.gov/cedselementdetails.aspx?termid=22445</v>
      </c>
    </row>
    <row r="1572" spans="1:13" ht="43.2" x14ac:dyDescent="0.3">
      <c r="A1572" s="22" t="s">
        <v>6494</v>
      </c>
      <c r="B1572" s="22" t="s">
        <v>6495</v>
      </c>
      <c r="C1572" s="23" t="s">
        <v>32</v>
      </c>
      <c r="D1572" s="24" t="s">
        <v>6477</v>
      </c>
      <c r="E1572" s="22"/>
      <c r="F1572" s="22" t="s">
        <v>157</v>
      </c>
      <c r="G1572" s="22"/>
      <c r="H1572" s="22"/>
      <c r="I1572" s="25" t="s">
        <v>6496</v>
      </c>
      <c r="J1572" s="22"/>
      <c r="K1572" s="22" t="s">
        <v>6497</v>
      </c>
      <c r="L1572" s="22"/>
      <c r="M1572" s="22" t="str">
        <f>HYPERLINK("https://ceds.ed.gov/cedselementdetails.aspx?termid=22446")</f>
        <v>https://ceds.ed.gov/cedselementdetails.aspx?termid=22446</v>
      </c>
    </row>
    <row r="1573" spans="1:13" ht="43.2" x14ac:dyDescent="0.3">
      <c r="A1573" s="22" t="s">
        <v>6498</v>
      </c>
      <c r="B1573" s="22" t="s">
        <v>6499</v>
      </c>
      <c r="C1573" s="23" t="s">
        <v>32</v>
      </c>
      <c r="D1573" s="24" t="s">
        <v>6477</v>
      </c>
      <c r="E1573" s="22"/>
      <c r="F1573" s="22" t="s">
        <v>148</v>
      </c>
      <c r="G1573" s="22"/>
      <c r="H1573" s="22"/>
      <c r="I1573" s="25" t="s">
        <v>6500</v>
      </c>
      <c r="J1573" s="22"/>
      <c r="K1573" s="22" t="s">
        <v>6501</v>
      </c>
      <c r="L1573" s="22"/>
      <c r="M1573" s="22" t="str">
        <f>HYPERLINK("https://ceds.ed.gov/cedselementdetails.aspx?termid=22447")</f>
        <v>https://ceds.ed.gov/cedselementdetails.aspx?termid=22447</v>
      </c>
    </row>
    <row r="1574" spans="1:13" ht="43.2" x14ac:dyDescent="0.3">
      <c r="A1574" s="22" t="s">
        <v>6502</v>
      </c>
      <c r="B1574" s="22" t="s">
        <v>6503</v>
      </c>
      <c r="C1574" s="23" t="s">
        <v>32</v>
      </c>
      <c r="D1574" s="24" t="s">
        <v>6477</v>
      </c>
      <c r="E1574" s="22"/>
      <c r="F1574" s="22" t="s">
        <v>148</v>
      </c>
      <c r="G1574" s="22"/>
      <c r="H1574" s="22"/>
      <c r="I1574" s="25" t="s">
        <v>6504</v>
      </c>
      <c r="J1574" s="22"/>
      <c r="K1574" s="22" t="s">
        <v>6505</v>
      </c>
      <c r="L1574" s="22"/>
      <c r="M1574" s="22" t="str">
        <f>HYPERLINK("https://ceds.ed.gov/cedselementdetails.aspx?termid=22448")</f>
        <v>https://ceds.ed.gov/cedselementdetails.aspx?termid=22448</v>
      </c>
    </row>
    <row r="1575" spans="1:13" ht="43.2" x14ac:dyDescent="0.3">
      <c r="A1575" s="22" t="s">
        <v>6506</v>
      </c>
      <c r="B1575" s="22" t="s">
        <v>6507</v>
      </c>
      <c r="C1575" s="23" t="s">
        <v>32</v>
      </c>
      <c r="D1575" s="24" t="s">
        <v>6477</v>
      </c>
      <c r="E1575" s="22"/>
      <c r="F1575" s="22" t="s">
        <v>157</v>
      </c>
      <c r="G1575" s="22"/>
      <c r="H1575" s="22"/>
      <c r="I1575" s="25" t="s">
        <v>6508</v>
      </c>
      <c r="J1575" s="22"/>
      <c r="K1575" s="22" t="s">
        <v>6509</v>
      </c>
      <c r="L1575" s="22"/>
      <c r="M1575" s="22" t="str">
        <f>HYPERLINK("https://ceds.ed.gov/cedselementdetails.aspx?termid=22449")</f>
        <v>https://ceds.ed.gov/cedselementdetails.aspx?termid=22449</v>
      </c>
    </row>
    <row r="1576" spans="1:13" ht="43.2" x14ac:dyDescent="0.3">
      <c r="A1576" s="22" t="s">
        <v>6510</v>
      </c>
      <c r="B1576" s="22" t="s">
        <v>6511</v>
      </c>
      <c r="C1576" s="23" t="s">
        <v>32</v>
      </c>
      <c r="D1576" s="24" t="s">
        <v>6477</v>
      </c>
      <c r="E1576" s="22"/>
      <c r="F1576" s="22" t="s">
        <v>148</v>
      </c>
      <c r="G1576" s="22"/>
      <c r="H1576" s="22"/>
      <c r="I1576" s="25" t="s">
        <v>6512</v>
      </c>
      <c r="J1576" s="22"/>
      <c r="K1576" s="22" t="s">
        <v>6513</v>
      </c>
      <c r="L1576" s="22"/>
      <c r="M1576" s="22" t="str">
        <f>HYPERLINK("https://ceds.ed.gov/cedselementdetails.aspx?termid=22450")</f>
        <v>https://ceds.ed.gov/cedselementdetails.aspx?termid=22450</v>
      </c>
    </row>
    <row r="1577" spans="1:13" ht="43.2" x14ac:dyDescent="0.3">
      <c r="A1577" s="22" t="s">
        <v>6514</v>
      </c>
      <c r="B1577" s="22" t="s">
        <v>6515</v>
      </c>
      <c r="C1577" s="23" t="s">
        <v>32</v>
      </c>
      <c r="D1577" s="24" t="s">
        <v>6477</v>
      </c>
      <c r="E1577" s="22"/>
      <c r="F1577" s="22" t="s">
        <v>328</v>
      </c>
      <c r="G1577" s="22"/>
      <c r="H1577" s="22"/>
      <c r="I1577" s="25" t="s">
        <v>6516</v>
      </c>
      <c r="J1577" s="22"/>
      <c r="K1577" s="22" t="s">
        <v>6517</v>
      </c>
      <c r="L1577" s="22"/>
      <c r="M1577" s="22" t="str">
        <f>HYPERLINK("https://ceds.ed.gov/cedselementdetails.aspx?termid=22451")</f>
        <v>https://ceds.ed.gov/cedselementdetails.aspx?termid=22451</v>
      </c>
    </row>
    <row r="1578" spans="1:13" ht="43.2" x14ac:dyDescent="0.3">
      <c r="A1578" s="22" t="s">
        <v>6518</v>
      </c>
      <c r="B1578" s="22" t="s">
        <v>6519</v>
      </c>
      <c r="C1578" s="23" t="s">
        <v>32</v>
      </c>
      <c r="D1578" s="24" t="s">
        <v>6477</v>
      </c>
      <c r="E1578" s="22"/>
      <c r="F1578" s="22" t="s">
        <v>132</v>
      </c>
      <c r="G1578" s="22"/>
      <c r="H1578" s="22" t="s">
        <v>7945</v>
      </c>
      <c r="I1578" s="25" t="s">
        <v>6520</v>
      </c>
      <c r="J1578" s="22"/>
      <c r="K1578" s="22" t="s">
        <v>6521</v>
      </c>
      <c r="L1578" s="24" t="s">
        <v>638</v>
      </c>
      <c r="M1578" s="22" t="str">
        <f>HYPERLINK("https://ceds.ed.gov/cedselementdetails.aspx?termid=21412")</f>
        <v>https://ceds.ed.gov/cedselementdetails.aspx?termid=21412</v>
      </c>
    </row>
    <row r="1579" spans="1:13" ht="43.2" x14ac:dyDescent="0.3">
      <c r="A1579" s="22" t="s">
        <v>6522</v>
      </c>
      <c r="B1579" s="22" t="s">
        <v>6523</v>
      </c>
      <c r="C1579" s="23" t="s">
        <v>32</v>
      </c>
      <c r="D1579" s="24" t="s">
        <v>6477</v>
      </c>
      <c r="E1579" s="22"/>
      <c r="F1579" s="22" t="s">
        <v>85</v>
      </c>
      <c r="G1579" s="22"/>
      <c r="H1579" s="22"/>
      <c r="I1579" s="25" t="s">
        <v>6524</v>
      </c>
      <c r="J1579" s="22"/>
      <c r="K1579" s="22" t="s">
        <v>6525</v>
      </c>
      <c r="L1579" s="24" t="s">
        <v>638</v>
      </c>
      <c r="M1579" s="22" t="str">
        <f>HYPERLINK("https://ceds.ed.gov/cedselementdetails.aspx?termid=21411")</f>
        <v>https://ceds.ed.gov/cedselementdetails.aspx?termid=21411</v>
      </c>
    </row>
    <row r="1580" spans="1:13" ht="43.2" x14ac:dyDescent="0.3">
      <c r="A1580" s="22" t="s">
        <v>6526</v>
      </c>
      <c r="B1580" s="22" t="s">
        <v>6527</v>
      </c>
      <c r="C1580" s="23" t="s">
        <v>32</v>
      </c>
      <c r="D1580" s="24" t="s">
        <v>6477</v>
      </c>
      <c r="E1580" s="22"/>
      <c r="F1580" s="22" t="s">
        <v>50</v>
      </c>
      <c r="G1580" s="22"/>
      <c r="H1580" s="22"/>
      <c r="I1580" s="25" t="s">
        <v>6528</v>
      </c>
      <c r="J1580" s="22"/>
      <c r="K1580" s="22" t="s">
        <v>6529</v>
      </c>
      <c r="L1580" s="24" t="s">
        <v>638</v>
      </c>
      <c r="M1580" s="22" t="str">
        <f>HYPERLINK("https://ceds.ed.gov/cedselementdetails.aspx?termid=21413")</f>
        <v>https://ceds.ed.gov/cedselementdetails.aspx?termid=21413</v>
      </c>
    </row>
    <row r="1581" spans="1:13" ht="57.6" x14ac:dyDescent="0.3">
      <c r="A1581" s="22" t="s">
        <v>6530</v>
      </c>
      <c r="B1581" s="22" t="s">
        <v>6531</v>
      </c>
      <c r="C1581" s="26" t="s">
        <v>8599</v>
      </c>
      <c r="D1581" s="22" t="s">
        <v>1536</v>
      </c>
      <c r="E1581" s="22"/>
      <c r="F1581" s="22"/>
      <c r="G1581" s="22"/>
      <c r="H1581" s="22"/>
      <c r="I1581" s="25" t="s">
        <v>6532</v>
      </c>
      <c r="J1581" s="22" t="s">
        <v>6533</v>
      </c>
      <c r="K1581" s="22" t="s">
        <v>6534</v>
      </c>
      <c r="L1581" s="22" t="s">
        <v>226</v>
      </c>
      <c r="M1581" s="22" t="str">
        <f>HYPERLINK("https://ceds.ed.gov/cedselementdetails.aspx?termid=21552")</f>
        <v>https://ceds.ed.gov/cedselementdetails.aspx?termid=21552</v>
      </c>
    </row>
    <row r="1582" spans="1:13" ht="43.2" x14ac:dyDescent="0.3">
      <c r="A1582" s="22" t="s">
        <v>6535</v>
      </c>
      <c r="B1582" s="22" t="s">
        <v>6536</v>
      </c>
      <c r="C1582" s="26" t="s">
        <v>22</v>
      </c>
      <c r="D1582" s="22" t="s">
        <v>3209</v>
      </c>
      <c r="E1582" s="22"/>
      <c r="F1582" s="22"/>
      <c r="G1582" s="22"/>
      <c r="H1582" s="22"/>
      <c r="I1582" s="25" t="s">
        <v>6537</v>
      </c>
      <c r="J1582" s="22"/>
      <c r="K1582" s="22" t="s">
        <v>6538</v>
      </c>
      <c r="L1582" s="22"/>
      <c r="M1582" s="22" t="str">
        <f>HYPERLINK("https://ceds.ed.gov/cedselementdetails.aspx?termid=21761")</f>
        <v>https://ceds.ed.gov/cedselementdetails.aspx?termid=21761</v>
      </c>
    </row>
    <row r="1583" spans="1:13" x14ac:dyDescent="0.3">
      <c r="A1583" s="22" t="s">
        <v>6539</v>
      </c>
      <c r="B1583" s="22" t="s">
        <v>6540</v>
      </c>
      <c r="C1583" s="23" t="s">
        <v>32</v>
      </c>
      <c r="D1583" s="22" t="s">
        <v>6541</v>
      </c>
      <c r="E1583" s="22"/>
      <c r="F1583" s="22" t="s">
        <v>157</v>
      </c>
      <c r="G1583" s="22"/>
      <c r="H1583" s="22"/>
      <c r="I1583" s="25" t="s">
        <v>6542</v>
      </c>
      <c r="J1583" s="22"/>
      <c r="K1583" s="22" t="s">
        <v>6543</v>
      </c>
      <c r="L1583" s="22" t="s">
        <v>214</v>
      </c>
      <c r="M1583" s="22" t="str">
        <f>HYPERLINK("https://ceds.ed.gov/cedselementdetails.aspx?termid=21468")</f>
        <v>https://ceds.ed.gov/cedselementdetails.aspx?termid=21468</v>
      </c>
    </row>
    <row r="1584" spans="1:13" x14ac:dyDescent="0.3">
      <c r="A1584" s="22" t="s">
        <v>6544</v>
      </c>
      <c r="B1584" s="22" t="s">
        <v>6545</v>
      </c>
      <c r="C1584" s="23" t="s">
        <v>32</v>
      </c>
      <c r="D1584" s="22" t="s">
        <v>6541</v>
      </c>
      <c r="E1584" s="22"/>
      <c r="F1584" s="22" t="s">
        <v>1165</v>
      </c>
      <c r="G1584" s="22"/>
      <c r="H1584" s="22"/>
      <c r="I1584" s="25" t="s">
        <v>6546</v>
      </c>
      <c r="J1584" s="22"/>
      <c r="K1584" s="22" t="s">
        <v>6547</v>
      </c>
      <c r="L1584" s="22" t="s">
        <v>214</v>
      </c>
      <c r="M1584" s="22" t="str">
        <f>HYPERLINK("https://ceds.ed.gov/cedselementdetails.aspx?termid=21469")</f>
        <v>https://ceds.ed.gov/cedselementdetails.aspx?termid=21469</v>
      </c>
    </row>
    <row r="1585" spans="1:13" x14ac:dyDescent="0.3">
      <c r="A1585" s="22" t="s">
        <v>6548</v>
      </c>
      <c r="B1585" s="22" t="s">
        <v>8300</v>
      </c>
      <c r="C1585" s="23" t="s">
        <v>32</v>
      </c>
      <c r="D1585" s="22" t="s">
        <v>6541</v>
      </c>
      <c r="E1585" s="22"/>
      <c r="F1585" s="22" t="s">
        <v>157</v>
      </c>
      <c r="G1585" s="22"/>
      <c r="H1585" s="22"/>
      <c r="I1585" s="25" t="s">
        <v>6549</v>
      </c>
      <c r="J1585" s="22"/>
      <c r="K1585" s="22" t="s">
        <v>6550</v>
      </c>
      <c r="L1585" s="22" t="s">
        <v>214</v>
      </c>
      <c r="M1585" s="22" t="str">
        <f>HYPERLINK("https://ceds.ed.gov/cedselementdetails.aspx?termid=21463")</f>
        <v>https://ceds.ed.gov/cedselementdetails.aspx?termid=21463</v>
      </c>
    </row>
    <row r="1586" spans="1:13" x14ac:dyDescent="0.3">
      <c r="A1586" s="22" t="s">
        <v>6551</v>
      </c>
      <c r="B1586" s="22" t="s">
        <v>6552</v>
      </c>
      <c r="C1586" s="23" t="s">
        <v>32</v>
      </c>
      <c r="D1586" s="22" t="s">
        <v>6541</v>
      </c>
      <c r="E1586" s="22"/>
      <c r="F1586" s="22" t="s">
        <v>157</v>
      </c>
      <c r="G1586" s="22"/>
      <c r="H1586" s="22"/>
      <c r="I1586" s="25" t="s">
        <v>6553</v>
      </c>
      <c r="J1586" s="22"/>
      <c r="K1586" s="22" t="s">
        <v>6554</v>
      </c>
      <c r="L1586" s="22" t="s">
        <v>214</v>
      </c>
      <c r="M1586" s="22" t="str">
        <f>HYPERLINK("https://ceds.ed.gov/cedselementdetails.aspx?termid=21461")</f>
        <v>https://ceds.ed.gov/cedselementdetails.aspx?termid=21461</v>
      </c>
    </row>
    <row r="1587" spans="1:13" x14ac:dyDescent="0.3">
      <c r="A1587" s="22" t="s">
        <v>6555</v>
      </c>
      <c r="B1587" s="22" t="s">
        <v>6556</v>
      </c>
      <c r="C1587" s="23" t="s">
        <v>32</v>
      </c>
      <c r="D1587" s="22" t="s">
        <v>6541</v>
      </c>
      <c r="E1587" s="22"/>
      <c r="F1587" s="22" t="s">
        <v>780</v>
      </c>
      <c r="G1587" s="22"/>
      <c r="H1587" s="22"/>
      <c r="I1587" s="25" t="s">
        <v>6557</v>
      </c>
      <c r="J1587" s="22"/>
      <c r="K1587" s="22" t="s">
        <v>6558</v>
      </c>
      <c r="L1587" s="22" t="s">
        <v>214</v>
      </c>
      <c r="M1587" s="22" t="str">
        <f>HYPERLINK("https://ceds.ed.gov/cedselementdetails.aspx?termid=21462")</f>
        <v>https://ceds.ed.gov/cedselementdetails.aspx?termid=21462</v>
      </c>
    </row>
    <row r="1588" spans="1:13" x14ac:dyDescent="0.3">
      <c r="A1588" s="22" t="s">
        <v>6559</v>
      </c>
      <c r="B1588" s="22" t="s">
        <v>8301</v>
      </c>
      <c r="C1588" s="23" t="s">
        <v>32</v>
      </c>
      <c r="D1588" s="22" t="s">
        <v>6541</v>
      </c>
      <c r="E1588" s="22"/>
      <c r="F1588" s="22" t="s">
        <v>1165</v>
      </c>
      <c r="G1588" s="22"/>
      <c r="H1588" s="22"/>
      <c r="I1588" s="25" t="s">
        <v>6560</v>
      </c>
      <c r="J1588" s="22"/>
      <c r="K1588" s="22" t="s">
        <v>6561</v>
      </c>
      <c r="L1588" s="22" t="s">
        <v>214</v>
      </c>
      <c r="M1588" s="22" t="str">
        <f>HYPERLINK("https://ceds.ed.gov/cedselementdetails.aspx?termid=21466")</f>
        <v>https://ceds.ed.gov/cedselementdetails.aspx?termid=21466</v>
      </c>
    </row>
    <row r="1589" spans="1:13" x14ac:dyDescent="0.3">
      <c r="A1589" s="22" t="s">
        <v>6562</v>
      </c>
      <c r="B1589" s="22" t="s">
        <v>8302</v>
      </c>
      <c r="C1589" s="23" t="s">
        <v>32</v>
      </c>
      <c r="D1589" s="22" t="s">
        <v>6541</v>
      </c>
      <c r="E1589" s="22"/>
      <c r="F1589" s="22" t="s">
        <v>1165</v>
      </c>
      <c r="G1589" s="22"/>
      <c r="H1589" s="22"/>
      <c r="I1589" s="25" t="s">
        <v>6563</v>
      </c>
      <c r="J1589" s="22"/>
      <c r="K1589" s="22" t="s">
        <v>6564</v>
      </c>
      <c r="L1589" s="22" t="s">
        <v>214</v>
      </c>
      <c r="M1589" s="22" t="str">
        <f>HYPERLINK("https://ceds.ed.gov/cedselementdetails.aspx?termid=21465")</f>
        <v>https://ceds.ed.gov/cedselementdetails.aspx?termid=21465</v>
      </c>
    </row>
    <row r="1590" spans="1:13" x14ac:dyDescent="0.3">
      <c r="A1590" s="22" t="s">
        <v>6565</v>
      </c>
      <c r="B1590" s="22" t="s">
        <v>6566</v>
      </c>
      <c r="C1590" s="23" t="s">
        <v>32</v>
      </c>
      <c r="D1590" s="22" t="s">
        <v>6541</v>
      </c>
      <c r="E1590" s="22"/>
      <c r="F1590" s="22" t="s">
        <v>1165</v>
      </c>
      <c r="G1590" s="22"/>
      <c r="H1590" s="22"/>
      <c r="I1590" s="25" t="s">
        <v>6567</v>
      </c>
      <c r="J1590" s="22"/>
      <c r="K1590" s="22" t="s">
        <v>6568</v>
      </c>
      <c r="L1590" s="22" t="s">
        <v>214</v>
      </c>
      <c r="M1590" s="22" t="str">
        <f>HYPERLINK("https://ceds.ed.gov/cedselementdetails.aspx?termid=21464")</f>
        <v>https://ceds.ed.gov/cedselementdetails.aspx?termid=21464</v>
      </c>
    </row>
    <row r="1591" spans="1:13" ht="43.2" x14ac:dyDescent="0.3">
      <c r="A1591" s="22" t="s">
        <v>6569</v>
      </c>
      <c r="B1591" s="22" t="s">
        <v>6570</v>
      </c>
      <c r="C1591" s="26" t="s">
        <v>22</v>
      </c>
      <c r="D1591" s="22" t="s">
        <v>2490</v>
      </c>
      <c r="E1591" s="22"/>
      <c r="F1591" s="22"/>
      <c r="G1591" s="22"/>
      <c r="H1591" s="22"/>
      <c r="I1591" s="25" t="s">
        <v>6571</v>
      </c>
      <c r="J1591" s="22"/>
      <c r="K1591" s="22" t="s">
        <v>6572</v>
      </c>
      <c r="L1591" s="22" t="s">
        <v>2493</v>
      </c>
      <c r="M1591" s="22" t="str">
        <f>HYPERLINK("https://ceds.ed.gov/cedselementdetails.aspx?termid=21234")</f>
        <v>https://ceds.ed.gov/cedselementdetails.aspx?termid=21234</v>
      </c>
    </row>
    <row r="1592" spans="1:13" ht="230.4" x14ac:dyDescent="0.3">
      <c r="A1592" s="22" t="s">
        <v>6573</v>
      </c>
      <c r="B1592" s="22" t="s">
        <v>6574</v>
      </c>
      <c r="C1592" s="26" t="s">
        <v>9134</v>
      </c>
      <c r="D1592" s="22" t="s">
        <v>8303</v>
      </c>
      <c r="E1592" s="22"/>
      <c r="F1592" s="22"/>
      <c r="G1592" s="22"/>
      <c r="H1592" s="22"/>
      <c r="I1592" s="25" t="s">
        <v>6575</v>
      </c>
      <c r="J1592" s="22"/>
      <c r="K1592" s="22" t="s">
        <v>6576</v>
      </c>
      <c r="L1592" s="22"/>
      <c r="M1592" s="22" t="str">
        <f>HYPERLINK("https://ceds.ed.gov/cedselementdetails.aspx?termid=22602")</f>
        <v>https://ceds.ed.gov/cedselementdetails.aspx?termid=22602</v>
      </c>
    </row>
    <row r="1593" spans="1:13" ht="43.2" x14ac:dyDescent="0.3">
      <c r="A1593" s="22" t="s">
        <v>6577</v>
      </c>
      <c r="B1593" s="22" t="s">
        <v>6578</v>
      </c>
      <c r="C1593" s="26" t="s">
        <v>22</v>
      </c>
      <c r="D1593" s="22" t="s">
        <v>6579</v>
      </c>
      <c r="E1593" s="22"/>
      <c r="F1593" s="22"/>
      <c r="G1593" s="22"/>
      <c r="H1593" s="22"/>
      <c r="I1593" s="25" t="s">
        <v>6580</v>
      </c>
      <c r="J1593" s="22"/>
      <c r="K1593" s="22" t="s">
        <v>6581</v>
      </c>
      <c r="L1593" s="22" t="s">
        <v>226</v>
      </c>
      <c r="M1593" s="22" t="str">
        <f>HYPERLINK("https://ceds.ed.gov/cedselementdetails.aspx?termid=21235")</f>
        <v>https://ceds.ed.gov/cedselementdetails.aspx?termid=21235</v>
      </c>
    </row>
    <row r="1594" spans="1:13" ht="43.2" x14ac:dyDescent="0.3">
      <c r="A1594" s="22" t="s">
        <v>6582</v>
      </c>
      <c r="B1594" s="22" t="s">
        <v>6583</v>
      </c>
      <c r="C1594" s="26" t="s">
        <v>22</v>
      </c>
      <c r="D1594" s="22" t="s">
        <v>6579</v>
      </c>
      <c r="E1594" s="22"/>
      <c r="F1594" s="22"/>
      <c r="G1594" s="22"/>
      <c r="H1594" s="22" t="s">
        <v>6584</v>
      </c>
      <c r="I1594" s="25" t="s">
        <v>6585</v>
      </c>
      <c r="J1594" s="22"/>
      <c r="K1594" s="22" t="s">
        <v>6586</v>
      </c>
      <c r="L1594" s="22" t="s">
        <v>226</v>
      </c>
      <c r="M1594" s="22" t="str">
        <f>HYPERLINK("https://ceds.ed.gov/cedselementdetails.aspx?termid=21236")</f>
        <v>https://ceds.ed.gov/cedselementdetails.aspx?termid=21236</v>
      </c>
    </row>
    <row r="1595" spans="1:13" ht="72" x14ac:dyDescent="0.3">
      <c r="A1595" s="22" t="s">
        <v>6587</v>
      </c>
      <c r="B1595" s="22" t="s">
        <v>8304</v>
      </c>
      <c r="C1595" s="26" t="s">
        <v>22</v>
      </c>
      <c r="D1595" s="22" t="s">
        <v>6579</v>
      </c>
      <c r="E1595" s="22"/>
      <c r="F1595" s="22"/>
      <c r="G1595" s="22"/>
      <c r="H1595" s="22"/>
      <c r="I1595" s="25" t="s">
        <v>6588</v>
      </c>
      <c r="J1595" s="22"/>
      <c r="K1595" s="22" t="s">
        <v>6589</v>
      </c>
      <c r="L1595" s="24" t="s">
        <v>64</v>
      </c>
      <c r="M1595" s="22" t="str">
        <f>HYPERLINK("https://ceds.ed.gov/cedselementdetails.aspx?termid=21237")</f>
        <v>https://ceds.ed.gov/cedselementdetails.aspx?termid=21237</v>
      </c>
    </row>
    <row r="1596" spans="1:13" ht="100.8" x14ac:dyDescent="0.3">
      <c r="A1596" s="22" t="s">
        <v>6590</v>
      </c>
      <c r="B1596" s="22" t="s">
        <v>6591</v>
      </c>
      <c r="C1596" s="23" t="s">
        <v>7423</v>
      </c>
      <c r="D1596" s="24" t="s">
        <v>8516</v>
      </c>
      <c r="E1596" s="22" t="s">
        <v>172</v>
      </c>
      <c r="F1596" s="22"/>
      <c r="G1596" s="22" t="s">
        <v>8305</v>
      </c>
      <c r="H1596" s="22" t="s">
        <v>8306</v>
      </c>
      <c r="I1596" s="25" t="s">
        <v>6592</v>
      </c>
      <c r="J1596" s="22" t="s">
        <v>6593</v>
      </c>
      <c r="K1596" s="22" t="s">
        <v>6594</v>
      </c>
      <c r="L1596" s="22"/>
      <c r="M1596" s="22" t="str">
        <f>HYPERLINK("https://ceds.ed.gov/cedselementdetails.aspx?termid=22490")</f>
        <v>https://ceds.ed.gov/cedselementdetails.aspx?termid=22490</v>
      </c>
    </row>
    <row r="1597" spans="1:13" ht="100.8" x14ac:dyDescent="0.3">
      <c r="A1597" s="22" t="s">
        <v>6595</v>
      </c>
      <c r="B1597" s="22" t="s">
        <v>8307</v>
      </c>
      <c r="C1597" s="26" t="s">
        <v>8517</v>
      </c>
      <c r="D1597" s="24" t="s">
        <v>8516</v>
      </c>
      <c r="E1597" s="22" t="s">
        <v>172</v>
      </c>
      <c r="F1597" s="22"/>
      <c r="G1597" s="22" t="s">
        <v>7946</v>
      </c>
      <c r="H1597" s="22"/>
      <c r="I1597" s="25" t="s">
        <v>6596</v>
      </c>
      <c r="J1597" s="22" t="s">
        <v>6597</v>
      </c>
      <c r="K1597" s="22" t="s">
        <v>6598</v>
      </c>
      <c r="L1597" s="22"/>
      <c r="M1597" s="22" t="str">
        <f>HYPERLINK("https://ceds.ed.gov/cedselementdetails.aspx?termid=22488")</f>
        <v>https://ceds.ed.gov/cedselementdetails.aspx?termid=22488</v>
      </c>
    </row>
    <row r="1598" spans="1:13" ht="403.2" x14ac:dyDescent="0.3">
      <c r="A1598" s="22" t="s">
        <v>6599</v>
      </c>
      <c r="B1598" s="22" t="s">
        <v>6600</v>
      </c>
      <c r="C1598" s="26" t="s">
        <v>8518</v>
      </c>
      <c r="D1598" s="24" t="s">
        <v>8519</v>
      </c>
      <c r="E1598" s="22" t="s">
        <v>172</v>
      </c>
      <c r="F1598" s="22"/>
      <c r="G1598" s="22" t="s">
        <v>7946</v>
      </c>
      <c r="H1598" s="22" t="s">
        <v>8308</v>
      </c>
      <c r="I1598" s="25" t="s">
        <v>6601</v>
      </c>
      <c r="J1598" s="22" t="s">
        <v>6602</v>
      </c>
      <c r="K1598" s="22" t="s">
        <v>6603</v>
      </c>
      <c r="L1598" s="22"/>
      <c r="M1598" s="22" t="str">
        <f>HYPERLINK("https://ceds.ed.gov/cedselementdetails.aspx?termid=22491")</f>
        <v>https://ceds.ed.gov/cedselementdetails.aspx?termid=22491</v>
      </c>
    </row>
    <row r="1599" spans="1:13" ht="43.2" x14ac:dyDescent="0.3">
      <c r="A1599" s="22" t="s">
        <v>6604</v>
      </c>
      <c r="B1599" s="22" t="s">
        <v>6605</v>
      </c>
      <c r="C1599" s="23" t="s">
        <v>32</v>
      </c>
      <c r="D1599" s="24" t="s">
        <v>6606</v>
      </c>
      <c r="E1599" s="22"/>
      <c r="F1599" s="22" t="s">
        <v>6607</v>
      </c>
      <c r="G1599" s="22"/>
      <c r="H1599" s="22" t="s">
        <v>8309</v>
      </c>
      <c r="I1599" s="25" t="s">
        <v>6608</v>
      </c>
      <c r="J1599" s="22" t="s">
        <v>6609</v>
      </c>
      <c r="K1599" s="22" t="s">
        <v>6610</v>
      </c>
      <c r="L1599" s="22"/>
      <c r="M1599" s="22" t="str">
        <f>HYPERLINK("https://ceds.ed.gov/cedselementdetails.aspx?termid=22452")</f>
        <v>https://ceds.ed.gov/cedselementdetails.aspx?termid=22452</v>
      </c>
    </row>
    <row r="1600" spans="1:13" ht="187.2" x14ac:dyDescent="0.3">
      <c r="A1600" s="22" t="s">
        <v>6611</v>
      </c>
      <c r="B1600" s="22" t="s">
        <v>6612</v>
      </c>
      <c r="C1600" s="23" t="s">
        <v>32</v>
      </c>
      <c r="D1600" s="24" t="s">
        <v>8520</v>
      </c>
      <c r="E1600" s="22" t="s">
        <v>172</v>
      </c>
      <c r="F1600" s="22" t="s">
        <v>2743</v>
      </c>
      <c r="G1600" s="22" t="s">
        <v>7946</v>
      </c>
      <c r="H1600" s="22" t="s">
        <v>6613</v>
      </c>
      <c r="I1600" s="25" t="s">
        <v>6614</v>
      </c>
      <c r="J1600" s="22" t="s">
        <v>6615</v>
      </c>
      <c r="K1600" s="22" t="s">
        <v>6616</v>
      </c>
      <c r="L1600" s="24" t="s">
        <v>1521</v>
      </c>
      <c r="M1600" s="22" t="str">
        <f>HYPERLINK("https://ceds.ed.gov/cedselementdetails.aspx?termid=21250")</f>
        <v>https://ceds.ed.gov/cedselementdetails.aspx?termid=21250</v>
      </c>
    </row>
    <row r="1601" spans="1:13" ht="43.2" x14ac:dyDescent="0.3">
      <c r="A1601" s="22" t="s">
        <v>6617</v>
      </c>
      <c r="B1601" s="22" t="s">
        <v>6618</v>
      </c>
      <c r="C1601" s="26" t="s">
        <v>22</v>
      </c>
      <c r="D1601" s="22" t="s">
        <v>1202</v>
      </c>
      <c r="E1601" s="22"/>
      <c r="F1601" s="22"/>
      <c r="G1601" s="22"/>
      <c r="H1601" s="22"/>
      <c r="I1601" s="25" t="s">
        <v>6619</v>
      </c>
      <c r="J1601" s="22"/>
      <c r="K1601" s="22" t="s">
        <v>6620</v>
      </c>
      <c r="L1601" s="22"/>
      <c r="M1601" s="22" t="str">
        <f>HYPERLINK("https://ceds.ed.gov/cedselementdetails.aspx?termid=22744")</f>
        <v>https://ceds.ed.gov/cedselementdetails.aspx?termid=22744</v>
      </c>
    </row>
    <row r="1602" spans="1:13" ht="273.60000000000002" x14ac:dyDescent="0.3">
      <c r="A1602" s="22" t="s">
        <v>6621</v>
      </c>
      <c r="B1602" s="22" t="s">
        <v>275</v>
      </c>
      <c r="C1602" s="26" t="s">
        <v>8521</v>
      </c>
      <c r="D1602" s="24" t="s">
        <v>8522</v>
      </c>
      <c r="E1602" s="22" t="s">
        <v>172</v>
      </c>
      <c r="F1602" s="22"/>
      <c r="G1602" s="22" t="s">
        <v>7946</v>
      </c>
      <c r="H1602" s="22"/>
      <c r="I1602" s="25" t="s">
        <v>6622</v>
      </c>
      <c r="J1602" s="22"/>
      <c r="K1602" s="22" t="s">
        <v>6623</v>
      </c>
      <c r="L1602" s="24" t="s">
        <v>6624</v>
      </c>
      <c r="M1602" s="22" t="str">
        <f>HYPERLINK("https://ceds.ed.gov/cedselementdetails.aspx?termid=21161")</f>
        <v>https://ceds.ed.gov/cedselementdetails.aspx?termid=21161</v>
      </c>
    </row>
    <row r="1603" spans="1:13" ht="273.60000000000002" x14ac:dyDescent="0.3">
      <c r="A1603" s="22" t="s">
        <v>6625</v>
      </c>
      <c r="B1603" s="22" t="s">
        <v>280</v>
      </c>
      <c r="C1603" s="23" t="s">
        <v>32</v>
      </c>
      <c r="D1603" s="24" t="s">
        <v>8522</v>
      </c>
      <c r="E1603" s="22" t="s">
        <v>172</v>
      </c>
      <c r="F1603" s="22" t="s">
        <v>132</v>
      </c>
      <c r="G1603" s="22" t="s">
        <v>7946</v>
      </c>
      <c r="H1603" s="22" t="s">
        <v>7945</v>
      </c>
      <c r="I1603" s="25" t="s">
        <v>6626</v>
      </c>
      <c r="J1603" s="22"/>
      <c r="K1603" s="22" t="s">
        <v>6627</v>
      </c>
      <c r="L1603" s="24" t="s">
        <v>6624</v>
      </c>
      <c r="M1603" s="22" t="str">
        <f>HYPERLINK("https://ceds.ed.gov/cedselementdetails.aspx?termid=21155")</f>
        <v>https://ceds.ed.gov/cedselementdetails.aspx?termid=21155</v>
      </c>
    </row>
    <row r="1604" spans="1:13" ht="43.2" x14ac:dyDescent="0.3">
      <c r="A1604" s="22" t="s">
        <v>6628</v>
      </c>
      <c r="B1604" s="22" t="s">
        <v>6629</v>
      </c>
      <c r="C1604" s="23" t="s">
        <v>32</v>
      </c>
      <c r="D1604" s="24" t="s">
        <v>4107</v>
      </c>
      <c r="E1604" s="22"/>
      <c r="F1604" s="22" t="s">
        <v>1518</v>
      </c>
      <c r="G1604" s="22"/>
      <c r="H1604" s="22"/>
      <c r="I1604" s="25" t="s">
        <v>6630</v>
      </c>
      <c r="J1604" s="22"/>
      <c r="K1604" s="22" t="s">
        <v>6631</v>
      </c>
      <c r="L1604" s="22" t="s">
        <v>214</v>
      </c>
      <c r="M1604" s="22" t="str">
        <f>HYPERLINK("https://ceds.ed.gov/cedselementdetails.aspx?termid=21471")</f>
        <v>https://ceds.ed.gov/cedselementdetails.aspx?termid=21471</v>
      </c>
    </row>
    <row r="1605" spans="1:13" x14ac:dyDescent="0.3">
      <c r="A1605" s="22" t="s">
        <v>6632</v>
      </c>
      <c r="B1605" s="22" t="s">
        <v>6633</v>
      </c>
      <c r="C1605" s="23" t="s">
        <v>32</v>
      </c>
      <c r="D1605" s="22" t="s">
        <v>2517</v>
      </c>
      <c r="E1605" s="22"/>
      <c r="F1605" s="22" t="s">
        <v>118</v>
      </c>
      <c r="G1605" s="22"/>
      <c r="H1605" s="22" t="s">
        <v>143</v>
      </c>
      <c r="I1605" s="25" t="s">
        <v>6634</v>
      </c>
      <c r="J1605" s="22"/>
      <c r="K1605" s="22" t="s">
        <v>6635</v>
      </c>
      <c r="L1605" s="22" t="s">
        <v>214</v>
      </c>
      <c r="M1605" s="22" t="str">
        <f>HYPERLINK("https://ceds.ed.gov/cedselementdetails.aspx?termid=21472")</f>
        <v>https://ceds.ed.gov/cedselementdetails.aspx?termid=21472</v>
      </c>
    </row>
    <row r="1606" spans="1:13" ht="43.2" x14ac:dyDescent="0.3">
      <c r="A1606" s="22" t="s">
        <v>6636</v>
      </c>
      <c r="B1606" s="22" t="s">
        <v>6637</v>
      </c>
      <c r="C1606" s="26" t="s">
        <v>22</v>
      </c>
      <c r="D1606" s="22" t="s">
        <v>2517</v>
      </c>
      <c r="E1606" s="22"/>
      <c r="F1606" s="22"/>
      <c r="G1606" s="22"/>
      <c r="H1606" s="22"/>
      <c r="I1606" s="25" t="s">
        <v>6638</v>
      </c>
      <c r="J1606" s="22"/>
      <c r="K1606" s="22" t="s">
        <v>6639</v>
      </c>
      <c r="L1606" s="22" t="s">
        <v>226</v>
      </c>
      <c r="M1606" s="22" t="str">
        <f>HYPERLINK("https://ceds.ed.gov/cedselementdetails.aspx?termid=21238")</f>
        <v>https://ceds.ed.gov/cedselementdetails.aspx?termid=21238</v>
      </c>
    </row>
    <row r="1607" spans="1:13" ht="72" x14ac:dyDescent="0.3">
      <c r="A1607" s="22" t="s">
        <v>6640</v>
      </c>
      <c r="B1607" s="22" t="s">
        <v>6641</v>
      </c>
      <c r="C1607" s="26" t="s">
        <v>9135</v>
      </c>
      <c r="D1607" s="22" t="s">
        <v>2474</v>
      </c>
      <c r="E1607" s="22"/>
      <c r="F1607" s="22"/>
      <c r="G1607" s="22"/>
      <c r="H1607" s="22"/>
      <c r="I1607" s="25" t="s">
        <v>6642</v>
      </c>
      <c r="J1607" s="22"/>
      <c r="K1607" s="22" t="s">
        <v>6643</v>
      </c>
      <c r="L1607" s="22" t="s">
        <v>226</v>
      </c>
      <c r="M1607" s="22" t="str">
        <f>HYPERLINK("https://ceds.ed.gov/cedselementdetails.aspx?termid=21239")</f>
        <v>https://ceds.ed.gov/cedselementdetails.aspx?termid=21239</v>
      </c>
    </row>
    <row r="1608" spans="1:13" ht="43.2" x14ac:dyDescent="0.3">
      <c r="A1608" s="22" t="s">
        <v>6644</v>
      </c>
      <c r="B1608" s="22" t="s">
        <v>6645</v>
      </c>
      <c r="C1608" s="23" t="s">
        <v>32</v>
      </c>
      <c r="D1608" s="24" t="s">
        <v>4107</v>
      </c>
      <c r="E1608" s="22"/>
      <c r="F1608" s="22" t="s">
        <v>775</v>
      </c>
      <c r="G1608" s="22"/>
      <c r="H1608" s="22"/>
      <c r="I1608" s="25" t="s">
        <v>6646</v>
      </c>
      <c r="J1608" s="22"/>
      <c r="K1608" s="22" t="s">
        <v>6647</v>
      </c>
      <c r="L1608" s="22" t="s">
        <v>214</v>
      </c>
      <c r="M1608" s="22" t="str">
        <f>HYPERLINK("https://ceds.ed.gov/cedselementdetails.aspx?termid=21470")</f>
        <v>https://ceds.ed.gov/cedselementdetails.aspx?termid=21470</v>
      </c>
    </row>
    <row r="1609" spans="1:13" ht="100.8" x14ac:dyDescent="0.3">
      <c r="A1609" s="22" t="s">
        <v>6648</v>
      </c>
      <c r="B1609" s="22" t="s">
        <v>6649</v>
      </c>
      <c r="C1609" s="26" t="s">
        <v>9136</v>
      </c>
      <c r="D1609" s="22" t="s">
        <v>229</v>
      </c>
      <c r="E1609" s="22"/>
      <c r="F1609" s="22"/>
      <c r="G1609" s="22"/>
      <c r="H1609" s="22"/>
      <c r="I1609" s="25" t="s">
        <v>6650</v>
      </c>
      <c r="J1609" s="22"/>
      <c r="K1609" s="22" t="s">
        <v>6651</v>
      </c>
      <c r="L1609" s="22" t="s">
        <v>226</v>
      </c>
      <c r="M1609" s="22" t="str">
        <f>HYPERLINK("https://ceds.ed.gov/cedselementdetails.aspx?termid=21240")</f>
        <v>https://ceds.ed.gov/cedselementdetails.aspx?termid=21240</v>
      </c>
    </row>
    <row r="1610" spans="1:13" ht="201.6" x14ac:dyDescent="0.3">
      <c r="A1610" s="22" t="s">
        <v>6652</v>
      </c>
      <c r="B1610" s="22" t="s">
        <v>6653</v>
      </c>
      <c r="C1610" s="26" t="s">
        <v>8523</v>
      </c>
      <c r="D1610" s="24" t="s">
        <v>8464</v>
      </c>
      <c r="E1610" s="22" t="s">
        <v>172</v>
      </c>
      <c r="F1610" s="22"/>
      <c r="G1610" s="22" t="s">
        <v>7946</v>
      </c>
      <c r="H1610" s="22"/>
      <c r="I1610" s="25" t="s">
        <v>6654</v>
      </c>
      <c r="J1610" s="22"/>
      <c r="K1610" s="22" t="s">
        <v>6655</v>
      </c>
      <c r="L1610" s="22"/>
      <c r="M1610" s="22" t="str">
        <f>HYPERLINK("https://ceds.ed.gov/cedselementdetails.aspx?termid=21241")</f>
        <v>https://ceds.ed.gov/cedselementdetails.aspx?termid=21241</v>
      </c>
    </row>
    <row r="1611" spans="1:13" ht="129.6" x14ac:dyDescent="0.3">
      <c r="A1611" s="22" t="s">
        <v>6656</v>
      </c>
      <c r="B1611" s="22" t="s">
        <v>6657</v>
      </c>
      <c r="C1611" s="26" t="s">
        <v>8524</v>
      </c>
      <c r="D1611" s="24" t="s">
        <v>8464</v>
      </c>
      <c r="E1611" s="22" t="s">
        <v>172</v>
      </c>
      <c r="F1611" s="22"/>
      <c r="G1611" s="22" t="s">
        <v>7946</v>
      </c>
      <c r="H1611" s="22"/>
      <c r="I1611" s="25" t="s">
        <v>6658</v>
      </c>
      <c r="J1611" s="22"/>
      <c r="K1611" s="22" t="s">
        <v>6659</v>
      </c>
      <c r="L1611" s="22" t="s">
        <v>226</v>
      </c>
      <c r="M1611" s="22" t="str">
        <f>HYPERLINK("https://ceds.ed.gov/cedselementdetails.aspx?termid=21524")</f>
        <v>https://ceds.ed.gov/cedselementdetails.aspx?termid=21524</v>
      </c>
    </row>
    <row r="1612" spans="1:13" ht="100.8" x14ac:dyDescent="0.3">
      <c r="A1612" s="22" t="s">
        <v>6660</v>
      </c>
      <c r="B1612" s="22" t="s">
        <v>8310</v>
      </c>
      <c r="C1612" s="26" t="s">
        <v>9137</v>
      </c>
      <c r="D1612" s="22" t="s">
        <v>229</v>
      </c>
      <c r="E1612" s="22"/>
      <c r="F1612" s="22"/>
      <c r="G1612" s="22"/>
      <c r="H1612" s="22"/>
      <c r="I1612" s="25" t="s">
        <v>6661</v>
      </c>
      <c r="J1612" s="22"/>
      <c r="K1612" s="22" t="s">
        <v>6662</v>
      </c>
      <c r="L1612" s="24" t="s">
        <v>64</v>
      </c>
      <c r="M1612" s="22" t="str">
        <f>HYPERLINK("https://ceds.ed.gov/cedselementdetails.aspx?termid=21242")</f>
        <v>https://ceds.ed.gov/cedselementdetails.aspx?termid=21242</v>
      </c>
    </row>
    <row r="1613" spans="1:13" ht="129.6" x14ac:dyDescent="0.3">
      <c r="A1613" s="22" t="s">
        <v>6663</v>
      </c>
      <c r="B1613" s="22" t="s">
        <v>6664</v>
      </c>
      <c r="C1613" s="23" t="s">
        <v>32</v>
      </c>
      <c r="D1613" s="24" t="s">
        <v>6665</v>
      </c>
      <c r="E1613" s="22"/>
      <c r="F1613" s="22" t="s">
        <v>1844</v>
      </c>
      <c r="G1613" s="22"/>
      <c r="H1613" s="22" t="s">
        <v>8311</v>
      </c>
      <c r="I1613" s="25" t="s">
        <v>6666</v>
      </c>
      <c r="J1613" s="22"/>
      <c r="K1613" s="22" t="s">
        <v>6667</v>
      </c>
      <c r="L1613" s="22" t="s">
        <v>2493</v>
      </c>
      <c r="M1613" s="22" t="str">
        <f>HYPERLINK("https://ceds.ed.gov/cedselementdetails.aspx?termid=21243")</f>
        <v>https://ceds.ed.gov/cedselementdetails.aspx?termid=21243</v>
      </c>
    </row>
    <row r="1614" spans="1:13" x14ac:dyDescent="0.3">
      <c r="A1614" s="22" t="s">
        <v>6668</v>
      </c>
      <c r="B1614" s="22" t="s">
        <v>6669</v>
      </c>
      <c r="C1614" s="23" t="s">
        <v>32</v>
      </c>
      <c r="D1614" s="22" t="s">
        <v>3062</v>
      </c>
      <c r="E1614" s="22"/>
      <c r="F1614" s="22" t="s">
        <v>317</v>
      </c>
      <c r="G1614" s="22"/>
      <c r="H1614" s="22"/>
      <c r="I1614" s="25" t="s">
        <v>6670</v>
      </c>
      <c r="J1614" s="22"/>
      <c r="K1614" s="22" t="s">
        <v>6671</v>
      </c>
      <c r="L1614" s="22" t="s">
        <v>226</v>
      </c>
      <c r="M1614" s="22" t="str">
        <f>HYPERLINK("https://ceds.ed.gov/cedselementdetails.aspx?termid=21244")</f>
        <v>https://ceds.ed.gov/cedselementdetails.aspx?termid=21244</v>
      </c>
    </row>
    <row r="1615" spans="1:13" ht="144" x14ac:dyDescent="0.3">
      <c r="A1615" s="22" t="s">
        <v>6672</v>
      </c>
      <c r="B1615" s="22" t="s">
        <v>6673</v>
      </c>
      <c r="C1615" s="26" t="s">
        <v>9138</v>
      </c>
      <c r="D1615" s="22" t="s">
        <v>4034</v>
      </c>
      <c r="E1615" s="22"/>
      <c r="F1615" s="22"/>
      <c r="G1615" s="22"/>
      <c r="H1615" s="22"/>
      <c r="I1615" s="25" t="s">
        <v>6674</v>
      </c>
      <c r="J1615" s="22"/>
      <c r="K1615" s="22" t="s">
        <v>6675</v>
      </c>
      <c r="L1615" s="22"/>
      <c r="M1615" s="22" t="str">
        <f>HYPERLINK("https://ceds.ed.gov/cedselementdetails.aspx?termid=21620")</f>
        <v>https://ceds.ed.gov/cedselementdetails.aspx?termid=21620</v>
      </c>
    </row>
    <row r="1616" spans="1:13" ht="129.6" x14ac:dyDescent="0.3">
      <c r="A1616" s="22" t="s">
        <v>6676</v>
      </c>
      <c r="B1616" s="22" t="s">
        <v>6677</v>
      </c>
      <c r="C1616" s="26" t="s">
        <v>22</v>
      </c>
      <c r="D1616" s="24" t="s">
        <v>9077</v>
      </c>
      <c r="E1616" s="22"/>
      <c r="F1616" s="22"/>
      <c r="G1616" s="22"/>
      <c r="H1616" s="22"/>
      <c r="I1616" s="25" t="s">
        <v>6678</v>
      </c>
      <c r="J1616" s="22"/>
      <c r="K1616" s="22" t="s">
        <v>6679</v>
      </c>
      <c r="L1616" s="24" t="s">
        <v>4415</v>
      </c>
      <c r="M1616" s="22" t="str">
        <f>HYPERLINK("https://ceds.ed.gov/cedselementdetails.aspx?termid=21249")</f>
        <v>https://ceds.ed.gov/cedselementdetails.aspx?termid=21249</v>
      </c>
    </row>
    <row r="1617" spans="1:13" ht="43.2" x14ac:dyDescent="0.3">
      <c r="A1617" s="22" t="s">
        <v>6680</v>
      </c>
      <c r="B1617" s="22" t="s">
        <v>6681</v>
      </c>
      <c r="C1617" s="26" t="s">
        <v>22</v>
      </c>
      <c r="D1617" s="22" t="s">
        <v>8093</v>
      </c>
      <c r="E1617" s="22"/>
      <c r="F1617" s="22"/>
      <c r="G1617" s="22"/>
      <c r="H1617" s="22"/>
      <c r="I1617" s="25" t="s">
        <v>6682</v>
      </c>
      <c r="J1617" s="22"/>
      <c r="K1617" s="22" t="s">
        <v>6683</v>
      </c>
      <c r="L1617" s="24" t="s">
        <v>2063</v>
      </c>
      <c r="M1617" s="22" t="str">
        <f>HYPERLINK("https://ceds.ed.gov/cedselementdetails.aspx?termid=21821")</f>
        <v>https://ceds.ed.gov/cedselementdetails.aspx?termid=21821</v>
      </c>
    </row>
    <row r="1618" spans="1:13" x14ac:dyDescent="0.3">
      <c r="A1618" s="22" t="s">
        <v>6684</v>
      </c>
      <c r="B1618" s="22" t="s">
        <v>6685</v>
      </c>
      <c r="C1618" s="23" t="s">
        <v>32</v>
      </c>
      <c r="D1618" s="22" t="s">
        <v>8084</v>
      </c>
      <c r="E1618" s="22"/>
      <c r="F1618" s="22" t="s">
        <v>118</v>
      </c>
      <c r="G1618" s="22"/>
      <c r="H1618" s="22"/>
      <c r="I1618" s="25" t="s">
        <v>6686</v>
      </c>
      <c r="J1618" s="22"/>
      <c r="K1618" s="22" t="s">
        <v>6687</v>
      </c>
      <c r="L1618" s="22"/>
      <c r="M1618" s="22" t="str">
        <f>HYPERLINK("https://ceds.ed.gov/cedselementdetails.aspx?termid=22616")</f>
        <v>https://ceds.ed.gov/cedselementdetails.aspx?termid=22616</v>
      </c>
    </row>
    <row r="1619" spans="1:13" ht="43.2" x14ac:dyDescent="0.3">
      <c r="A1619" s="22" t="s">
        <v>6688</v>
      </c>
      <c r="B1619" s="22" t="s">
        <v>6689</v>
      </c>
      <c r="C1619" s="23" t="s">
        <v>32</v>
      </c>
      <c r="D1619" s="24" t="s">
        <v>9122</v>
      </c>
      <c r="E1619" s="22"/>
      <c r="F1619" s="22" t="s">
        <v>118</v>
      </c>
      <c r="G1619" s="22"/>
      <c r="H1619" s="22"/>
      <c r="I1619" s="25" t="s">
        <v>6690</v>
      </c>
      <c r="J1619" s="22"/>
      <c r="K1619" s="22" t="s">
        <v>6691</v>
      </c>
      <c r="L1619" s="22"/>
      <c r="M1619" s="22" t="str">
        <f>HYPERLINK("https://ceds.ed.gov/cedselementdetails.aspx?termid=21326")</f>
        <v>https://ceds.ed.gov/cedselementdetails.aspx?termid=21326</v>
      </c>
    </row>
    <row r="1620" spans="1:13" ht="43.2" x14ac:dyDescent="0.3">
      <c r="A1620" s="22" t="s">
        <v>6692</v>
      </c>
      <c r="B1620" s="22" t="s">
        <v>6693</v>
      </c>
      <c r="C1620" s="23" t="s">
        <v>32</v>
      </c>
      <c r="D1620" s="24" t="s">
        <v>9122</v>
      </c>
      <c r="E1620" s="22"/>
      <c r="F1620" s="22" t="s">
        <v>118</v>
      </c>
      <c r="G1620" s="22"/>
      <c r="H1620" s="22" t="s">
        <v>143</v>
      </c>
      <c r="I1620" s="25" t="s">
        <v>6694</v>
      </c>
      <c r="J1620" s="22"/>
      <c r="K1620" s="22" t="s">
        <v>6695</v>
      </c>
      <c r="L1620" s="22"/>
      <c r="M1620" s="22" t="str">
        <f>HYPERLINK("https://ceds.ed.gov/cedselementdetails.aspx?termid=21327")</f>
        <v>https://ceds.ed.gov/cedselementdetails.aspx?termid=21327</v>
      </c>
    </row>
    <row r="1621" spans="1:13" ht="43.2" x14ac:dyDescent="0.3">
      <c r="A1621" s="22" t="s">
        <v>6696</v>
      </c>
      <c r="B1621" s="22" t="s">
        <v>6697</v>
      </c>
      <c r="C1621" s="26" t="s">
        <v>22</v>
      </c>
      <c r="D1621" s="22" t="s">
        <v>3067</v>
      </c>
      <c r="E1621" s="22"/>
      <c r="F1621" s="22"/>
      <c r="G1621" s="22"/>
      <c r="H1621" s="22"/>
      <c r="I1621" s="25" t="s">
        <v>6698</v>
      </c>
      <c r="J1621" s="22"/>
      <c r="K1621" s="22" t="s">
        <v>6699</v>
      </c>
      <c r="L1621" s="22"/>
      <c r="M1621" s="22" t="str">
        <f>HYPERLINK("https://ceds.ed.gov/cedselementdetails.aspx?termid=22698")</f>
        <v>https://ceds.ed.gov/cedselementdetails.aspx?termid=22698</v>
      </c>
    </row>
    <row r="1622" spans="1:13" ht="100.8" x14ac:dyDescent="0.3">
      <c r="A1622" s="22" t="s">
        <v>6700</v>
      </c>
      <c r="B1622" s="22" t="s">
        <v>6701</v>
      </c>
      <c r="C1622" s="26" t="s">
        <v>9139</v>
      </c>
      <c r="D1622" s="24" t="s">
        <v>8783</v>
      </c>
      <c r="E1622" s="22"/>
      <c r="F1622" s="22"/>
      <c r="G1622" s="22"/>
      <c r="H1622" s="22"/>
      <c r="I1622" s="25" t="s">
        <v>6702</v>
      </c>
      <c r="J1622" s="22"/>
      <c r="K1622" s="22" t="s">
        <v>6703</v>
      </c>
      <c r="L1622" s="24" t="s">
        <v>3059</v>
      </c>
      <c r="M1622" s="22" t="str">
        <f>HYPERLINK("https://ceds.ed.gov/cedselementdetails.aspx?termid=21352")</f>
        <v>https://ceds.ed.gov/cedselementdetails.aspx?termid=21352</v>
      </c>
    </row>
    <row r="1623" spans="1:13" ht="43.2" x14ac:dyDescent="0.3">
      <c r="A1623" s="22" t="s">
        <v>6704</v>
      </c>
      <c r="B1623" s="22" t="s">
        <v>6705</v>
      </c>
      <c r="C1623" s="23" t="s">
        <v>32</v>
      </c>
      <c r="D1623" s="24" t="s">
        <v>9140</v>
      </c>
      <c r="E1623" s="22"/>
      <c r="F1623" s="22" t="s">
        <v>113</v>
      </c>
      <c r="G1623" s="22"/>
      <c r="H1623" s="22"/>
      <c r="I1623" s="25" t="s">
        <v>6706</v>
      </c>
      <c r="J1623" s="22"/>
      <c r="K1623" s="22" t="s">
        <v>6707</v>
      </c>
      <c r="L1623" s="22"/>
      <c r="M1623" s="22" t="str">
        <f>HYPERLINK("https://ceds.ed.gov/cedselementdetails.aspx?termid=22603")</f>
        <v>https://ceds.ed.gov/cedselementdetails.aspx?termid=22603</v>
      </c>
    </row>
    <row r="1624" spans="1:13" ht="43.2" x14ac:dyDescent="0.3">
      <c r="A1624" s="22" t="s">
        <v>6708</v>
      </c>
      <c r="B1624" s="22" t="s">
        <v>6709</v>
      </c>
      <c r="C1624" s="23" t="s">
        <v>32</v>
      </c>
      <c r="D1624" s="24" t="s">
        <v>9140</v>
      </c>
      <c r="E1624" s="22"/>
      <c r="F1624" s="22" t="s">
        <v>780</v>
      </c>
      <c r="G1624" s="22"/>
      <c r="H1624" s="22"/>
      <c r="I1624" s="25" t="s">
        <v>6710</v>
      </c>
      <c r="J1624" s="22"/>
      <c r="K1624" s="22" t="s">
        <v>6711</v>
      </c>
      <c r="L1624" s="22"/>
      <c r="M1624" s="22" t="str">
        <f>HYPERLINK("https://ceds.ed.gov/cedselementdetails.aspx?termid=22606")</f>
        <v>https://ceds.ed.gov/cedselementdetails.aspx?termid=22606</v>
      </c>
    </row>
    <row r="1625" spans="1:13" x14ac:dyDescent="0.3">
      <c r="A1625" s="22" t="s">
        <v>6712</v>
      </c>
      <c r="B1625" s="22" t="s">
        <v>6713</v>
      </c>
      <c r="C1625" s="23" t="s">
        <v>32</v>
      </c>
      <c r="D1625" s="22" t="s">
        <v>3067</v>
      </c>
      <c r="E1625" s="22"/>
      <c r="F1625" s="22" t="s">
        <v>328</v>
      </c>
      <c r="G1625" s="22"/>
      <c r="H1625" s="22"/>
      <c r="I1625" s="25" t="s">
        <v>6714</v>
      </c>
      <c r="J1625" s="22"/>
      <c r="K1625" s="22" t="s">
        <v>6715</v>
      </c>
      <c r="L1625" s="22"/>
      <c r="M1625" s="22" t="str">
        <f>HYPERLINK("https://ceds.ed.gov/cedselementdetails.aspx?termid=22699")</f>
        <v>https://ceds.ed.gov/cedselementdetails.aspx?termid=22699</v>
      </c>
    </row>
    <row r="1626" spans="1:13" ht="129.6" x14ac:dyDescent="0.3">
      <c r="A1626" s="22" t="s">
        <v>6716</v>
      </c>
      <c r="B1626" s="22" t="s">
        <v>6717</v>
      </c>
      <c r="C1626" s="26" t="s">
        <v>22</v>
      </c>
      <c r="D1626" s="24" t="s">
        <v>6718</v>
      </c>
      <c r="E1626" s="22"/>
      <c r="F1626" s="22"/>
      <c r="G1626" s="22"/>
      <c r="H1626" s="22"/>
      <c r="I1626" s="25" t="s">
        <v>6719</v>
      </c>
      <c r="J1626" s="22"/>
      <c r="K1626" s="22" t="s">
        <v>6720</v>
      </c>
      <c r="L1626" s="22"/>
      <c r="M1626" s="22" t="str">
        <f>HYPERLINK("https://ceds.ed.gov/cedselementdetails.aspx?termid=22240")</f>
        <v>https://ceds.ed.gov/cedselementdetails.aspx?termid=22240</v>
      </c>
    </row>
    <row r="1627" spans="1:13" ht="129.6" x14ac:dyDescent="0.3">
      <c r="A1627" s="22" t="s">
        <v>6721</v>
      </c>
      <c r="B1627" s="22" t="s">
        <v>6722</v>
      </c>
      <c r="C1627" s="23" t="s">
        <v>32</v>
      </c>
      <c r="D1627" s="24" t="s">
        <v>6718</v>
      </c>
      <c r="E1627" s="22"/>
      <c r="F1627" s="22" t="s">
        <v>118</v>
      </c>
      <c r="G1627" s="22"/>
      <c r="H1627" s="22"/>
      <c r="I1627" s="25" t="s">
        <v>6723</v>
      </c>
      <c r="J1627" s="22"/>
      <c r="K1627" s="22" t="s">
        <v>6724</v>
      </c>
      <c r="L1627" s="24" t="s">
        <v>1521</v>
      </c>
      <c r="M1627" s="22" t="str">
        <f>HYPERLINK("https://ceds.ed.gov/cedselementdetails.aspx?termid=21251")</f>
        <v>https://ceds.ed.gov/cedselementdetails.aspx?termid=21251</v>
      </c>
    </row>
    <row r="1628" spans="1:13" ht="129.6" x14ac:dyDescent="0.3">
      <c r="A1628" s="22" t="s">
        <v>6725</v>
      </c>
      <c r="B1628" s="22" t="s">
        <v>6726</v>
      </c>
      <c r="C1628" s="23" t="s">
        <v>32</v>
      </c>
      <c r="D1628" s="24" t="s">
        <v>6718</v>
      </c>
      <c r="E1628" s="22"/>
      <c r="F1628" s="22" t="s">
        <v>85</v>
      </c>
      <c r="G1628" s="22"/>
      <c r="H1628" s="22"/>
      <c r="I1628" s="25" t="s">
        <v>6727</v>
      </c>
      <c r="J1628" s="22"/>
      <c r="K1628" s="22" t="s">
        <v>6728</v>
      </c>
      <c r="L1628" s="22"/>
      <c r="M1628" s="22" t="str">
        <f>HYPERLINK("https://ceds.ed.gov/cedselementdetails.aspx?termid=22236")</f>
        <v>https://ceds.ed.gov/cedselementdetails.aspx?termid=22236</v>
      </c>
    </row>
    <row r="1629" spans="1:13" ht="129.6" x14ac:dyDescent="0.3">
      <c r="A1629" s="22" t="s">
        <v>6729</v>
      </c>
      <c r="B1629" s="22" t="s">
        <v>6730</v>
      </c>
      <c r="C1629" s="23" t="s">
        <v>32</v>
      </c>
      <c r="D1629" s="24" t="s">
        <v>6718</v>
      </c>
      <c r="E1629" s="22"/>
      <c r="F1629" s="22" t="s">
        <v>328</v>
      </c>
      <c r="G1629" s="22"/>
      <c r="H1629" s="22"/>
      <c r="I1629" s="25" t="s">
        <v>6731</v>
      </c>
      <c r="J1629" s="22"/>
      <c r="K1629" s="22" t="s">
        <v>6732</v>
      </c>
      <c r="L1629" s="22"/>
      <c r="M1629" s="22" t="str">
        <f>HYPERLINK("https://ceds.ed.gov/cedselementdetails.aspx?termid=22237")</f>
        <v>https://ceds.ed.gov/cedselementdetails.aspx?termid=22237</v>
      </c>
    </row>
    <row r="1630" spans="1:13" ht="129.6" x14ac:dyDescent="0.3">
      <c r="A1630" s="22" t="s">
        <v>6733</v>
      </c>
      <c r="B1630" s="22" t="s">
        <v>6734</v>
      </c>
      <c r="C1630" s="23" t="s">
        <v>32</v>
      </c>
      <c r="D1630" s="24" t="s">
        <v>6735</v>
      </c>
      <c r="E1630" s="22"/>
      <c r="F1630" s="22" t="s">
        <v>3145</v>
      </c>
      <c r="G1630" s="22"/>
      <c r="H1630" s="22"/>
      <c r="I1630" s="25" t="s">
        <v>6736</v>
      </c>
      <c r="J1630" s="22"/>
      <c r="K1630" s="22" t="s">
        <v>6737</v>
      </c>
      <c r="L1630" s="24" t="s">
        <v>1965</v>
      </c>
      <c r="M1630" s="22" t="str">
        <f>HYPERLINK("https://ceds.ed.gov/cedselementdetails.aspx?termid=21252")</f>
        <v>https://ceds.ed.gov/cedselementdetails.aspx?termid=21252</v>
      </c>
    </row>
    <row r="1631" spans="1:13" ht="129.6" x14ac:dyDescent="0.3">
      <c r="A1631" s="22" t="s">
        <v>6738</v>
      </c>
      <c r="B1631" s="22" t="s">
        <v>6739</v>
      </c>
      <c r="C1631" s="23" t="s">
        <v>32</v>
      </c>
      <c r="D1631" s="24" t="s">
        <v>6718</v>
      </c>
      <c r="E1631" s="22"/>
      <c r="F1631" s="22" t="s">
        <v>118</v>
      </c>
      <c r="G1631" s="22"/>
      <c r="H1631" s="22" t="s">
        <v>143</v>
      </c>
      <c r="I1631" s="25" t="s">
        <v>6740</v>
      </c>
      <c r="J1631" s="22"/>
      <c r="K1631" s="22" t="s">
        <v>6741</v>
      </c>
      <c r="L1631" s="24" t="s">
        <v>1521</v>
      </c>
      <c r="M1631" s="22" t="str">
        <f>HYPERLINK("https://ceds.ed.gov/cedselementdetails.aspx?termid=21253")</f>
        <v>https://ceds.ed.gov/cedselementdetails.aspx?termid=21253</v>
      </c>
    </row>
    <row r="1632" spans="1:13" ht="72" x14ac:dyDescent="0.3">
      <c r="A1632" s="22" t="s">
        <v>6742</v>
      </c>
      <c r="B1632" s="22" t="s">
        <v>6743</v>
      </c>
      <c r="C1632" s="23" t="s">
        <v>32</v>
      </c>
      <c r="D1632" s="24" t="s">
        <v>8525</v>
      </c>
      <c r="E1632" s="22" t="s">
        <v>172</v>
      </c>
      <c r="F1632" s="22" t="s">
        <v>430</v>
      </c>
      <c r="G1632" s="22" t="s">
        <v>8050</v>
      </c>
      <c r="H1632" s="22"/>
      <c r="I1632" s="25" t="s">
        <v>6744</v>
      </c>
      <c r="J1632" s="22"/>
      <c r="K1632" s="22" t="s">
        <v>6745</v>
      </c>
      <c r="L1632" s="24" t="s">
        <v>2063</v>
      </c>
      <c r="M1632" s="22" t="str">
        <f>HYPERLINK("https://ceds.ed.gov/cedselementdetails.aspx?termid=21988")</f>
        <v>https://ceds.ed.gov/cedselementdetails.aspx?termid=21988</v>
      </c>
    </row>
    <row r="1633" spans="1:13" ht="129.6" x14ac:dyDescent="0.3">
      <c r="A1633" s="22" t="s">
        <v>6746</v>
      </c>
      <c r="B1633" s="22" t="s">
        <v>6747</v>
      </c>
      <c r="C1633" s="26" t="s">
        <v>22</v>
      </c>
      <c r="D1633" s="24" t="s">
        <v>6718</v>
      </c>
      <c r="E1633" s="22"/>
      <c r="F1633" s="22"/>
      <c r="G1633" s="22"/>
      <c r="H1633" s="22"/>
      <c r="I1633" s="25" t="s">
        <v>6748</v>
      </c>
      <c r="J1633" s="22"/>
      <c r="K1633" s="22" t="s">
        <v>6749</v>
      </c>
      <c r="L1633" s="22"/>
      <c r="M1633" s="22" t="str">
        <f>HYPERLINK("https://ceds.ed.gov/cedselementdetails.aspx?termid=22238")</f>
        <v>https://ceds.ed.gov/cedselementdetails.aspx?termid=22238</v>
      </c>
    </row>
    <row r="1634" spans="1:13" ht="129.6" x14ac:dyDescent="0.3">
      <c r="A1634" s="22" t="s">
        <v>6750</v>
      </c>
      <c r="B1634" s="22" t="s">
        <v>6751</v>
      </c>
      <c r="C1634" s="26" t="s">
        <v>22</v>
      </c>
      <c r="D1634" s="24" t="s">
        <v>6718</v>
      </c>
      <c r="E1634" s="22"/>
      <c r="F1634" s="22"/>
      <c r="G1634" s="22"/>
      <c r="H1634" s="22"/>
      <c r="I1634" s="25" t="s">
        <v>6752</v>
      </c>
      <c r="J1634" s="22"/>
      <c r="K1634" s="22" t="s">
        <v>6753</v>
      </c>
      <c r="L1634" s="22"/>
      <c r="M1634" s="22" t="str">
        <f>HYPERLINK("https://ceds.ed.gov/cedselementdetails.aspx?termid=22239")</f>
        <v>https://ceds.ed.gov/cedselementdetails.aspx?termid=22239</v>
      </c>
    </row>
    <row r="1635" spans="1:13" ht="72" x14ac:dyDescent="0.3">
      <c r="A1635" s="22" t="s">
        <v>6754</v>
      </c>
      <c r="B1635" s="22" t="s">
        <v>6755</v>
      </c>
      <c r="C1635" s="23" t="s">
        <v>32</v>
      </c>
      <c r="D1635" s="24" t="s">
        <v>8525</v>
      </c>
      <c r="E1635" s="22" t="s">
        <v>172</v>
      </c>
      <c r="F1635" s="22" t="s">
        <v>430</v>
      </c>
      <c r="G1635" s="22" t="s">
        <v>8050</v>
      </c>
      <c r="H1635" s="22"/>
      <c r="I1635" s="25" t="s">
        <v>6756</v>
      </c>
      <c r="J1635" s="22"/>
      <c r="K1635" s="22" t="s">
        <v>6757</v>
      </c>
      <c r="L1635" s="24" t="s">
        <v>2063</v>
      </c>
      <c r="M1635" s="22" t="str">
        <f>HYPERLINK("https://ceds.ed.gov/cedselementdetails.aspx?termid=21986")</f>
        <v>https://ceds.ed.gov/cedselementdetails.aspx?termid=21986</v>
      </c>
    </row>
    <row r="1636" spans="1:13" ht="172.8" x14ac:dyDescent="0.3">
      <c r="A1636" s="22" t="s">
        <v>6758</v>
      </c>
      <c r="B1636" s="22" t="s">
        <v>6759</v>
      </c>
      <c r="C1636" s="26" t="s">
        <v>9141</v>
      </c>
      <c r="D1636" s="24" t="s">
        <v>6760</v>
      </c>
      <c r="E1636" s="22"/>
      <c r="F1636" s="22"/>
      <c r="G1636" s="22"/>
      <c r="H1636" s="22"/>
      <c r="I1636" s="25" t="s">
        <v>6761</v>
      </c>
      <c r="J1636" s="22"/>
      <c r="K1636" s="22" t="s">
        <v>6762</v>
      </c>
      <c r="L1636" s="24" t="s">
        <v>1521</v>
      </c>
      <c r="M1636" s="22" t="str">
        <f>HYPERLINK("https://ceds.ed.gov/cedselementdetails.aspx?termid=21254")</f>
        <v>https://ceds.ed.gov/cedselementdetails.aspx?termid=21254</v>
      </c>
    </row>
    <row r="1637" spans="1:13" ht="302.39999999999998" x14ac:dyDescent="0.3">
      <c r="A1637" s="22" t="s">
        <v>6763</v>
      </c>
      <c r="B1637" s="22" t="s">
        <v>6764</v>
      </c>
      <c r="C1637" s="26" t="s">
        <v>9142</v>
      </c>
      <c r="D1637" s="24" t="s">
        <v>9143</v>
      </c>
      <c r="E1637" s="22"/>
      <c r="F1637" s="22"/>
      <c r="G1637" s="22"/>
      <c r="H1637" s="22" t="s">
        <v>6765</v>
      </c>
      <c r="I1637" s="25" t="s">
        <v>6766</v>
      </c>
      <c r="J1637" s="22"/>
      <c r="K1637" s="22" t="s">
        <v>6763</v>
      </c>
      <c r="L1637" s="24" t="s">
        <v>6767</v>
      </c>
      <c r="M1637" s="22" t="str">
        <f>HYPERLINK("https://ceds.ed.gov/cedselementdetails.aspx?termid=21255")</f>
        <v>https://ceds.ed.gov/cedselementdetails.aspx?termid=21255</v>
      </c>
    </row>
    <row r="1638" spans="1:13" ht="43.2" x14ac:dyDescent="0.3">
      <c r="A1638" s="22" t="s">
        <v>6768</v>
      </c>
      <c r="B1638" s="22" t="s">
        <v>6769</v>
      </c>
      <c r="C1638" s="26" t="s">
        <v>22</v>
      </c>
      <c r="D1638" s="22" t="s">
        <v>229</v>
      </c>
      <c r="E1638" s="22"/>
      <c r="F1638" s="22"/>
      <c r="G1638" s="22"/>
      <c r="H1638" s="22"/>
      <c r="I1638" s="25" t="s">
        <v>6770</v>
      </c>
      <c r="J1638" s="22"/>
      <c r="K1638" s="22" t="s">
        <v>6771</v>
      </c>
      <c r="L1638" s="22" t="s">
        <v>226</v>
      </c>
      <c r="M1638" s="22" t="str">
        <f>HYPERLINK("https://ceds.ed.gov/cedselementdetails.aspx?termid=21257")</f>
        <v>https://ceds.ed.gov/cedselementdetails.aspx?termid=21257</v>
      </c>
    </row>
    <row r="1639" spans="1:13" ht="360" x14ac:dyDescent="0.3">
      <c r="A1639" s="22" t="s">
        <v>8312</v>
      </c>
      <c r="B1639" s="22" t="s">
        <v>8313</v>
      </c>
      <c r="C1639" s="23" t="s">
        <v>32</v>
      </c>
      <c r="D1639" s="24" t="s">
        <v>8526</v>
      </c>
      <c r="E1639" s="22" t="s">
        <v>172</v>
      </c>
      <c r="F1639" s="22" t="s">
        <v>85</v>
      </c>
      <c r="G1639" s="22" t="s">
        <v>8314</v>
      </c>
      <c r="H1639" s="22" t="s">
        <v>6772</v>
      </c>
      <c r="I1639" s="25" t="s">
        <v>6773</v>
      </c>
      <c r="J1639" s="22"/>
      <c r="K1639" s="22" t="s">
        <v>8315</v>
      </c>
      <c r="L1639" s="22"/>
      <c r="M1639" s="22" t="str">
        <f>HYPERLINK("https://ceds.ed.gov/cedselementdetails.aspx?termid=22459")</f>
        <v>https://ceds.ed.gov/cedselementdetails.aspx?termid=22459</v>
      </c>
    </row>
    <row r="1640" spans="1:13" ht="43.2" x14ac:dyDescent="0.3">
      <c r="A1640" s="22" t="s">
        <v>6774</v>
      </c>
      <c r="B1640" s="22" t="s">
        <v>6775</v>
      </c>
      <c r="C1640" s="26" t="s">
        <v>22</v>
      </c>
      <c r="D1640" s="24" t="s">
        <v>3175</v>
      </c>
      <c r="E1640" s="22"/>
      <c r="F1640" s="22"/>
      <c r="G1640" s="22"/>
      <c r="H1640" s="22"/>
      <c r="I1640" s="25" t="s">
        <v>6776</v>
      </c>
      <c r="J1640" s="22"/>
      <c r="K1640" s="22" t="s">
        <v>6777</v>
      </c>
      <c r="L1640" s="22"/>
      <c r="M1640" s="22" t="str">
        <f>HYPERLINK("https://ceds.ed.gov/cedselementdetails.aspx?termid=21505")</f>
        <v>https://ceds.ed.gov/cedselementdetails.aspx?termid=21505</v>
      </c>
    </row>
    <row r="1641" spans="1:13" ht="43.2" x14ac:dyDescent="0.3">
      <c r="A1641" s="22" t="s">
        <v>6778</v>
      </c>
      <c r="B1641" s="22" t="s">
        <v>6779</v>
      </c>
      <c r="C1641" s="26" t="s">
        <v>22</v>
      </c>
      <c r="D1641" s="22" t="s">
        <v>4386</v>
      </c>
      <c r="E1641" s="22"/>
      <c r="F1641" s="22"/>
      <c r="G1641" s="22"/>
      <c r="H1641" s="22"/>
      <c r="I1641" s="25" t="s">
        <v>6780</v>
      </c>
      <c r="J1641" s="22"/>
      <c r="K1641" s="22" t="s">
        <v>6781</v>
      </c>
      <c r="L1641" s="22"/>
      <c r="M1641" s="22" t="str">
        <f>HYPERLINK("https://ceds.ed.gov/cedselementdetails.aspx?termid=22746")</f>
        <v>https://ceds.ed.gov/cedselementdetails.aspx?termid=22746</v>
      </c>
    </row>
    <row r="1642" spans="1:13" ht="72" x14ac:dyDescent="0.3">
      <c r="A1642" s="22" t="s">
        <v>6782</v>
      </c>
      <c r="B1642" s="22" t="s">
        <v>6783</v>
      </c>
      <c r="C1642" s="26" t="s">
        <v>22</v>
      </c>
      <c r="D1642" s="24" t="s">
        <v>6784</v>
      </c>
      <c r="E1642" s="22"/>
      <c r="F1642" s="22"/>
      <c r="G1642" s="22"/>
      <c r="H1642" s="22"/>
      <c r="I1642" s="25" t="s">
        <v>6785</v>
      </c>
      <c r="J1642" s="22"/>
      <c r="K1642" s="22" t="s">
        <v>6786</v>
      </c>
      <c r="L1642" s="24" t="s">
        <v>2121</v>
      </c>
      <c r="M1642" s="22" t="str">
        <f>HYPERLINK("https://ceds.ed.gov/cedselementdetails.aspx?termid=21573")</f>
        <v>https://ceds.ed.gov/cedselementdetails.aspx?termid=21573</v>
      </c>
    </row>
    <row r="1643" spans="1:13" ht="28.8" x14ac:dyDescent="0.3">
      <c r="A1643" s="22" t="s">
        <v>6787</v>
      </c>
      <c r="B1643" s="22" t="s">
        <v>8316</v>
      </c>
      <c r="C1643" s="23" t="s">
        <v>32</v>
      </c>
      <c r="D1643" s="22" t="s">
        <v>8317</v>
      </c>
      <c r="E1643" s="22"/>
      <c r="F1643" s="22" t="s">
        <v>157</v>
      </c>
      <c r="G1643" s="22"/>
      <c r="H1643" s="22"/>
      <c r="I1643" s="25" t="s">
        <v>6788</v>
      </c>
      <c r="J1643" s="22"/>
      <c r="K1643" s="22" t="s">
        <v>6789</v>
      </c>
      <c r="L1643" s="24" t="s">
        <v>2487</v>
      </c>
      <c r="M1643" s="22" t="str">
        <f>HYPERLINK("https://ceds.ed.gov/cedselementdetails.aspx?termid=21625")</f>
        <v>https://ceds.ed.gov/cedselementdetails.aspx?termid=21625</v>
      </c>
    </row>
    <row r="1644" spans="1:13" x14ac:dyDescent="0.3">
      <c r="A1644" s="22" t="s">
        <v>6790</v>
      </c>
      <c r="B1644" s="22" t="s">
        <v>6791</v>
      </c>
      <c r="C1644" s="23" t="s">
        <v>32</v>
      </c>
      <c r="D1644" s="22" t="s">
        <v>8092</v>
      </c>
      <c r="E1644" s="22"/>
      <c r="F1644" s="22" t="s">
        <v>113</v>
      </c>
      <c r="G1644" s="22"/>
      <c r="H1644" s="22"/>
      <c r="I1644" s="25" t="s">
        <v>6792</v>
      </c>
      <c r="J1644" s="22"/>
      <c r="K1644" s="22" t="s">
        <v>6793</v>
      </c>
      <c r="L1644" s="22"/>
      <c r="M1644" s="22" t="str">
        <f>HYPERLINK("https://ceds.ed.gov/cedselementdetails.aspx?termid=22608")</f>
        <v>https://ceds.ed.gov/cedselementdetails.aspx?termid=22608</v>
      </c>
    </row>
    <row r="1645" spans="1:13" ht="100.8" x14ac:dyDescent="0.3">
      <c r="A1645" s="22" t="s">
        <v>6794</v>
      </c>
      <c r="B1645" s="22" t="s">
        <v>6795</v>
      </c>
      <c r="C1645" s="23" t="s">
        <v>32</v>
      </c>
      <c r="D1645" s="24" t="s">
        <v>4324</v>
      </c>
      <c r="E1645" s="22"/>
      <c r="F1645" s="22" t="s">
        <v>317</v>
      </c>
      <c r="G1645" s="22"/>
      <c r="H1645" s="22"/>
      <c r="I1645" s="25" t="s">
        <v>6796</v>
      </c>
      <c r="J1645" s="22"/>
      <c r="K1645" s="22" t="s">
        <v>6797</v>
      </c>
      <c r="L1645" s="24" t="s">
        <v>4327</v>
      </c>
      <c r="M1645" s="22" t="str">
        <f>HYPERLINK("https://ceds.ed.gov/cedselementdetails.aspx?termid=21294")</f>
        <v>https://ceds.ed.gov/cedselementdetails.aspx?termid=21294</v>
      </c>
    </row>
    <row r="1646" spans="1:13" ht="43.2" x14ac:dyDescent="0.3">
      <c r="A1646" s="22" t="s">
        <v>6798</v>
      </c>
      <c r="B1646" s="22" t="s">
        <v>6799</v>
      </c>
      <c r="C1646" s="26" t="s">
        <v>22</v>
      </c>
      <c r="D1646" s="22" t="s">
        <v>3218</v>
      </c>
      <c r="E1646" s="22"/>
      <c r="F1646" s="22"/>
      <c r="G1646" s="22"/>
      <c r="H1646" s="22"/>
      <c r="I1646" s="25" t="s">
        <v>6800</v>
      </c>
      <c r="J1646" s="22"/>
      <c r="K1646" s="22" t="s">
        <v>6801</v>
      </c>
      <c r="L1646" s="22" t="s">
        <v>252</v>
      </c>
      <c r="M1646" s="22" t="str">
        <f>HYPERLINK("https://ceds.ed.gov/cedselementdetails.aspx?termid=21744")</f>
        <v>https://ceds.ed.gov/cedselementdetails.aspx?termid=21744</v>
      </c>
    </row>
    <row r="1647" spans="1:13" ht="158.4" x14ac:dyDescent="0.3">
      <c r="A1647" s="22" t="s">
        <v>6802</v>
      </c>
      <c r="B1647" s="22" t="s">
        <v>6803</v>
      </c>
      <c r="C1647" s="26" t="s">
        <v>9144</v>
      </c>
      <c r="D1647" s="22" t="s">
        <v>8120</v>
      </c>
      <c r="E1647" s="22"/>
      <c r="F1647" s="22"/>
      <c r="G1647" s="22"/>
      <c r="H1647" s="22"/>
      <c r="I1647" s="25" t="s">
        <v>6804</v>
      </c>
      <c r="J1647" s="22"/>
      <c r="K1647" s="22" t="s">
        <v>6805</v>
      </c>
      <c r="L1647" s="24" t="s">
        <v>399</v>
      </c>
      <c r="M1647" s="22" t="str">
        <f>HYPERLINK("https://ceds.ed.gov/cedselementdetails.aspx?termid=21332")</f>
        <v>https://ceds.ed.gov/cedselementdetails.aspx?termid=21332</v>
      </c>
    </row>
    <row r="1648" spans="1:13" x14ac:dyDescent="0.3">
      <c r="A1648" s="22" t="s">
        <v>7659</v>
      </c>
      <c r="B1648" s="22" t="s">
        <v>7660</v>
      </c>
      <c r="C1648" s="23" t="s">
        <v>32</v>
      </c>
      <c r="D1648" s="22" t="s">
        <v>8074</v>
      </c>
      <c r="E1648" s="22"/>
      <c r="F1648" s="22" t="s">
        <v>328</v>
      </c>
      <c r="G1648" s="22"/>
      <c r="H1648" s="22"/>
      <c r="I1648" s="25" t="s">
        <v>7661</v>
      </c>
      <c r="J1648" s="22"/>
      <c r="K1648" s="22" t="s">
        <v>7662</v>
      </c>
      <c r="L1648" s="22"/>
      <c r="M1648" s="22" t="str">
        <f>HYPERLINK("https://ceds.ed.gov/cedselementdetails.aspx?termid=22960")</f>
        <v>https://ceds.ed.gov/cedselementdetails.aspx?termid=22960</v>
      </c>
    </row>
    <row r="1649" spans="1:13" x14ac:dyDescent="0.3">
      <c r="A1649" s="22" t="s">
        <v>7663</v>
      </c>
      <c r="B1649" s="22" t="s">
        <v>7664</v>
      </c>
      <c r="C1649" s="23" t="s">
        <v>32</v>
      </c>
      <c r="D1649" s="22" t="s">
        <v>8074</v>
      </c>
      <c r="E1649" s="22"/>
      <c r="F1649" s="22" t="s">
        <v>328</v>
      </c>
      <c r="G1649" s="22"/>
      <c r="H1649" s="22"/>
      <c r="I1649" s="25" t="s">
        <v>7665</v>
      </c>
      <c r="J1649" s="22"/>
      <c r="K1649" s="22" t="s">
        <v>7666</v>
      </c>
      <c r="L1649" s="22"/>
      <c r="M1649" s="22" t="str">
        <f>HYPERLINK("https://ceds.ed.gov/cedselementdetails.aspx?termid=22961")</f>
        <v>https://ceds.ed.gov/cedselementdetails.aspx?termid=22961</v>
      </c>
    </row>
    <row r="1650" spans="1:13" ht="115.2" x14ac:dyDescent="0.3">
      <c r="A1650" s="22" t="s">
        <v>6806</v>
      </c>
      <c r="B1650" s="22" t="s">
        <v>6807</v>
      </c>
      <c r="C1650" s="26" t="s">
        <v>9145</v>
      </c>
      <c r="D1650" s="24" t="s">
        <v>9146</v>
      </c>
      <c r="E1650" s="22"/>
      <c r="F1650" s="22"/>
      <c r="G1650" s="22"/>
      <c r="H1650" s="22"/>
      <c r="I1650" s="25" t="s">
        <v>6808</v>
      </c>
      <c r="J1650" s="22"/>
      <c r="K1650" s="22" t="s">
        <v>6809</v>
      </c>
      <c r="L1650" s="22" t="s">
        <v>109</v>
      </c>
      <c r="M1650" s="22" t="str">
        <f>HYPERLINK("https://ceds.ed.gov/cedselementdetails.aspx?termid=21852")</f>
        <v>https://ceds.ed.gov/cedselementdetails.aspx?termid=21852</v>
      </c>
    </row>
    <row r="1651" spans="1:13" ht="43.2" x14ac:dyDescent="0.3">
      <c r="A1651" s="22" t="s">
        <v>6810</v>
      </c>
      <c r="B1651" s="22" t="s">
        <v>6811</v>
      </c>
      <c r="C1651" s="26" t="s">
        <v>8527</v>
      </c>
      <c r="D1651" s="24" t="s">
        <v>8467</v>
      </c>
      <c r="E1651" s="22" t="s">
        <v>172</v>
      </c>
      <c r="F1651" s="22"/>
      <c r="G1651" s="22" t="s">
        <v>7946</v>
      </c>
      <c r="H1651" s="22"/>
      <c r="I1651" s="25" t="s">
        <v>6812</v>
      </c>
      <c r="J1651" s="22"/>
      <c r="K1651" s="22" t="s">
        <v>6813</v>
      </c>
      <c r="L1651" s="22" t="s">
        <v>226</v>
      </c>
      <c r="M1651" s="22" t="str">
        <f>HYPERLINK("https://ceds.ed.gov/cedselementdetails.aspx?termid=21556")</f>
        <v>https://ceds.ed.gov/cedselementdetails.aspx?termid=21556</v>
      </c>
    </row>
    <row r="1652" spans="1:13" ht="409.6" x14ac:dyDescent="0.3">
      <c r="A1652" s="22" t="s">
        <v>6814</v>
      </c>
      <c r="B1652" s="22" t="s">
        <v>6815</v>
      </c>
      <c r="C1652" s="26" t="s">
        <v>9147</v>
      </c>
      <c r="D1652" s="24" t="s">
        <v>9148</v>
      </c>
      <c r="E1652" s="22"/>
      <c r="F1652" s="22"/>
      <c r="G1652" s="22"/>
      <c r="H1652" s="22"/>
      <c r="I1652" s="25" t="s">
        <v>6816</v>
      </c>
      <c r="J1652" s="22"/>
      <c r="K1652" s="22" t="s">
        <v>6817</v>
      </c>
      <c r="L1652" s="22" t="s">
        <v>226</v>
      </c>
      <c r="M1652" s="22" t="str">
        <f>HYPERLINK("https://ceds.ed.gov/cedselementdetails.aspx?termid=21260")</f>
        <v>https://ceds.ed.gov/cedselementdetails.aspx?termid=21260</v>
      </c>
    </row>
    <row r="1653" spans="1:13" ht="43.2" x14ac:dyDescent="0.3">
      <c r="A1653" s="22" t="s">
        <v>6818</v>
      </c>
      <c r="B1653" s="22" t="s">
        <v>6819</v>
      </c>
      <c r="C1653" s="23" t="s">
        <v>32</v>
      </c>
      <c r="D1653" s="24" t="s">
        <v>9148</v>
      </c>
      <c r="E1653" s="22"/>
      <c r="F1653" s="22" t="s">
        <v>4141</v>
      </c>
      <c r="G1653" s="22"/>
      <c r="H1653" s="22"/>
      <c r="I1653" s="25" t="s">
        <v>6820</v>
      </c>
      <c r="J1653" s="22" t="s">
        <v>6821</v>
      </c>
      <c r="K1653" s="22" t="s">
        <v>6822</v>
      </c>
      <c r="L1653" s="22"/>
      <c r="M1653" s="22" t="str">
        <f>HYPERLINK("https://ceds.ed.gov/cedselementdetails.aspx?termid=22208")</f>
        <v>https://ceds.ed.gov/cedselementdetails.aspx?termid=22208</v>
      </c>
    </row>
    <row r="1654" spans="1:13" ht="43.2" x14ac:dyDescent="0.3">
      <c r="A1654" s="22" t="s">
        <v>6823</v>
      </c>
      <c r="B1654" s="22" t="s">
        <v>6824</v>
      </c>
      <c r="C1654" s="26" t="s">
        <v>22</v>
      </c>
      <c r="D1654" s="24" t="s">
        <v>8467</v>
      </c>
      <c r="E1654" s="22" t="s">
        <v>172</v>
      </c>
      <c r="F1654" s="22"/>
      <c r="G1654" s="22" t="s">
        <v>7946</v>
      </c>
      <c r="H1654" s="22"/>
      <c r="I1654" s="25" t="s">
        <v>6825</v>
      </c>
      <c r="J1654" s="22"/>
      <c r="K1654" s="22" t="s">
        <v>6826</v>
      </c>
      <c r="L1654" s="22" t="s">
        <v>226</v>
      </c>
      <c r="M1654" s="22" t="str">
        <f>HYPERLINK("https://ceds.ed.gov/cedselementdetails.aspx?termid=21261")</f>
        <v>https://ceds.ed.gov/cedselementdetails.aspx?termid=21261</v>
      </c>
    </row>
    <row r="1655" spans="1:13" ht="43.2" x14ac:dyDescent="0.3">
      <c r="A1655" s="22" t="s">
        <v>6827</v>
      </c>
      <c r="B1655" s="22" t="s">
        <v>6828</v>
      </c>
      <c r="C1655" s="26" t="s">
        <v>22</v>
      </c>
      <c r="D1655" s="24" t="s">
        <v>8467</v>
      </c>
      <c r="E1655" s="22" t="s">
        <v>172</v>
      </c>
      <c r="F1655" s="22"/>
      <c r="G1655" s="22" t="s">
        <v>7946</v>
      </c>
      <c r="H1655" s="22"/>
      <c r="I1655" s="25" t="s">
        <v>6829</v>
      </c>
      <c r="J1655" s="22"/>
      <c r="K1655" s="22" t="s">
        <v>6830</v>
      </c>
      <c r="L1655" s="22" t="s">
        <v>226</v>
      </c>
      <c r="M1655" s="22" t="str">
        <f>HYPERLINK("https://ceds.ed.gov/cedselementdetails.aspx?termid=21262")</f>
        <v>https://ceds.ed.gov/cedselementdetails.aspx?termid=21262</v>
      </c>
    </row>
    <row r="1656" spans="1:13" x14ac:dyDescent="0.3">
      <c r="A1656" s="22" t="s">
        <v>6831</v>
      </c>
      <c r="B1656" s="22" t="s">
        <v>6832</v>
      </c>
      <c r="C1656" s="23" t="s">
        <v>32</v>
      </c>
      <c r="D1656" s="22" t="s">
        <v>6833</v>
      </c>
      <c r="E1656" s="22"/>
      <c r="F1656" s="22" t="s">
        <v>118</v>
      </c>
      <c r="G1656" s="22"/>
      <c r="H1656" s="22" t="s">
        <v>143</v>
      </c>
      <c r="I1656" s="25" t="s">
        <v>6834</v>
      </c>
      <c r="J1656" s="22"/>
      <c r="K1656" s="22" t="s">
        <v>6835</v>
      </c>
      <c r="L1656" s="22" t="s">
        <v>226</v>
      </c>
      <c r="M1656" s="22" t="str">
        <f>HYPERLINK("https://ceds.ed.gov/cedselementdetails.aspx?termid=21263")</f>
        <v>https://ceds.ed.gov/cedselementdetails.aspx?termid=21263</v>
      </c>
    </row>
    <row r="1657" spans="1:13" ht="259.2" x14ac:dyDescent="0.3">
      <c r="A1657" s="22" t="s">
        <v>6836</v>
      </c>
      <c r="B1657" s="22" t="s">
        <v>6837</v>
      </c>
      <c r="C1657" s="26" t="s">
        <v>8528</v>
      </c>
      <c r="D1657" s="24" t="s">
        <v>8529</v>
      </c>
      <c r="E1657" s="22" t="s">
        <v>172</v>
      </c>
      <c r="F1657" s="22"/>
      <c r="G1657" s="22" t="s">
        <v>7946</v>
      </c>
      <c r="H1657" s="22"/>
      <c r="I1657" s="25" t="s">
        <v>6838</v>
      </c>
      <c r="J1657" s="22"/>
      <c r="K1657" s="22" t="s">
        <v>6839</v>
      </c>
      <c r="L1657" s="22" t="s">
        <v>226</v>
      </c>
      <c r="M1657" s="22" t="str">
        <f>HYPERLINK("https://ceds.ed.gov/cedselementdetails.aspx?termid=21549")</f>
        <v>https://ceds.ed.gov/cedselementdetails.aspx?termid=21549</v>
      </c>
    </row>
    <row r="1658" spans="1:13" ht="43.2" x14ac:dyDescent="0.3">
      <c r="A1658" s="22" t="s">
        <v>6840</v>
      </c>
      <c r="B1658" s="22" t="s">
        <v>6841</v>
      </c>
      <c r="C1658" s="26" t="s">
        <v>22</v>
      </c>
      <c r="D1658" s="24" t="s">
        <v>8467</v>
      </c>
      <c r="E1658" s="22" t="s">
        <v>172</v>
      </c>
      <c r="F1658" s="22"/>
      <c r="G1658" s="22" t="s">
        <v>7946</v>
      </c>
      <c r="H1658" s="22"/>
      <c r="I1658" s="25" t="s">
        <v>6842</v>
      </c>
      <c r="J1658" s="22"/>
      <c r="K1658" s="22" t="s">
        <v>6843</v>
      </c>
      <c r="L1658" s="22" t="s">
        <v>226</v>
      </c>
      <c r="M1658" s="22" t="str">
        <f>HYPERLINK("https://ceds.ed.gov/cedselementdetails.aspx?termid=21264")</f>
        <v>https://ceds.ed.gov/cedselementdetails.aspx?termid=21264</v>
      </c>
    </row>
    <row r="1659" spans="1:13" ht="43.2" x14ac:dyDescent="0.3">
      <c r="A1659" s="22" t="s">
        <v>8318</v>
      </c>
      <c r="B1659" s="22" t="s">
        <v>8319</v>
      </c>
      <c r="C1659" s="26" t="s">
        <v>8382</v>
      </c>
      <c r="D1659" s="22" t="s">
        <v>8375</v>
      </c>
      <c r="E1659" s="22" t="s">
        <v>167</v>
      </c>
      <c r="F1659" s="22" t="s">
        <v>2</v>
      </c>
      <c r="G1659" s="22" t="s">
        <v>7949</v>
      </c>
      <c r="H1659" s="22"/>
      <c r="I1659" s="25" t="s">
        <v>8372</v>
      </c>
      <c r="J1659" s="22"/>
      <c r="K1659" s="22" t="s">
        <v>8320</v>
      </c>
      <c r="L1659" s="22"/>
      <c r="M1659" s="22" t="str">
        <f>HYPERLINK("https://ceds.ed.gov/cedselementdetails.aspx?termid=22993")</f>
        <v>https://ceds.ed.gov/cedselementdetails.aspx?termid=22993</v>
      </c>
    </row>
    <row r="1660" spans="1:13" ht="43.2" x14ac:dyDescent="0.3">
      <c r="A1660" s="22" t="s">
        <v>6844</v>
      </c>
      <c r="B1660" s="22" t="s">
        <v>8321</v>
      </c>
      <c r="C1660" s="26" t="s">
        <v>22</v>
      </c>
      <c r="D1660" s="22" t="s">
        <v>8322</v>
      </c>
      <c r="E1660" s="22"/>
      <c r="F1660" s="22"/>
      <c r="G1660" s="22"/>
      <c r="H1660" s="22"/>
      <c r="I1660" s="25" t="s">
        <v>6845</v>
      </c>
      <c r="J1660" s="22"/>
      <c r="K1660" s="22" t="s">
        <v>6846</v>
      </c>
      <c r="L1660" s="22" t="s">
        <v>109</v>
      </c>
      <c r="M1660" s="22" t="str">
        <f>HYPERLINK("https://ceds.ed.gov/cedselementdetails.aspx?termid=22004")</f>
        <v>https://ceds.ed.gov/cedselementdetails.aspx?termid=22004</v>
      </c>
    </row>
    <row r="1661" spans="1:13" ht="43.2" x14ac:dyDescent="0.3">
      <c r="A1661" s="22" t="s">
        <v>6847</v>
      </c>
      <c r="B1661" s="22" t="s">
        <v>6848</v>
      </c>
      <c r="C1661" s="23" t="s">
        <v>32</v>
      </c>
      <c r="D1661" s="24" t="s">
        <v>9098</v>
      </c>
      <c r="E1661" s="22"/>
      <c r="F1661" s="22" t="s">
        <v>157</v>
      </c>
      <c r="G1661" s="22"/>
      <c r="H1661" s="22"/>
      <c r="I1661" s="25" t="s">
        <v>6849</v>
      </c>
      <c r="J1661" s="22"/>
      <c r="K1661" s="22" t="s">
        <v>6850</v>
      </c>
      <c r="L1661" s="22"/>
      <c r="M1661" s="22" t="str">
        <f>HYPERLINK("https://ceds.ed.gov/cedselementdetails.aspx?termid=22461")</f>
        <v>https://ceds.ed.gov/cedselementdetails.aspx?termid=22461</v>
      </c>
    </row>
    <row r="1662" spans="1:13" ht="43.2" x14ac:dyDescent="0.3">
      <c r="A1662" s="22" t="s">
        <v>6851</v>
      </c>
      <c r="B1662" s="22" t="s">
        <v>6852</v>
      </c>
      <c r="C1662" s="26" t="s">
        <v>22</v>
      </c>
      <c r="D1662" s="22" t="s">
        <v>8094</v>
      </c>
      <c r="E1662" s="22"/>
      <c r="F1662" s="22"/>
      <c r="G1662" s="22"/>
      <c r="H1662" s="22"/>
      <c r="I1662" s="25" t="s">
        <v>6853</v>
      </c>
      <c r="J1662" s="22"/>
      <c r="K1662" s="22" t="s">
        <v>6854</v>
      </c>
      <c r="L1662" s="22"/>
      <c r="M1662" s="22" t="str">
        <f>HYPERLINK("https://ceds.ed.gov/cedselementdetails.aspx?termid=22560")</f>
        <v>https://ceds.ed.gov/cedselementdetails.aspx?termid=22560</v>
      </c>
    </row>
    <row r="1663" spans="1:13" ht="43.2" x14ac:dyDescent="0.3">
      <c r="A1663" s="22" t="s">
        <v>7667</v>
      </c>
      <c r="B1663" s="22" t="s">
        <v>7668</v>
      </c>
      <c r="C1663" s="23" t="s">
        <v>32</v>
      </c>
      <c r="D1663" s="24" t="s">
        <v>8849</v>
      </c>
      <c r="E1663" s="22"/>
      <c r="F1663" s="22" t="s">
        <v>1518</v>
      </c>
      <c r="G1663" s="22"/>
      <c r="H1663" s="22"/>
      <c r="I1663" s="25" t="s">
        <v>7669</v>
      </c>
      <c r="J1663" s="22"/>
      <c r="K1663" s="22" t="s">
        <v>7670</v>
      </c>
      <c r="L1663" s="22"/>
      <c r="M1663" s="22" t="str">
        <f>HYPERLINK("https://ceds.ed.gov/cedselementdetails.aspx?termid=22962")</f>
        <v>https://ceds.ed.gov/cedselementdetails.aspx?termid=22962</v>
      </c>
    </row>
    <row r="1664" spans="1:13" ht="43.2" x14ac:dyDescent="0.3">
      <c r="A1664" s="22" t="s">
        <v>6855</v>
      </c>
      <c r="B1664" s="22" t="s">
        <v>6856</v>
      </c>
      <c r="C1664" s="23" t="s">
        <v>32</v>
      </c>
      <c r="D1664" s="24" t="s">
        <v>8849</v>
      </c>
      <c r="E1664" s="22"/>
      <c r="F1664" s="22" t="s">
        <v>1518</v>
      </c>
      <c r="G1664" s="22"/>
      <c r="H1664" s="22" t="s">
        <v>8323</v>
      </c>
      <c r="I1664" s="25" t="s">
        <v>6857</v>
      </c>
      <c r="J1664" s="22"/>
      <c r="K1664" s="22" t="s">
        <v>6858</v>
      </c>
      <c r="L1664" s="22" t="s">
        <v>2493</v>
      </c>
      <c r="M1664" s="22" t="str">
        <f>HYPERLINK("https://ceds.ed.gov/cedselementdetails.aspx?termid=21032")</f>
        <v>https://ceds.ed.gov/cedselementdetails.aspx?termid=21032</v>
      </c>
    </row>
    <row r="1665" spans="1:13" ht="43.2" x14ac:dyDescent="0.3">
      <c r="A1665" s="22" t="s">
        <v>6859</v>
      </c>
      <c r="B1665" s="22" t="s">
        <v>6860</v>
      </c>
      <c r="C1665" s="23" t="s">
        <v>32</v>
      </c>
      <c r="D1665" s="24" t="s">
        <v>8849</v>
      </c>
      <c r="E1665" s="22"/>
      <c r="F1665" s="22" t="s">
        <v>1518</v>
      </c>
      <c r="G1665" s="22"/>
      <c r="H1665" s="22"/>
      <c r="I1665" s="25" t="s">
        <v>6861</v>
      </c>
      <c r="J1665" s="22"/>
      <c r="K1665" s="22" t="s">
        <v>6862</v>
      </c>
      <c r="L1665" s="22" t="s">
        <v>2493</v>
      </c>
      <c r="M1665" s="22" t="str">
        <f>HYPERLINK("https://ceds.ed.gov/cedselementdetails.aspx?termid=21136")</f>
        <v>https://ceds.ed.gov/cedselementdetails.aspx?termid=21136</v>
      </c>
    </row>
    <row r="1666" spans="1:13" ht="43.2" x14ac:dyDescent="0.3">
      <c r="A1666" s="22" t="s">
        <v>7671</v>
      </c>
      <c r="B1666" s="22" t="s">
        <v>7672</v>
      </c>
      <c r="C1666" s="23" t="s">
        <v>32</v>
      </c>
      <c r="D1666" s="24" t="s">
        <v>8849</v>
      </c>
      <c r="E1666" s="22"/>
      <c r="F1666" s="22" t="s">
        <v>1518</v>
      </c>
      <c r="G1666" s="22"/>
      <c r="H1666" s="22"/>
      <c r="I1666" s="25" t="s">
        <v>7673</v>
      </c>
      <c r="J1666" s="22"/>
      <c r="K1666" s="22" t="s">
        <v>7674</v>
      </c>
      <c r="L1666" s="22"/>
      <c r="M1666" s="22" t="str">
        <f>HYPERLINK("https://ceds.ed.gov/cedselementdetails.aspx?termid=22963")</f>
        <v>https://ceds.ed.gov/cedselementdetails.aspx?termid=22963</v>
      </c>
    </row>
    <row r="1667" spans="1:13" ht="43.2" x14ac:dyDescent="0.3">
      <c r="A1667" s="22" t="s">
        <v>6863</v>
      </c>
      <c r="B1667" s="22" t="s">
        <v>6864</v>
      </c>
      <c r="C1667" s="23" t="s">
        <v>32</v>
      </c>
      <c r="D1667" s="24" t="s">
        <v>8849</v>
      </c>
      <c r="E1667" s="22"/>
      <c r="F1667" s="22" t="s">
        <v>1518</v>
      </c>
      <c r="G1667" s="22"/>
      <c r="H1667" s="22"/>
      <c r="I1667" s="25" t="s">
        <v>6865</v>
      </c>
      <c r="J1667" s="22"/>
      <c r="K1667" s="22" t="s">
        <v>6866</v>
      </c>
      <c r="L1667" s="22" t="s">
        <v>2493</v>
      </c>
      <c r="M1667" s="22" t="str">
        <f>HYPERLINK("https://ceds.ed.gov/cedselementdetails.aspx?termid=21205")</f>
        <v>https://ceds.ed.gov/cedselementdetails.aspx?termid=21205</v>
      </c>
    </row>
    <row r="1668" spans="1:13" ht="43.2" x14ac:dyDescent="0.3">
      <c r="A1668" s="22" t="s">
        <v>6867</v>
      </c>
      <c r="B1668" s="22" t="s">
        <v>6868</v>
      </c>
      <c r="C1668" s="23" t="s">
        <v>32</v>
      </c>
      <c r="D1668" s="24" t="s">
        <v>8849</v>
      </c>
      <c r="E1668" s="22"/>
      <c r="F1668" s="22" t="s">
        <v>1518</v>
      </c>
      <c r="G1668" s="22"/>
      <c r="H1668" s="22"/>
      <c r="I1668" s="25" t="s">
        <v>6869</v>
      </c>
      <c r="J1668" s="22"/>
      <c r="K1668" s="22" t="s">
        <v>6870</v>
      </c>
      <c r="L1668" s="22" t="s">
        <v>2493</v>
      </c>
      <c r="M1668" s="22" t="str">
        <f>HYPERLINK("https://ceds.ed.gov/cedselementdetails.aspx?termid=21233")</f>
        <v>https://ceds.ed.gov/cedselementdetails.aspx?termid=21233</v>
      </c>
    </row>
    <row r="1669" spans="1:13" ht="57.6" x14ac:dyDescent="0.3">
      <c r="A1669" s="22" t="s">
        <v>7675</v>
      </c>
      <c r="B1669" s="22" t="s">
        <v>7676</v>
      </c>
      <c r="C1669" s="26" t="s">
        <v>9149</v>
      </c>
      <c r="D1669" s="24" t="s">
        <v>8849</v>
      </c>
      <c r="E1669" s="22"/>
      <c r="F1669" s="22"/>
      <c r="G1669" s="22"/>
      <c r="H1669" s="22"/>
      <c r="I1669" s="25" t="s">
        <v>7677</v>
      </c>
      <c r="J1669" s="22"/>
      <c r="K1669" s="22" t="s">
        <v>7678</v>
      </c>
      <c r="L1669" s="22"/>
      <c r="M1669" s="22" t="str">
        <f>HYPERLINK("https://ceds.ed.gov/cedselementdetails.aspx?termid=22964")</f>
        <v>https://ceds.ed.gov/cedselementdetails.aspx?termid=22964</v>
      </c>
    </row>
    <row r="1670" spans="1:13" ht="43.2" x14ac:dyDescent="0.3">
      <c r="A1670" s="22" t="s">
        <v>6871</v>
      </c>
      <c r="B1670" s="22" t="s">
        <v>6872</v>
      </c>
      <c r="C1670" s="23" t="s">
        <v>32</v>
      </c>
      <c r="D1670" s="24" t="s">
        <v>8849</v>
      </c>
      <c r="E1670" s="22"/>
      <c r="F1670" s="22" t="s">
        <v>1518</v>
      </c>
      <c r="G1670" s="22"/>
      <c r="H1670" s="22"/>
      <c r="I1670" s="25" t="s">
        <v>6873</v>
      </c>
      <c r="J1670" s="22"/>
      <c r="K1670" s="22" t="s">
        <v>6874</v>
      </c>
      <c r="L1670" s="22" t="s">
        <v>2493</v>
      </c>
      <c r="M1670" s="22" t="str">
        <f>HYPERLINK("https://ceds.ed.gov/cedselementdetails.aspx?termid=21293")</f>
        <v>https://ceds.ed.gov/cedselementdetails.aspx?termid=21293</v>
      </c>
    </row>
    <row r="1671" spans="1:13" ht="43.2" x14ac:dyDescent="0.3">
      <c r="A1671" s="22" t="s">
        <v>6875</v>
      </c>
      <c r="B1671" s="22" t="s">
        <v>8324</v>
      </c>
      <c r="C1671" s="23" t="s">
        <v>32</v>
      </c>
      <c r="D1671" s="24" t="s">
        <v>8849</v>
      </c>
      <c r="E1671" s="22"/>
      <c r="F1671" s="22" t="s">
        <v>1518</v>
      </c>
      <c r="G1671" s="22"/>
      <c r="H1671" s="22"/>
      <c r="I1671" s="25" t="s">
        <v>6876</v>
      </c>
      <c r="J1671" s="22"/>
      <c r="K1671" s="22" t="s">
        <v>6877</v>
      </c>
      <c r="L1671" s="22" t="s">
        <v>2493</v>
      </c>
      <c r="M1671" s="22" t="str">
        <f>HYPERLINK("https://ceds.ed.gov/cedselementdetails.aspx?termid=21295")</f>
        <v>https://ceds.ed.gov/cedselementdetails.aspx?termid=21295</v>
      </c>
    </row>
    <row r="1672" spans="1:13" ht="72" x14ac:dyDescent="0.3">
      <c r="A1672" s="22" t="s">
        <v>6878</v>
      </c>
      <c r="B1672" s="22" t="s">
        <v>6879</v>
      </c>
      <c r="C1672" s="23" t="s">
        <v>32</v>
      </c>
      <c r="D1672" s="24" t="s">
        <v>8840</v>
      </c>
      <c r="E1672" s="22"/>
      <c r="F1672" s="22" t="s">
        <v>118</v>
      </c>
      <c r="G1672" s="22"/>
      <c r="H1672" s="22"/>
      <c r="I1672" s="25" t="s">
        <v>6880</v>
      </c>
      <c r="J1672" s="22"/>
      <c r="K1672" s="22" t="s">
        <v>6881</v>
      </c>
      <c r="L1672" s="22" t="s">
        <v>207</v>
      </c>
      <c r="M1672" s="22" t="str">
        <f>HYPERLINK("https://ceds.ed.gov/cedselementdetails.aspx?termid=21792")</f>
        <v>https://ceds.ed.gov/cedselementdetails.aspx?termid=21792</v>
      </c>
    </row>
    <row r="1673" spans="1:13" ht="72" x14ac:dyDescent="0.3">
      <c r="A1673" s="22" t="s">
        <v>6882</v>
      </c>
      <c r="B1673" s="22" t="s">
        <v>6883</v>
      </c>
      <c r="C1673" s="23" t="s">
        <v>32</v>
      </c>
      <c r="D1673" s="24" t="s">
        <v>8840</v>
      </c>
      <c r="E1673" s="22"/>
      <c r="F1673" s="22" t="s">
        <v>118</v>
      </c>
      <c r="G1673" s="22"/>
      <c r="H1673" s="22"/>
      <c r="I1673" s="25" t="s">
        <v>6884</v>
      </c>
      <c r="J1673" s="22"/>
      <c r="K1673" s="22" t="s">
        <v>6885</v>
      </c>
      <c r="L1673" s="22" t="s">
        <v>207</v>
      </c>
      <c r="M1673" s="22" t="str">
        <f>HYPERLINK("https://ceds.ed.gov/cedselementdetails.aspx?termid=21793")</f>
        <v>https://ceds.ed.gov/cedselementdetails.aspx?termid=21793</v>
      </c>
    </row>
    <row r="1674" spans="1:13" x14ac:dyDescent="0.3">
      <c r="A1674" s="22" t="s">
        <v>6886</v>
      </c>
      <c r="B1674" s="22" t="s">
        <v>6887</v>
      </c>
      <c r="C1674" s="23" t="s">
        <v>32</v>
      </c>
      <c r="D1674" s="22" t="s">
        <v>3895</v>
      </c>
      <c r="E1674" s="22"/>
      <c r="F1674" s="22" t="s">
        <v>55</v>
      </c>
      <c r="G1674" s="22"/>
      <c r="H1674" s="22"/>
      <c r="I1674" s="25" t="s">
        <v>6888</v>
      </c>
      <c r="J1674" s="22"/>
      <c r="K1674" s="22" t="s">
        <v>6889</v>
      </c>
      <c r="L1674" s="22"/>
      <c r="M1674" s="22" t="str">
        <f>HYPERLINK("https://ceds.ed.gov/cedselementdetails.aspx?termid=21102")</f>
        <v>https://ceds.ed.gov/cedselementdetails.aspx?termid=21102</v>
      </c>
    </row>
    <row r="1675" spans="1:13" x14ac:dyDescent="0.3">
      <c r="A1675" s="22" t="s">
        <v>7679</v>
      </c>
      <c r="B1675" s="22" t="s">
        <v>7680</v>
      </c>
      <c r="C1675" s="23" t="s">
        <v>32</v>
      </c>
      <c r="D1675" s="22" t="s">
        <v>3895</v>
      </c>
      <c r="E1675" s="22"/>
      <c r="F1675" s="22" t="s">
        <v>157</v>
      </c>
      <c r="G1675" s="22"/>
      <c r="H1675" s="22"/>
      <c r="I1675" s="25" t="s">
        <v>7681</v>
      </c>
      <c r="J1675" s="22"/>
      <c r="K1675" s="22" t="s">
        <v>7682</v>
      </c>
      <c r="L1675" s="22"/>
      <c r="M1675" s="22" t="str">
        <f>HYPERLINK("https://ceds.ed.gov/cedselementdetails.aspx?termid=22965")</f>
        <v>https://ceds.ed.gov/cedselementdetails.aspx?termid=22965</v>
      </c>
    </row>
    <row r="1676" spans="1:13" x14ac:dyDescent="0.3">
      <c r="A1676" s="22" t="s">
        <v>7683</v>
      </c>
      <c r="B1676" s="22" t="s">
        <v>7684</v>
      </c>
      <c r="C1676" s="23" t="s">
        <v>32</v>
      </c>
      <c r="D1676" s="22" t="s">
        <v>3895</v>
      </c>
      <c r="E1676" s="22"/>
      <c r="F1676" s="22" t="s">
        <v>55</v>
      </c>
      <c r="G1676" s="22"/>
      <c r="H1676" s="22"/>
      <c r="I1676" s="25" t="s">
        <v>7685</v>
      </c>
      <c r="J1676" s="22"/>
      <c r="K1676" s="22" t="s">
        <v>7686</v>
      </c>
      <c r="L1676" s="22"/>
      <c r="M1676" s="22" t="str">
        <f>HYPERLINK("https://ceds.ed.gov/cedselementdetails.aspx?termid=22966")</f>
        <v>https://ceds.ed.gov/cedselementdetails.aspx?termid=22966</v>
      </c>
    </row>
    <row r="1677" spans="1:13" x14ac:dyDescent="0.3">
      <c r="A1677" s="22" t="s">
        <v>7687</v>
      </c>
      <c r="B1677" s="22" t="s">
        <v>8325</v>
      </c>
      <c r="C1677" s="23" t="s">
        <v>32</v>
      </c>
      <c r="D1677" s="22" t="s">
        <v>3895</v>
      </c>
      <c r="E1677" s="22"/>
      <c r="F1677" s="22" t="s">
        <v>157</v>
      </c>
      <c r="G1677" s="22"/>
      <c r="H1677" s="22"/>
      <c r="I1677" s="25" t="s">
        <v>7688</v>
      </c>
      <c r="J1677" s="22"/>
      <c r="K1677" s="22" t="s">
        <v>7689</v>
      </c>
      <c r="L1677" s="22"/>
      <c r="M1677" s="22" t="str">
        <f>HYPERLINK("https://ceds.ed.gov/cedselementdetails.aspx?termid=22967")</f>
        <v>https://ceds.ed.gov/cedselementdetails.aspx?termid=22967</v>
      </c>
    </row>
    <row r="1678" spans="1:13" x14ac:dyDescent="0.3">
      <c r="A1678" s="22" t="s">
        <v>6890</v>
      </c>
      <c r="B1678" s="22" t="s">
        <v>7690</v>
      </c>
      <c r="C1678" s="23" t="s">
        <v>32</v>
      </c>
      <c r="D1678" s="22" t="s">
        <v>3895</v>
      </c>
      <c r="E1678" s="22"/>
      <c r="F1678" s="22" t="s">
        <v>55</v>
      </c>
      <c r="G1678" s="22"/>
      <c r="H1678" s="22"/>
      <c r="I1678" s="25" t="s">
        <v>6891</v>
      </c>
      <c r="J1678" s="22"/>
      <c r="K1678" s="22" t="s">
        <v>6892</v>
      </c>
      <c r="L1678" s="22"/>
      <c r="M1678" s="22" t="str">
        <f>HYPERLINK("https://ceds.ed.gov/cedselementdetails.aspx?termid=21103")</f>
        <v>https://ceds.ed.gov/cedselementdetails.aspx?termid=21103</v>
      </c>
    </row>
    <row r="1679" spans="1:13" x14ac:dyDescent="0.3">
      <c r="A1679" s="22" t="s">
        <v>6893</v>
      </c>
      <c r="B1679" s="22" t="s">
        <v>7691</v>
      </c>
      <c r="C1679" s="23" t="s">
        <v>32</v>
      </c>
      <c r="D1679" s="22" t="s">
        <v>3895</v>
      </c>
      <c r="E1679" s="22"/>
      <c r="F1679" s="22" t="s">
        <v>157</v>
      </c>
      <c r="G1679" s="22"/>
      <c r="H1679" s="22"/>
      <c r="I1679" s="25" t="s">
        <v>6894</v>
      </c>
      <c r="J1679" s="22"/>
      <c r="K1679" s="22" t="s">
        <v>6895</v>
      </c>
      <c r="L1679" s="22"/>
      <c r="M1679" s="22" t="str">
        <f>HYPERLINK("https://ceds.ed.gov/cedselementdetails.aspx?termid=21104")</f>
        <v>https://ceds.ed.gov/cedselementdetails.aspx?termid=21104</v>
      </c>
    </row>
    <row r="1680" spans="1:13" x14ac:dyDescent="0.3">
      <c r="A1680" s="22" t="s">
        <v>6896</v>
      </c>
      <c r="B1680" s="22" t="s">
        <v>6897</v>
      </c>
      <c r="C1680" s="23" t="s">
        <v>32</v>
      </c>
      <c r="D1680" s="22" t="s">
        <v>3895</v>
      </c>
      <c r="E1680" s="22"/>
      <c r="F1680" s="22" t="s">
        <v>157</v>
      </c>
      <c r="G1680" s="22"/>
      <c r="H1680" s="22"/>
      <c r="I1680" s="25" t="s">
        <v>6898</v>
      </c>
      <c r="J1680" s="22"/>
      <c r="K1680" s="22" t="s">
        <v>6899</v>
      </c>
      <c r="L1680" s="22"/>
      <c r="M1680" s="22" t="str">
        <f>HYPERLINK("https://ceds.ed.gov/cedselementdetails.aspx?termid=21105")</f>
        <v>https://ceds.ed.gov/cedselementdetails.aspx?termid=21105</v>
      </c>
    </row>
    <row r="1681" spans="1:13" ht="100.8" x14ac:dyDescent="0.3">
      <c r="A1681" s="22" t="s">
        <v>6900</v>
      </c>
      <c r="B1681" s="22" t="s">
        <v>6901</v>
      </c>
      <c r="C1681" s="23" t="s">
        <v>32</v>
      </c>
      <c r="D1681" s="24" t="s">
        <v>8530</v>
      </c>
      <c r="E1681" s="22" t="s">
        <v>172</v>
      </c>
      <c r="F1681" s="22" t="s">
        <v>4141</v>
      </c>
      <c r="G1681" s="22" t="s">
        <v>7946</v>
      </c>
      <c r="H1681" s="22"/>
      <c r="I1681" s="25" t="s">
        <v>6902</v>
      </c>
      <c r="J1681" s="22" t="s">
        <v>6903</v>
      </c>
      <c r="K1681" s="22" t="s">
        <v>6904</v>
      </c>
      <c r="L1681" s="24" t="s">
        <v>6905</v>
      </c>
      <c r="M1681" s="22" t="str">
        <f>HYPERLINK("https://ceds.ed.gov/cedselementdetails.aspx?termid=21118")</f>
        <v>https://ceds.ed.gov/cedselementdetails.aspx?termid=21118</v>
      </c>
    </row>
    <row r="1682" spans="1:13" ht="331.2" x14ac:dyDescent="0.3">
      <c r="A1682" s="22" t="s">
        <v>6906</v>
      </c>
      <c r="B1682" s="22" t="s">
        <v>6907</v>
      </c>
      <c r="C1682" s="26" t="s">
        <v>8531</v>
      </c>
      <c r="D1682" s="24" t="s">
        <v>8532</v>
      </c>
      <c r="E1682" s="22" t="s">
        <v>172</v>
      </c>
      <c r="F1682" s="22"/>
      <c r="G1682" s="22" t="s">
        <v>7946</v>
      </c>
      <c r="H1682" s="22"/>
      <c r="I1682" s="25" t="s">
        <v>6908</v>
      </c>
      <c r="J1682" s="22"/>
      <c r="K1682" s="22" t="s">
        <v>6909</v>
      </c>
      <c r="L1682" s="24" t="s">
        <v>6910</v>
      </c>
      <c r="M1682" s="22" t="str">
        <f>HYPERLINK("https://ceds.ed.gov/cedselementdetails.aspx?termid=21162")</f>
        <v>https://ceds.ed.gov/cedselementdetails.aspx?termid=21162</v>
      </c>
    </row>
    <row r="1683" spans="1:13" ht="331.2" x14ac:dyDescent="0.3">
      <c r="A1683" s="22" t="s">
        <v>6911</v>
      </c>
      <c r="B1683" s="22" t="s">
        <v>6912</v>
      </c>
      <c r="C1683" s="23" t="s">
        <v>32</v>
      </c>
      <c r="D1683" s="24" t="s">
        <v>8532</v>
      </c>
      <c r="E1683" s="22" t="s">
        <v>172</v>
      </c>
      <c r="F1683" s="22" t="s">
        <v>132</v>
      </c>
      <c r="G1683" s="22" t="s">
        <v>7946</v>
      </c>
      <c r="H1683" s="22" t="s">
        <v>7945</v>
      </c>
      <c r="I1683" s="25" t="s">
        <v>6913</v>
      </c>
      <c r="J1683" s="22"/>
      <c r="K1683" s="22" t="s">
        <v>6914</v>
      </c>
      <c r="L1683" s="24" t="s">
        <v>6915</v>
      </c>
      <c r="M1683" s="22" t="str">
        <f>HYPERLINK("https://ceds.ed.gov/cedselementdetails.aspx?termid=21156")</f>
        <v>https://ceds.ed.gov/cedselementdetails.aspx?termid=21156</v>
      </c>
    </row>
    <row r="1684" spans="1:13" x14ac:dyDescent="0.3">
      <c r="A1684" s="22" t="s">
        <v>6916</v>
      </c>
      <c r="B1684" s="22" t="s">
        <v>6917</v>
      </c>
      <c r="C1684" s="23" t="s">
        <v>32</v>
      </c>
      <c r="D1684" s="22" t="s">
        <v>8033</v>
      </c>
      <c r="E1684" s="22"/>
      <c r="F1684" s="22" t="s">
        <v>118</v>
      </c>
      <c r="G1684" s="22"/>
      <c r="H1684" s="22"/>
      <c r="I1684" s="25" t="s">
        <v>6918</v>
      </c>
      <c r="J1684" s="22"/>
      <c r="K1684" s="22" t="s">
        <v>6919</v>
      </c>
      <c r="L1684" s="22" t="s">
        <v>207</v>
      </c>
      <c r="M1684" s="22" t="str">
        <f>HYPERLINK("https://ceds.ed.gov/cedselementdetails.aspx?termid=22068")</f>
        <v>https://ceds.ed.gov/cedselementdetails.aspx?termid=22068</v>
      </c>
    </row>
    <row r="1685" spans="1:13" x14ac:dyDescent="0.3">
      <c r="A1685" s="22" t="s">
        <v>6920</v>
      </c>
      <c r="B1685" s="22" t="s">
        <v>6921</v>
      </c>
      <c r="C1685" s="23" t="s">
        <v>32</v>
      </c>
      <c r="D1685" s="22" t="s">
        <v>8033</v>
      </c>
      <c r="E1685" s="22"/>
      <c r="F1685" s="22" t="s">
        <v>118</v>
      </c>
      <c r="G1685" s="22"/>
      <c r="H1685" s="22"/>
      <c r="I1685" s="25" t="s">
        <v>6922</v>
      </c>
      <c r="J1685" s="22"/>
      <c r="K1685" s="22" t="s">
        <v>6923</v>
      </c>
      <c r="L1685" s="22" t="s">
        <v>207</v>
      </c>
      <c r="M1685" s="22" t="str">
        <f>HYPERLINK("https://ceds.ed.gov/cedselementdetails.aspx?termid=22067")</f>
        <v>https://ceds.ed.gov/cedselementdetails.aspx?termid=22067</v>
      </c>
    </row>
    <row r="1686" spans="1:13" ht="302.39999999999998" x14ac:dyDescent="0.3">
      <c r="A1686" s="22" t="s">
        <v>6924</v>
      </c>
      <c r="B1686" s="22" t="s">
        <v>8326</v>
      </c>
      <c r="C1686" s="23" t="s">
        <v>32</v>
      </c>
      <c r="D1686" s="24" t="s">
        <v>9150</v>
      </c>
      <c r="E1686" s="22"/>
      <c r="F1686" s="22" t="s">
        <v>6925</v>
      </c>
      <c r="G1686" s="22"/>
      <c r="H1686" s="22"/>
      <c r="I1686" s="25" t="s">
        <v>6926</v>
      </c>
      <c r="J1686" s="22"/>
      <c r="K1686" s="22" t="s">
        <v>6927</v>
      </c>
      <c r="L1686" s="22" t="s">
        <v>69</v>
      </c>
      <c r="M1686" s="22" t="str">
        <f>HYPERLINK("https://ceds.ed.gov/cedselementdetails.aspx?termid=21707")</f>
        <v>https://ceds.ed.gov/cedselementdetails.aspx?termid=21707</v>
      </c>
    </row>
    <row r="1687" spans="1:13" x14ac:dyDescent="0.3">
      <c r="A1687" s="22" t="s">
        <v>6928</v>
      </c>
      <c r="B1687" s="22" t="s">
        <v>6929</v>
      </c>
      <c r="C1687" s="23" t="s">
        <v>32</v>
      </c>
      <c r="D1687" s="22" t="s">
        <v>6930</v>
      </c>
      <c r="E1687" s="22"/>
      <c r="F1687" s="22" t="s">
        <v>148</v>
      </c>
      <c r="G1687" s="22"/>
      <c r="H1687" s="22"/>
      <c r="I1687" s="25" t="s">
        <v>6931</v>
      </c>
      <c r="J1687" s="22"/>
      <c r="K1687" s="22" t="s">
        <v>6932</v>
      </c>
      <c r="L1687" s="22" t="s">
        <v>242</v>
      </c>
      <c r="M1687" s="22" t="str">
        <f>HYPERLINK("https://ceds.ed.gov/cedselementdetails.aspx?termid=21265")</f>
        <v>https://ceds.ed.gov/cedselementdetails.aspx?termid=21265</v>
      </c>
    </row>
    <row r="1688" spans="1:13" ht="244.8" x14ac:dyDescent="0.3">
      <c r="A1688" s="22" t="s">
        <v>6933</v>
      </c>
      <c r="B1688" s="22" t="s">
        <v>6934</v>
      </c>
      <c r="C1688" s="26" t="s">
        <v>9151</v>
      </c>
      <c r="D1688" s="22" t="s">
        <v>6930</v>
      </c>
      <c r="E1688" s="22"/>
      <c r="F1688" s="22"/>
      <c r="G1688" s="22"/>
      <c r="H1688" s="22"/>
      <c r="I1688" s="25" t="s">
        <v>6935</v>
      </c>
      <c r="J1688" s="22"/>
      <c r="K1688" s="22" t="s">
        <v>6936</v>
      </c>
      <c r="L1688" s="22" t="s">
        <v>242</v>
      </c>
      <c r="M1688" s="22" t="str">
        <f>HYPERLINK("https://ceds.ed.gov/cedselementdetails.aspx?termid=21266")</f>
        <v>https://ceds.ed.gov/cedselementdetails.aspx?termid=21266</v>
      </c>
    </row>
    <row r="1689" spans="1:13" ht="43.2" x14ac:dyDescent="0.3">
      <c r="A1689" s="22" t="s">
        <v>6937</v>
      </c>
      <c r="B1689" s="22" t="s">
        <v>6938</v>
      </c>
      <c r="C1689" s="23" t="s">
        <v>32</v>
      </c>
      <c r="D1689" s="24" t="s">
        <v>3574</v>
      </c>
      <c r="E1689" s="22"/>
      <c r="F1689" s="22"/>
      <c r="G1689" s="22"/>
      <c r="H1689" s="22"/>
      <c r="I1689" s="25" t="s">
        <v>6939</v>
      </c>
      <c r="J1689" s="22"/>
      <c r="K1689" s="22" t="s">
        <v>6940</v>
      </c>
      <c r="L1689" s="22"/>
      <c r="M1689" s="22" t="str">
        <f>HYPERLINK("https://ceds.ed.gov/cedselementdetails.aspx?termid=22900")</f>
        <v>https://ceds.ed.gov/cedselementdetails.aspx?termid=22900</v>
      </c>
    </row>
    <row r="1690" spans="1:13" ht="409.6" x14ac:dyDescent="0.3">
      <c r="A1690" s="22" t="s">
        <v>6941</v>
      </c>
      <c r="B1690" s="22" t="s">
        <v>6942</v>
      </c>
      <c r="C1690" s="26" t="s">
        <v>8533</v>
      </c>
      <c r="D1690" s="24" t="s">
        <v>8392</v>
      </c>
      <c r="E1690" s="22" t="s">
        <v>172</v>
      </c>
      <c r="F1690" s="22"/>
      <c r="G1690" s="22" t="s">
        <v>8327</v>
      </c>
      <c r="H1690" s="22"/>
      <c r="I1690" s="25" t="s">
        <v>6943</v>
      </c>
      <c r="J1690" s="22"/>
      <c r="K1690" s="22" t="s">
        <v>6944</v>
      </c>
      <c r="L1690" s="24" t="s">
        <v>6945</v>
      </c>
      <c r="M1690" s="22" t="str">
        <f>HYPERLINK("https://ceds.ed.gov/cedselementdetails.aspx?termid=21267")</f>
        <v>https://ceds.ed.gov/cedselementdetails.aspx?termid=21267</v>
      </c>
    </row>
    <row r="1691" spans="1:13" ht="144" x14ac:dyDescent="0.3">
      <c r="A1691" s="22" t="s">
        <v>6946</v>
      </c>
      <c r="B1691" s="22" t="s">
        <v>8328</v>
      </c>
      <c r="C1691" s="26" t="s">
        <v>8534</v>
      </c>
      <c r="D1691" s="24" t="s">
        <v>8535</v>
      </c>
      <c r="E1691" s="22" t="s">
        <v>172</v>
      </c>
      <c r="F1691" s="22"/>
      <c r="G1691" s="22" t="s">
        <v>8329</v>
      </c>
      <c r="H1691" s="22"/>
      <c r="I1691" s="25" t="s">
        <v>6947</v>
      </c>
      <c r="J1691" s="22"/>
      <c r="K1691" s="22" t="s">
        <v>6948</v>
      </c>
      <c r="L1691" s="22"/>
      <c r="M1691" s="22" t="str">
        <f>HYPERLINK("https://ceds.ed.gov/cedselementdetails.aspx?termid=22463")</f>
        <v>https://ceds.ed.gov/cedselementdetails.aspx?termid=22463</v>
      </c>
    </row>
    <row r="1692" spans="1:13" ht="72" x14ac:dyDescent="0.3">
      <c r="A1692" s="22" t="s">
        <v>6949</v>
      </c>
      <c r="B1692" s="22" t="s">
        <v>6950</v>
      </c>
      <c r="C1692" s="23" t="s">
        <v>32</v>
      </c>
      <c r="D1692" s="24" t="s">
        <v>8535</v>
      </c>
      <c r="E1692" s="22" t="s">
        <v>172</v>
      </c>
      <c r="F1692" s="22" t="s">
        <v>132</v>
      </c>
      <c r="G1692" s="22" t="s">
        <v>7946</v>
      </c>
      <c r="H1692" s="22" t="s">
        <v>8043</v>
      </c>
      <c r="I1692" s="25" t="s">
        <v>6951</v>
      </c>
      <c r="J1692" s="22"/>
      <c r="K1692" s="22" t="s">
        <v>6952</v>
      </c>
      <c r="L1692" s="22"/>
      <c r="M1692" s="22" t="str">
        <f>HYPERLINK("https://ceds.ed.gov/cedselementdetails.aspx?termid=22462")</f>
        <v>https://ceds.ed.gov/cedselementdetails.aspx?termid=22462</v>
      </c>
    </row>
    <row r="1693" spans="1:13" ht="409.6" x14ac:dyDescent="0.3">
      <c r="A1693" s="22" t="s">
        <v>6953</v>
      </c>
      <c r="B1693" s="22" t="s">
        <v>6954</v>
      </c>
      <c r="C1693" s="26" t="s">
        <v>8536</v>
      </c>
      <c r="D1693" s="24" t="s">
        <v>8537</v>
      </c>
      <c r="E1693" s="22" t="s">
        <v>172</v>
      </c>
      <c r="F1693" s="22"/>
      <c r="G1693" s="22" t="s">
        <v>8330</v>
      </c>
      <c r="H1693" s="22"/>
      <c r="I1693" s="25" t="s">
        <v>6955</v>
      </c>
      <c r="J1693" s="22"/>
      <c r="K1693" s="22" t="s">
        <v>6956</v>
      </c>
      <c r="L1693" s="24" t="s">
        <v>6957</v>
      </c>
      <c r="M1693" s="22" t="str">
        <f>HYPERLINK("https://ceds.ed.gov/cedselementdetails.aspx?termid=21414")</f>
        <v>https://ceds.ed.gov/cedselementdetails.aspx?termid=21414</v>
      </c>
    </row>
    <row r="1694" spans="1:13" ht="43.2" x14ac:dyDescent="0.3">
      <c r="A1694" s="22" t="s">
        <v>6958</v>
      </c>
      <c r="B1694" s="22" t="s">
        <v>6959</v>
      </c>
      <c r="C1694" s="26" t="s">
        <v>22</v>
      </c>
      <c r="D1694" s="22" t="s">
        <v>8033</v>
      </c>
      <c r="E1694" s="22"/>
      <c r="F1694" s="22"/>
      <c r="G1694" s="22"/>
      <c r="H1694" s="22" t="s">
        <v>8331</v>
      </c>
      <c r="I1694" s="25" t="s">
        <v>6960</v>
      </c>
      <c r="J1694" s="22"/>
      <c r="K1694" s="22" t="s">
        <v>6961</v>
      </c>
      <c r="L1694" s="22" t="s">
        <v>207</v>
      </c>
      <c r="M1694" s="22" t="str">
        <f>HYPERLINK("https://ceds.ed.gov/cedselementdetails.aspx?termid=21814")</f>
        <v>https://ceds.ed.gov/cedselementdetails.aspx?termid=21814</v>
      </c>
    </row>
    <row r="1695" spans="1:13" ht="43.2" x14ac:dyDescent="0.3">
      <c r="A1695" s="22" t="s">
        <v>6962</v>
      </c>
      <c r="B1695" s="22" t="s">
        <v>6963</v>
      </c>
      <c r="C1695" s="26" t="s">
        <v>22</v>
      </c>
      <c r="D1695" s="22" t="s">
        <v>8033</v>
      </c>
      <c r="E1695" s="22"/>
      <c r="F1695" s="22"/>
      <c r="G1695" s="22"/>
      <c r="H1695" s="22"/>
      <c r="I1695" s="25" t="s">
        <v>6964</v>
      </c>
      <c r="J1695" s="22"/>
      <c r="K1695" s="22" t="s">
        <v>6965</v>
      </c>
      <c r="L1695" s="22" t="s">
        <v>207</v>
      </c>
      <c r="M1695" s="22" t="str">
        <f>HYPERLINK("https://ceds.ed.gov/cedselementdetails.aspx?termid=21813")</f>
        <v>https://ceds.ed.gov/cedselementdetails.aspx?termid=21813</v>
      </c>
    </row>
    <row r="1696" spans="1:13" x14ac:dyDescent="0.3">
      <c r="A1696" s="22" t="s">
        <v>6966</v>
      </c>
      <c r="B1696" s="22" t="s">
        <v>6967</v>
      </c>
      <c r="C1696" s="23" t="s">
        <v>32</v>
      </c>
      <c r="D1696" s="22" t="s">
        <v>1536</v>
      </c>
      <c r="E1696" s="22"/>
      <c r="F1696" s="22" t="s">
        <v>775</v>
      </c>
      <c r="G1696" s="22"/>
      <c r="H1696" s="22"/>
      <c r="I1696" s="25" t="s">
        <v>6968</v>
      </c>
      <c r="J1696" s="22"/>
      <c r="K1696" s="22" t="s">
        <v>6969</v>
      </c>
      <c r="L1696" s="22" t="s">
        <v>214</v>
      </c>
      <c r="M1696" s="22" t="str">
        <f>HYPERLINK("https://ceds.ed.gov/cedselementdetails.aspx?termid=21444")</f>
        <v>https://ceds.ed.gov/cedselementdetails.aspx?termid=21444</v>
      </c>
    </row>
    <row r="1697" spans="1:13" ht="43.2" x14ac:dyDescent="0.3">
      <c r="A1697" s="22" t="s">
        <v>6970</v>
      </c>
      <c r="B1697" s="22" t="s">
        <v>6971</v>
      </c>
      <c r="C1697" s="23" t="s">
        <v>32</v>
      </c>
      <c r="D1697" s="22" t="s">
        <v>1536</v>
      </c>
      <c r="E1697" s="22"/>
      <c r="F1697" s="22" t="s">
        <v>775</v>
      </c>
      <c r="G1697" s="22"/>
      <c r="H1697" s="22"/>
      <c r="I1697" s="25" t="s">
        <v>6972</v>
      </c>
      <c r="J1697" s="22"/>
      <c r="K1697" s="22" t="s">
        <v>6973</v>
      </c>
      <c r="L1697" s="24" t="s">
        <v>6974</v>
      </c>
      <c r="M1697" s="22" t="str">
        <f>HYPERLINK("https://ceds.ed.gov/cedselementdetails.aspx?termid=21443")</f>
        <v>https://ceds.ed.gov/cedselementdetails.aspx?termid=21443</v>
      </c>
    </row>
    <row r="1698" spans="1:13" ht="43.2" x14ac:dyDescent="0.3">
      <c r="A1698" s="22" t="s">
        <v>6975</v>
      </c>
      <c r="B1698" s="22" t="s">
        <v>6976</v>
      </c>
      <c r="C1698" s="26" t="s">
        <v>22</v>
      </c>
      <c r="D1698" s="22" t="s">
        <v>1202</v>
      </c>
      <c r="E1698" s="22"/>
      <c r="F1698" s="22"/>
      <c r="G1698" s="22"/>
      <c r="H1698" s="22"/>
      <c r="I1698" s="25" t="s">
        <v>6977</v>
      </c>
      <c r="J1698" s="22"/>
      <c r="K1698" s="22" t="s">
        <v>6978</v>
      </c>
      <c r="L1698" s="22"/>
      <c r="M1698" s="22" t="str">
        <f>HYPERLINK("https://ceds.ed.gov/cedselementdetails.aspx?termid=22742")</f>
        <v>https://ceds.ed.gov/cedselementdetails.aspx?termid=22742</v>
      </c>
    </row>
    <row r="1699" spans="1:13" ht="409.6" x14ac:dyDescent="0.3">
      <c r="A1699" s="22" t="s">
        <v>6979</v>
      </c>
      <c r="B1699" s="22" t="s">
        <v>6980</v>
      </c>
      <c r="C1699" s="26" t="s">
        <v>8538</v>
      </c>
      <c r="D1699" s="24" t="s">
        <v>9152</v>
      </c>
      <c r="E1699" s="22"/>
      <c r="F1699" s="22"/>
      <c r="G1699" s="22"/>
      <c r="H1699" s="22"/>
      <c r="I1699" s="25" t="s">
        <v>6981</v>
      </c>
      <c r="J1699" s="22"/>
      <c r="K1699" s="22" t="s">
        <v>6982</v>
      </c>
      <c r="L1699" s="22" t="s">
        <v>207</v>
      </c>
      <c r="M1699" s="22" t="str">
        <f>HYPERLINK("https://ceds.ed.gov/cedselementdetails.aspx?termid=21804")</f>
        <v>https://ceds.ed.gov/cedselementdetails.aspx?termid=21804</v>
      </c>
    </row>
    <row r="1700" spans="1:13" x14ac:dyDescent="0.3">
      <c r="A1700" s="22" t="s">
        <v>6983</v>
      </c>
      <c r="B1700" s="22" t="s">
        <v>6984</v>
      </c>
      <c r="C1700" s="23" t="s">
        <v>32</v>
      </c>
      <c r="D1700" s="22" t="s">
        <v>8053</v>
      </c>
      <c r="E1700" s="22"/>
      <c r="F1700" s="22" t="s">
        <v>317</v>
      </c>
      <c r="G1700" s="22"/>
      <c r="H1700" s="22"/>
      <c r="I1700" s="25" t="s">
        <v>6985</v>
      </c>
      <c r="J1700" s="22"/>
      <c r="K1700" s="22" t="s">
        <v>6986</v>
      </c>
      <c r="L1700" s="22" t="s">
        <v>109</v>
      </c>
      <c r="M1700" s="22" t="str">
        <f>HYPERLINK("https://ceds.ed.gov/cedselementdetails.aspx?termid=21865")</f>
        <v>https://ceds.ed.gov/cedselementdetails.aspx?termid=21865</v>
      </c>
    </row>
    <row r="1701" spans="1:13" ht="409.6" x14ac:dyDescent="0.3">
      <c r="A1701" s="22" t="s">
        <v>6987</v>
      </c>
      <c r="B1701" s="22" t="s">
        <v>6988</v>
      </c>
      <c r="C1701" s="26" t="s">
        <v>8538</v>
      </c>
      <c r="D1701" s="24" t="s">
        <v>8509</v>
      </c>
      <c r="E1701" s="22" t="s">
        <v>172</v>
      </c>
      <c r="F1701" s="22"/>
      <c r="G1701" s="22" t="s">
        <v>7946</v>
      </c>
      <c r="H1701" s="22"/>
      <c r="I1701" s="25" t="s">
        <v>6989</v>
      </c>
      <c r="J1701" s="22"/>
      <c r="K1701" s="22" t="s">
        <v>6990</v>
      </c>
      <c r="L1701" s="22" t="s">
        <v>1553</v>
      </c>
      <c r="M1701" s="22" t="str">
        <f>HYPERLINK("https://ceds.ed.gov/cedselementdetails.aspx?termid=21417")</f>
        <v>https://ceds.ed.gov/cedselementdetails.aspx?termid=21417</v>
      </c>
    </row>
    <row r="1702" spans="1:13" ht="409.6" x14ac:dyDescent="0.3">
      <c r="A1702" s="22" t="s">
        <v>6991</v>
      </c>
      <c r="B1702" s="22" t="s">
        <v>6992</v>
      </c>
      <c r="C1702" s="26" t="s">
        <v>8538</v>
      </c>
      <c r="D1702" s="22" t="s">
        <v>6993</v>
      </c>
      <c r="E1702" s="22"/>
      <c r="F1702" s="22"/>
      <c r="G1702" s="22"/>
      <c r="H1702" s="22"/>
      <c r="I1702" s="25" t="s">
        <v>6994</v>
      </c>
      <c r="J1702" s="22"/>
      <c r="K1702" s="22" t="s">
        <v>6995</v>
      </c>
      <c r="L1702" s="24" t="s">
        <v>198</v>
      </c>
      <c r="M1702" s="22" t="str">
        <f>HYPERLINK("https://ceds.ed.gov/cedselementdetails.aspx?termid=21268")</f>
        <v>https://ceds.ed.gov/cedselementdetails.aspx?termid=21268</v>
      </c>
    </row>
    <row r="1703" spans="1:13" ht="72" x14ac:dyDescent="0.3">
      <c r="A1703" s="22" t="s">
        <v>6996</v>
      </c>
      <c r="B1703" s="22" t="s">
        <v>6997</v>
      </c>
      <c r="C1703" s="26" t="s">
        <v>8539</v>
      </c>
      <c r="D1703" s="24" t="s">
        <v>8481</v>
      </c>
      <c r="E1703" s="22" t="s">
        <v>172</v>
      </c>
      <c r="F1703" s="22"/>
      <c r="G1703" s="22" t="s">
        <v>7946</v>
      </c>
      <c r="H1703" s="22"/>
      <c r="I1703" s="25" t="s">
        <v>6998</v>
      </c>
      <c r="J1703" s="22"/>
      <c r="K1703" s="22" t="s">
        <v>6999</v>
      </c>
      <c r="L1703" s="22" t="s">
        <v>226</v>
      </c>
      <c r="M1703" s="22" t="str">
        <f>HYPERLINK("https://ceds.ed.gov/cedselementdetails.aspx?termid=21578")</f>
        <v>https://ceds.ed.gov/cedselementdetails.aspx?termid=21578</v>
      </c>
    </row>
    <row r="1704" spans="1:13" ht="43.2" x14ac:dyDescent="0.3">
      <c r="A1704" s="22" t="s">
        <v>7000</v>
      </c>
      <c r="B1704" s="22" t="s">
        <v>7001</v>
      </c>
      <c r="C1704" s="26" t="s">
        <v>22</v>
      </c>
      <c r="D1704" s="22" t="s">
        <v>3048</v>
      </c>
      <c r="E1704" s="22"/>
      <c r="F1704" s="22"/>
      <c r="G1704" s="22"/>
      <c r="H1704" s="22"/>
      <c r="I1704" s="25" t="s">
        <v>7002</v>
      </c>
      <c r="J1704" s="22"/>
      <c r="K1704" s="22" t="s">
        <v>7003</v>
      </c>
      <c r="L1704" s="22" t="s">
        <v>214</v>
      </c>
      <c r="M1704" s="22" t="str">
        <f>HYPERLINK("https://ceds.ed.gov/cedselementdetails.aspx?termid=21435")</f>
        <v>https://ceds.ed.gov/cedselementdetails.aspx?termid=21435</v>
      </c>
    </row>
    <row r="1705" spans="1:13" ht="129.6" x14ac:dyDescent="0.3">
      <c r="A1705" s="22" t="s">
        <v>7004</v>
      </c>
      <c r="B1705" s="22" t="s">
        <v>7005</v>
      </c>
      <c r="C1705" s="23" t="s">
        <v>32</v>
      </c>
      <c r="D1705" s="24" t="s">
        <v>9153</v>
      </c>
      <c r="E1705" s="22"/>
      <c r="F1705" s="22" t="s">
        <v>118</v>
      </c>
      <c r="G1705" s="22"/>
      <c r="H1705" s="22" t="s">
        <v>8332</v>
      </c>
      <c r="I1705" s="25" t="s">
        <v>7006</v>
      </c>
      <c r="J1705" s="22"/>
      <c r="K1705" s="22" t="s">
        <v>7007</v>
      </c>
      <c r="L1705" s="22"/>
      <c r="M1705" s="22" t="str">
        <f>HYPERLINK("https://ceds.ed.gov/cedselementdetails.aspx?termid=22193")</f>
        <v>https://ceds.ed.gov/cedselementdetails.aspx?termid=22193</v>
      </c>
    </row>
    <row r="1706" spans="1:13" ht="129.6" x14ac:dyDescent="0.3">
      <c r="A1706" s="22" t="s">
        <v>7008</v>
      </c>
      <c r="B1706" s="22" t="s">
        <v>7009</v>
      </c>
      <c r="C1706" s="23" t="s">
        <v>32</v>
      </c>
      <c r="D1706" s="24" t="s">
        <v>9153</v>
      </c>
      <c r="E1706" s="22"/>
      <c r="F1706" s="22" t="s">
        <v>118</v>
      </c>
      <c r="G1706" s="22"/>
      <c r="H1706" s="22"/>
      <c r="I1706" s="25" t="s">
        <v>7010</v>
      </c>
      <c r="J1706" s="22"/>
      <c r="K1706" s="22" t="s">
        <v>7011</v>
      </c>
      <c r="L1706" s="22"/>
      <c r="M1706" s="22" t="str">
        <f>HYPERLINK("https://ceds.ed.gov/cedselementdetails.aspx?termid=22192")</f>
        <v>https://ceds.ed.gov/cedselementdetails.aspx?termid=22192</v>
      </c>
    </row>
    <row r="1707" spans="1:13" x14ac:dyDescent="0.3">
      <c r="A1707" s="22" t="s">
        <v>7012</v>
      </c>
      <c r="B1707" s="22" t="s">
        <v>7013</v>
      </c>
      <c r="C1707" s="23" t="s">
        <v>32</v>
      </c>
      <c r="D1707" s="22" t="s">
        <v>27</v>
      </c>
      <c r="E1707" s="22"/>
      <c r="F1707" s="22" t="s">
        <v>7014</v>
      </c>
      <c r="G1707" s="22"/>
      <c r="H1707" s="22"/>
      <c r="I1707" s="25" t="s">
        <v>7015</v>
      </c>
      <c r="J1707" s="22"/>
      <c r="K1707" s="22" t="s">
        <v>7016</v>
      </c>
      <c r="L1707" s="22" t="s">
        <v>226</v>
      </c>
      <c r="M1707" s="22" t="str">
        <f>HYPERLINK("https://ceds.ed.gov/cedselementdetails.aspx?termid=21271")</f>
        <v>https://ceds.ed.gov/cedselementdetails.aspx?termid=21271</v>
      </c>
    </row>
    <row r="1708" spans="1:13" ht="244.8" x14ac:dyDescent="0.3">
      <c r="A1708" s="22" t="s">
        <v>7017</v>
      </c>
      <c r="B1708" s="22" t="s">
        <v>7018</v>
      </c>
      <c r="C1708" s="23" t="s">
        <v>32</v>
      </c>
      <c r="D1708" s="24" t="s">
        <v>7019</v>
      </c>
      <c r="E1708" s="22"/>
      <c r="F1708" s="22" t="s">
        <v>2543</v>
      </c>
      <c r="G1708" s="22"/>
      <c r="H1708" s="22"/>
      <c r="I1708" s="25" t="s">
        <v>7020</v>
      </c>
      <c r="J1708" s="22"/>
      <c r="K1708" s="22" t="s">
        <v>7021</v>
      </c>
      <c r="L1708" s="24" t="s">
        <v>64</v>
      </c>
      <c r="M1708" s="22" t="str">
        <f>HYPERLINK("https://ceds.ed.gov/cedselementdetails.aspx?termid=21124")</f>
        <v>https://ceds.ed.gov/cedselementdetails.aspx?termid=21124</v>
      </c>
    </row>
    <row r="1709" spans="1:13" ht="129.6" x14ac:dyDescent="0.3">
      <c r="A1709" s="22" t="s">
        <v>7022</v>
      </c>
      <c r="B1709" s="22" t="s">
        <v>7023</v>
      </c>
      <c r="C1709" s="23" t="s">
        <v>32</v>
      </c>
      <c r="D1709" s="24" t="s">
        <v>7024</v>
      </c>
      <c r="E1709" s="22"/>
      <c r="F1709" s="22" t="s">
        <v>113</v>
      </c>
      <c r="G1709" s="22"/>
      <c r="H1709" s="22"/>
      <c r="I1709" s="25" t="s">
        <v>7025</v>
      </c>
      <c r="J1709" s="22"/>
      <c r="K1709" s="22" t="s">
        <v>7026</v>
      </c>
      <c r="L1709" s="22"/>
      <c r="M1709" s="22" t="str">
        <f>HYPERLINK("https://ceds.ed.gov/cedselementdetails.aspx?termid=22552")</f>
        <v>https://ceds.ed.gov/cedselementdetails.aspx?termid=22552</v>
      </c>
    </row>
    <row r="1710" spans="1:13" ht="100.8" x14ac:dyDescent="0.3">
      <c r="A1710" s="22" t="s">
        <v>7027</v>
      </c>
      <c r="B1710" s="22" t="s">
        <v>7028</v>
      </c>
      <c r="C1710" s="26" t="s">
        <v>22</v>
      </c>
      <c r="D1710" s="24" t="s">
        <v>5385</v>
      </c>
      <c r="E1710" s="22"/>
      <c r="F1710" s="22"/>
      <c r="G1710" s="22"/>
      <c r="H1710" s="22"/>
      <c r="I1710" s="25" t="s">
        <v>7029</v>
      </c>
      <c r="J1710" s="22"/>
      <c r="K1710" s="22" t="s">
        <v>7030</v>
      </c>
      <c r="L1710" s="22"/>
      <c r="M1710" s="22" t="str">
        <f>HYPERLINK("https://ceds.ed.gov/cedselementdetails.aspx?termid=22191")</f>
        <v>https://ceds.ed.gov/cedselementdetails.aspx?termid=22191</v>
      </c>
    </row>
    <row r="1711" spans="1:13" ht="86.4" x14ac:dyDescent="0.3">
      <c r="A1711" s="22" t="s">
        <v>7031</v>
      </c>
      <c r="B1711" s="22" t="s">
        <v>7032</v>
      </c>
      <c r="C1711" s="26" t="s">
        <v>9154</v>
      </c>
      <c r="D1711" s="22" t="s">
        <v>3214</v>
      </c>
      <c r="E1711" s="22"/>
      <c r="F1711" s="22"/>
      <c r="G1711" s="22"/>
      <c r="H1711" s="22"/>
      <c r="I1711" s="25" t="s">
        <v>7033</v>
      </c>
      <c r="J1711" s="22"/>
      <c r="K1711" s="22" t="s">
        <v>7034</v>
      </c>
      <c r="L1711" s="22"/>
      <c r="M1711" s="22" t="str">
        <f>HYPERLINK("https://ceds.ed.gov/cedselementdetails.aspx?termid=22843")</f>
        <v>https://ceds.ed.gov/cedselementdetails.aspx?termid=22843</v>
      </c>
    </row>
    <row r="1712" spans="1:13" ht="360" x14ac:dyDescent="0.3">
      <c r="A1712" s="22" t="s">
        <v>7035</v>
      </c>
      <c r="B1712" s="22" t="s">
        <v>7036</v>
      </c>
      <c r="C1712" s="26" t="s">
        <v>8540</v>
      </c>
      <c r="D1712" s="24" t="s">
        <v>8541</v>
      </c>
      <c r="E1712" s="22" t="s">
        <v>172</v>
      </c>
      <c r="F1712" s="22"/>
      <c r="G1712" s="22" t="s">
        <v>7946</v>
      </c>
      <c r="H1712" s="22"/>
      <c r="I1712" s="25" t="s">
        <v>7037</v>
      </c>
      <c r="J1712" s="22"/>
      <c r="K1712" s="22" t="s">
        <v>7038</v>
      </c>
      <c r="L1712" s="24" t="s">
        <v>7039</v>
      </c>
      <c r="M1712" s="22" t="str">
        <f>HYPERLINK("https://ceds.ed.gov/cedselementdetails.aspx?termid=21163")</f>
        <v>https://ceds.ed.gov/cedselementdetails.aspx?termid=21163</v>
      </c>
    </row>
    <row r="1713" spans="1:13" ht="360" x14ac:dyDescent="0.3">
      <c r="A1713" s="22" t="s">
        <v>7040</v>
      </c>
      <c r="B1713" s="22" t="s">
        <v>7041</v>
      </c>
      <c r="C1713" s="23" t="s">
        <v>32</v>
      </c>
      <c r="D1713" s="24" t="s">
        <v>8541</v>
      </c>
      <c r="E1713" s="22" t="s">
        <v>172</v>
      </c>
      <c r="F1713" s="22" t="s">
        <v>132</v>
      </c>
      <c r="G1713" s="22" t="s">
        <v>7946</v>
      </c>
      <c r="H1713" s="22" t="s">
        <v>7945</v>
      </c>
      <c r="I1713" s="25" t="s">
        <v>7042</v>
      </c>
      <c r="J1713" s="22"/>
      <c r="K1713" s="22" t="s">
        <v>7043</v>
      </c>
      <c r="L1713" s="24" t="s">
        <v>7039</v>
      </c>
      <c r="M1713" s="22" t="str">
        <f>HYPERLINK("https://ceds.ed.gov/cedselementdetails.aspx?termid=21157")</f>
        <v>https://ceds.ed.gov/cedselementdetails.aspx?termid=21157</v>
      </c>
    </row>
    <row r="1714" spans="1:13" ht="43.2" x14ac:dyDescent="0.3">
      <c r="A1714" s="22" t="s">
        <v>7044</v>
      </c>
      <c r="B1714" s="22" t="s">
        <v>7045</v>
      </c>
      <c r="C1714" s="26" t="s">
        <v>9155</v>
      </c>
      <c r="D1714" s="22" t="s">
        <v>2114</v>
      </c>
      <c r="E1714" s="22"/>
      <c r="F1714" s="22"/>
      <c r="G1714" s="22"/>
      <c r="H1714" s="22"/>
      <c r="I1714" s="25" t="s">
        <v>7046</v>
      </c>
      <c r="J1714" s="22"/>
      <c r="K1714" s="22" t="s">
        <v>7047</v>
      </c>
      <c r="L1714" s="24" t="s">
        <v>198</v>
      </c>
      <c r="M1714" s="22" t="str">
        <f>HYPERLINK("https://ceds.ed.gov/cedselementdetails.aspx?termid=21272")</f>
        <v>https://ceds.ed.gov/cedselementdetails.aspx?termid=21272</v>
      </c>
    </row>
    <row r="1715" spans="1:13" ht="28.8" x14ac:dyDescent="0.3">
      <c r="A1715" s="22" t="s">
        <v>7692</v>
      </c>
      <c r="B1715" s="22" t="s">
        <v>7693</v>
      </c>
      <c r="C1715" s="26" t="s">
        <v>8379</v>
      </c>
      <c r="D1715" s="22" t="s">
        <v>3214</v>
      </c>
      <c r="E1715" s="22"/>
      <c r="F1715" s="22"/>
      <c r="G1715" s="22"/>
      <c r="H1715" s="22" t="s">
        <v>7694</v>
      </c>
      <c r="I1715" s="25" t="s">
        <v>7695</v>
      </c>
      <c r="J1715" s="22"/>
      <c r="K1715" s="22" t="s">
        <v>7696</v>
      </c>
      <c r="L1715" s="22"/>
      <c r="M1715" s="22" t="str">
        <f>HYPERLINK("https://ceds.ed.gov/cedselementdetails.aspx?termid=22968")</f>
        <v>https://ceds.ed.gov/cedselementdetails.aspx?termid=22968</v>
      </c>
    </row>
    <row r="1716" spans="1:13" ht="158.4" x14ac:dyDescent="0.3">
      <c r="A1716" s="22" t="s">
        <v>8333</v>
      </c>
      <c r="B1716" s="22" t="s">
        <v>8334</v>
      </c>
      <c r="C1716" s="26" t="s">
        <v>8383</v>
      </c>
      <c r="D1716" s="24" t="s">
        <v>8391</v>
      </c>
      <c r="E1716" s="22" t="s">
        <v>167</v>
      </c>
      <c r="F1716" s="22" t="s">
        <v>2</v>
      </c>
      <c r="G1716" s="22" t="s">
        <v>7949</v>
      </c>
      <c r="H1716" s="22"/>
      <c r="I1716" s="25" t="s">
        <v>8373</v>
      </c>
      <c r="J1716" s="22"/>
      <c r="K1716" s="22" t="s">
        <v>8335</v>
      </c>
      <c r="L1716" s="22"/>
      <c r="M1716" s="22" t="str">
        <f>HYPERLINK("https://ceds.ed.gov/cedselementdetails.aspx?termid=22994")</f>
        <v>https://ceds.ed.gov/cedselementdetails.aspx?termid=22994</v>
      </c>
    </row>
    <row r="1717" spans="1:13" ht="409.6" x14ac:dyDescent="0.3">
      <c r="A1717" s="22" t="s">
        <v>7048</v>
      </c>
      <c r="B1717" s="22" t="s">
        <v>7049</v>
      </c>
      <c r="C1717" s="26" t="s">
        <v>8542</v>
      </c>
      <c r="D1717" s="24" t="s">
        <v>8543</v>
      </c>
      <c r="E1717" s="22" t="s">
        <v>172</v>
      </c>
      <c r="F1717" s="22"/>
      <c r="G1717" s="22" t="s">
        <v>7946</v>
      </c>
      <c r="H1717" s="22" t="s">
        <v>7050</v>
      </c>
      <c r="I1717" s="25" t="s">
        <v>7051</v>
      </c>
      <c r="J1717" s="22"/>
      <c r="K1717" s="22" t="s">
        <v>7052</v>
      </c>
      <c r="L1717" s="22"/>
      <c r="M1717" s="22" t="str">
        <f>HYPERLINK("https://ceds.ed.gov/cedselementdetails.aspx?termid=21273")</f>
        <v>https://ceds.ed.gov/cedselementdetails.aspx?termid=21273</v>
      </c>
    </row>
    <row r="1718" spans="1:13" x14ac:dyDescent="0.3">
      <c r="A1718" s="22" t="s">
        <v>7053</v>
      </c>
      <c r="B1718" s="22" t="s">
        <v>7054</v>
      </c>
      <c r="C1718" s="23" t="s">
        <v>32</v>
      </c>
      <c r="D1718" s="22" t="s">
        <v>2522</v>
      </c>
      <c r="E1718" s="22"/>
      <c r="F1718" s="22" t="s">
        <v>118</v>
      </c>
      <c r="G1718" s="22"/>
      <c r="H1718" s="22" t="s">
        <v>2523</v>
      </c>
      <c r="I1718" s="25" t="s">
        <v>7055</v>
      </c>
      <c r="J1718" s="22"/>
      <c r="K1718" s="22" t="s">
        <v>7056</v>
      </c>
      <c r="L1718" s="22"/>
      <c r="M1718" s="22" t="str">
        <f>HYPERLINK("https://ceds.ed.gov/cedselementdetails.aspx?termid=22739")</f>
        <v>https://ceds.ed.gov/cedselementdetails.aspx?termid=22739</v>
      </c>
    </row>
    <row r="1719" spans="1:13" ht="57.6" x14ac:dyDescent="0.3">
      <c r="A1719" s="22" t="s">
        <v>7057</v>
      </c>
      <c r="B1719" s="22" t="s">
        <v>7058</v>
      </c>
      <c r="C1719" s="26" t="s">
        <v>8599</v>
      </c>
      <c r="D1719" s="22" t="s">
        <v>352</v>
      </c>
      <c r="E1719" s="22"/>
      <c r="F1719" s="22"/>
      <c r="G1719" s="22"/>
      <c r="H1719" s="22"/>
      <c r="I1719" s="25" t="s">
        <v>7059</v>
      </c>
      <c r="J1719" s="22"/>
      <c r="K1719" s="22" t="s">
        <v>7060</v>
      </c>
      <c r="L1719" s="22" t="s">
        <v>355</v>
      </c>
      <c r="M1719" s="22" t="str">
        <f>HYPERLINK("https://ceds.ed.gov/cedselementdetails.aspx?termid=21754")</f>
        <v>https://ceds.ed.gov/cedselementdetails.aspx?termid=21754</v>
      </c>
    </row>
    <row r="1720" spans="1:13" x14ac:dyDescent="0.3">
      <c r="A1720" s="22" t="s">
        <v>7061</v>
      </c>
      <c r="B1720" s="22" t="s">
        <v>8336</v>
      </c>
      <c r="C1720" s="23" t="s">
        <v>32</v>
      </c>
      <c r="D1720" s="22" t="s">
        <v>352</v>
      </c>
      <c r="E1720" s="22"/>
      <c r="F1720" s="22" t="s">
        <v>317</v>
      </c>
      <c r="G1720" s="22"/>
      <c r="H1720" s="22"/>
      <c r="I1720" s="25" t="s">
        <v>7062</v>
      </c>
      <c r="J1720" s="22"/>
      <c r="K1720" s="22" t="s">
        <v>7063</v>
      </c>
      <c r="L1720" s="22" t="s">
        <v>355</v>
      </c>
      <c r="M1720" s="22" t="str">
        <f>HYPERLINK("https://ceds.ed.gov/cedselementdetails.aspx?termid=21755")</f>
        <v>https://ceds.ed.gov/cedselementdetails.aspx?termid=21755</v>
      </c>
    </row>
    <row r="1721" spans="1:13" ht="43.2" x14ac:dyDescent="0.3">
      <c r="A1721" s="22" t="s">
        <v>7064</v>
      </c>
      <c r="B1721" s="22" t="s">
        <v>7065</v>
      </c>
      <c r="C1721" s="23" t="s">
        <v>32</v>
      </c>
      <c r="D1721" s="24" t="s">
        <v>4107</v>
      </c>
      <c r="E1721" s="22"/>
      <c r="F1721" s="22" t="s">
        <v>1518</v>
      </c>
      <c r="G1721" s="22"/>
      <c r="H1721" s="22"/>
      <c r="I1721" s="25" t="s">
        <v>7066</v>
      </c>
      <c r="J1721" s="22" t="s">
        <v>7067</v>
      </c>
      <c r="K1721" s="22" t="s">
        <v>7068</v>
      </c>
      <c r="L1721" s="22" t="s">
        <v>226</v>
      </c>
      <c r="M1721" s="22" t="str">
        <f>HYPERLINK("https://ceds.ed.gov/cedselementdetails.aspx?termid=21566")</f>
        <v>https://ceds.ed.gov/cedselementdetails.aspx?termid=21566</v>
      </c>
    </row>
    <row r="1722" spans="1:13" ht="43.2" x14ac:dyDescent="0.3">
      <c r="A1722" s="22" t="s">
        <v>7069</v>
      </c>
      <c r="B1722" s="22" t="s">
        <v>7070</v>
      </c>
      <c r="C1722" s="23" t="s">
        <v>32</v>
      </c>
      <c r="D1722" s="24" t="s">
        <v>4107</v>
      </c>
      <c r="E1722" s="22"/>
      <c r="F1722" s="22" t="s">
        <v>1518</v>
      </c>
      <c r="G1722" s="22"/>
      <c r="H1722" s="22"/>
      <c r="I1722" s="25" t="s">
        <v>7071</v>
      </c>
      <c r="J1722" s="22" t="s">
        <v>7072</v>
      </c>
      <c r="K1722" s="22" t="s">
        <v>7073</v>
      </c>
      <c r="L1722" s="22" t="s">
        <v>226</v>
      </c>
      <c r="M1722" s="22" t="str">
        <f>HYPERLINK("https://ceds.ed.gov/cedselementdetails.aspx?termid=21559")</f>
        <v>https://ceds.ed.gov/cedselementdetails.aspx?termid=21559</v>
      </c>
    </row>
    <row r="1723" spans="1:13" ht="43.2" x14ac:dyDescent="0.3">
      <c r="A1723" s="22" t="s">
        <v>7074</v>
      </c>
      <c r="B1723" s="22" t="s">
        <v>7075</v>
      </c>
      <c r="C1723" s="23" t="s">
        <v>32</v>
      </c>
      <c r="D1723" s="24" t="s">
        <v>4107</v>
      </c>
      <c r="E1723" s="22"/>
      <c r="F1723" s="22" t="s">
        <v>1518</v>
      </c>
      <c r="G1723" s="22"/>
      <c r="H1723" s="22"/>
      <c r="I1723" s="25" t="s">
        <v>7076</v>
      </c>
      <c r="J1723" s="22" t="s">
        <v>7077</v>
      </c>
      <c r="K1723" s="22" t="s">
        <v>7078</v>
      </c>
      <c r="L1723" s="22" t="s">
        <v>226</v>
      </c>
      <c r="M1723" s="22" t="str">
        <f>HYPERLINK("https://ceds.ed.gov/cedselementdetails.aspx?termid=21567")</f>
        <v>https://ceds.ed.gov/cedselementdetails.aspx?termid=21567</v>
      </c>
    </row>
    <row r="1724" spans="1:13" ht="86.4" x14ac:dyDescent="0.3">
      <c r="A1724" s="22" t="s">
        <v>7079</v>
      </c>
      <c r="B1724" s="22" t="s">
        <v>7080</v>
      </c>
      <c r="C1724" s="26" t="s">
        <v>9156</v>
      </c>
      <c r="D1724" s="22" t="s">
        <v>2517</v>
      </c>
      <c r="E1724" s="22"/>
      <c r="F1724" s="22"/>
      <c r="G1724" s="22"/>
      <c r="H1724" s="22"/>
      <c r="I1724" s="25" t="s">
        <v>7081</v>
      </c>
      <c r="J1724" s="22"/>
      <c r="K1724" s="22" t="s">
        <v>7082</v>
      </c>
      <c r="L1724" s="22"/>
      <c r="M1724" s="22" t="str">
        <f>HYPERLINK("https://ceds.ed.gov/cedselementdetails.aspx?termid=22910")</f>
        <v>https://ceds.ed.gov/cedselementdetails.aspx?termid=22910</v>
      </c>
    </row>
    <row r="1725" spans="1:13" ht="43.2" x14ac:dyDescent="0.3">
      <c r="A1725" s="22" t="s">
        <v>7083</v>
      </c>
      <c r="B1725" s="22" t="s">
        <v>7084</v>
      </c>
      <c r="C1725" s="23" t="s">
        <v>32</v>
      </c>
      <c r="D1725" s="24" t="s">
        <v>8544</v>
      </c>
      <c r="E1725" s="22" t="s">
        <v>172</v>
      </c>
      <c r="F1725" s="22" t="s">
        <v>85</v>
      </c>
      <c r="G1725" s="22" t="s">
        <v>7946</v>
      </c>
      <c r="H1725" s="22" t="s">
        <v>8337</v>
      </c>
      <c r="I1725" s="25" t="s">
        <v>7085</v>
      </c>
      <c r="J1725" s="22"/>
      <c r="K1725" s="22" t="s">
        <v>7086</v>
      </c>
      <c r="L1725" s="22" t="s">
        <v>355</v>
      </c>
      <c r="M1725" s="22" t="str">
        <f>HYPERLINK("https://ceds.ed.gov/cedselementdetails.aspx?termid=21757")</f>
        <v>https://ceds.ed.gov/cedselementdetails.aspx?termid=21757</v>
      </c>
    </row>
    <row r="1726" spans="1:13" ht="86.4" x14ac:dyDescent="0.3">
      <c r="A1726" s="22" t="s">
        <v>7087</v>
      </c>
      <c r="B1726" s="22" t="s">
        <v>7088</v>
      </c>
      <c r="C1726" s="26" t="s">
        <v>8545</v>
      </c>
      <c r="D1726" s="24" t="s">
        <v>8544</v>
      </c>
      <c r="E1726" s="22" t="s">
        <v>172</v>
      </c>
      <c r="F1726" s="22"/>
      <c r="G1726" s="22" t="s">
        <v>7946</v>
      </c>
      <c r="H1726" s="22"/>
      <c r="I1726" s="25" t="s">
        <v>7089</v>
      </c>
      <c r="J1726" s="22"/>
      <c r="K1726" s="22" t="s">
        <v>7090</v>
      </c>
      <c r="L1726" s="22" t="s">
        <v>355</v>
      </c>
      <c r="M1726" s="22" t="str">
        <f>HYPERLINK("https://ceds.ed.gov/cedselementdetails.aspx?termid=21756")</f>
        <v>https://ceds.ed.gov/cedselementdetails.aspx?termid=21756</v>
      </c>
    </row>
    <row r="1727" spans="1:13" ht="144" x14ac:dyDescent="0.3">
      <c r="A1727" s="22" t="s">
        <v>7091</v>
      </c>
      <c r="B1727" s="22" t="s">
        <v>7092</v>
      </c>
      <c r="C1727" s="26" t="s">
        <v>9157</v>
      </c>
      <c r="D1727" s="22" t="s">
        <v>352</v>
      </c>
      <c r="E1727" s="22"/>
      <c r="F1727" s="22"/>
      <c r="G1727" s="22"/>
      <c r="H1727" s="22"/>
      <c r="I1727" s="25" t="s">
        <v>7093</v>
      </c>
      <c r="J1727" s="22"/>
      <c r="K1727" s="22" t="s">
        <v>7094</v>
      </c>
      <c r="L1727" s="22" t="s">
        <v>355</v>
      </c>
      <c r="M1727" s="22" t="str">
        <f>HYPERLINK("https://ceds.ed.gov/cedselementdetails.aspx?termid=21748")</f>
        <v>https://ceds.ed.gov/cedselementdetails.aspx?termid=21748</v>
      </c>
    </row>
    <row r="1728" spans="1:13" ht="72" x14ac:dyDescent="0.3">
      <c r="A1728" s="22" t="s">
        <v>7095</v>
      </c>
      <c r="B1728" s="22" t="s">
        <v>7096</v>
      </c>
      <c r="C1728" s="26" t="s">
        <v>22</v>
      </c>
      <c r="D1728" s="24" t="s">
        <v>7097</v>
      </c>
      <c r="E1728" s="22"/>
      <c r="F1728" s="22"/>
      <c r="G1728" s="22"/>
      <c r="H1728" s="22" t="s">
        <v>7098</v>
      </c>
      <c r="I1728" s="25" t="s">
        <v>7099</v>
      </c>
      <c r="J1728" s="22"/>
      <c r="K1728" s="22" t="s">
        <v>7100</v>
      </c>
      <c r="L1728" s="22" t="s">
        <v>7101</v>
      </c>
      <c r="M1728" s="22" t="str">
        <f>HYPERLINK("https://ceds.ed.gov/cedselementdetails.aspx?termid=21649")</f>
        <v>https://ceds.ed.gov/cedselementdetails.aspx?termid=21649</v>
      </c>
    </row>
    <row r="1729" spans="1:13" ht="57.6" x14ac:dyDescent="0.3">
      <c r="A1729" s="22" t="s">
        <v>7102</v>
      </c>
      <c r="B1729" s="22" t="s">
        <v>8338</v>
      </c>
      <c r="C1729" s="26" t="s">
        <v>8599</v>
      </c>
      <c r="D1729" s="22" t="s">
        <v>352</v>
      </c>
      <c r="E1729" s="22"/>
      <c r="F1729" s="22"/>
      <c r="G1729" s="22"/>
      <c r="H1729" s="22"/>
      <c r="I1729" s="25" t="s">
        <v>7103</v>
      </c>
      <c r="J1729" s="22"/>
      <c r="K1729" s="22" t="s">
        <v>7104</v>
      </c>
      <c r="L1729" s="22" t="s">
        <v>355</v>
      </c>
      <c r="M1729" s="22" t="str">
        <f>HYPERLINK("https://ceds.ed.gov/cedselementdetails.aspx?termid=21750")</f>
        <v>https://ceds.ed.gov/cedselementdetails.aspx?termid=21750</v>
      </c>
    </row>
    <row r="1730" spans="1:13" ht="57.6" x14ac:dyDescent="0.3">
      <c r="A1730" s="22" t="s">
        <v>7105</v>
      </c>
      <c r="B1730" s="22" t="s">
        <v>7106</v>
      </c>
      <c r="C1730" s="26" t="s">
        <v>9158</v>
      </c>
      <c r="D1730" s="22" t="s">
        <v>352</v>
      </c>
      <c r="E1730" s="22"/>
      <c r="F1730" s="22"/>
      <c r="G1730" s="22"/>
      <c r="H1730" s="22"/>
      <c r="I1730" s="25" t="s">
        <v>7107</v>
      </c>
      <c r="J1730" s="22"/>
      <c r="K1730" s="22" t="s">
        <v>7108</v>
      </c>
      <c r="L1730" s="22" t="s">
        <v>355</v>
      </c>
      <c r="M1730" s="22" t="str">
        <f>HYPERLINK("https://ceds.ed.gov/cedselementdetails.aspx?termid=21749")</f>
        <v>https://ceds.ed.gov/cedselementdetails.aspx?termid=21749</v>
      </c>
    </row>
    <row r="1731" spans="1:13" ht="43.2" x14ac:dyDescent="0.3">
      <c r="A1731" s="22" t="s">
        <v>7109</v>
      </c>
      <c r="B1731" s="22" t="s">
        <v>7110</v>
      </c>
      <c r="C1731" s="26" t="s">
        <v>22</v>
      </c>
      <c r="D1731" s="22" t="s">
        <v>7111</v>
      </c>
      <c r="E1731" s="22"/>
      <c r="F1731" s="22"/>
      <c r="G1731" s="22"/>
      <c r="H1731" s="22" t="s">
        <v>8339</v>
      </c>
      <c r="I1731" s="25" t="s">
        <v>7112</v>
      </c>
      <c r="J1731" s="22"/>
      <c r="K1731" s="22" t="s">
        <v>7113</v>
      </c>
      <c r="L1731" s="22"/>
      <c r="M1731" s="22" t="str">
        <f>HYPERLINK("https://ceds.ed.gov/cedselementdetails.aspx?termid=21973")</f>
        <v>https://ceds.ed.gov/cedselementdetails.aspx?termid=21973</v>
      </c>
    </row>
    <row r="1732" spans="1:13" ht="100.8" x14ac:dyDescent="0.3">
      <c r="A1732" s="22" t="s">
        <v>7114</v>
      </c>
      <c r="B1732" s="22" t="s">
        <v>7115</v>
      </c>
      <c r="C1732" s="23" t="s">
        <v>32</v>
      </c>
      <c r="D1732" s="24" t="s">
        <v>8546</v>
      </c>
      <c r="E1732" s="22" t="s">
        <v>172</v>
      </c>
      <c r="F1732" s="22" t="s">
        <v>775</v>
      </c>
      <c r="G1732" s="22" t="s">
        <v>7946</v>
      </c>
      <c r="H1732" s="22"/>
      <c r="I1732" s="25" t="s">
        <v>7116</v>
      </c>
      <c r="J1732" s="22"/>
      <c r="K1732" s="22" t="s">
        <v>7117</v>
      </c>
      <c r="L1732" s="22" t="s">
        <v>7101</v>
      </c>
      <c r="M1732" s="22" t="str">
        <f>HYPERLINK("https://ceds.ed.gov/cedselementdetails.aspx?termid=21651")</f>
        <v>https://ceds.ed.gov/cedselementdetails.aspx?termid=21651</v>
      </c>
    </row>
    <row r="1733" spans="1:13" ht="100.8" x14ac:dyDescent="0.3">
      <c r="A1733" s="22" t="s">
        <v>7118</v>
      </c>
      <c r="B1733" s="22" t="s">
        <v>7119</v>
      </c>
      <c r="C1733" s="23" t="s">
        <v>32</v>
      </c>
      <c r="D1733" s="24" t="s">
        <v>8547</v>
      </c>
      <c r="E1733" s="22" t="s">
        <v>172</v>
      </c>
      <c r="F1733" s="22" t="s">
        <v>118</v>
      </c>
      <c r="G1733" s="22" t="s">
        <v>7946</v>
      </c>
      <c r="H1733" s="22" t="s">
        <v>7120</v>
      </c>
      <c r="I1733" s="25" t="s">
        <v>7121</v>
      </c>
      <c r="J1733" s="22"/>
      <c r="K1733" s="22" t="s">
        <v>7122</v>
      </c>
      <c r="L1733" s="22" t="s">
        <v>7101</v>
      </c>
      <c r="M1733" s="22" t="str">
        <f>HYPERLINK("https://ceds.ed.gov/cedselementdetails.aspx?termid=21648")</f>
        <v>https://ceds.ed.gov/cedselementdetails.aspx?termid=21648</v>
      </c>
    </row>
    <row r="1734" spans="1:13" ht="100.8" x14ac:dyDescent="0.3">
      <c r="A1734" s="22" t="s">
        <v>7123</v>
      </c>
      <c r="B1734" s="22" t="s">
        <v>8340</v>
      </c>
      <c r="C1734" s="26" t="s">
        <v>8548</v>
      </c>
      <c r="D1734" s="24" t="s">
        <v>8546</v>
      </c>
      <c r="E1734" s="22" t="s">
        <v>172</v>
      </c>
      <c r="F1734" s="22"/>
      <c r="G1734" s="22" t="s">
        <v>7946</v>
      </c>
      <c r="H1734" s="22"/>
      <c r="I1734" s="25" t="s">
        <v>7124</v>
      </c>
      <c r="J1734" s="22"/>
      <c r="K1734" s="22" t="s">
        <v>7125</v>
      </c>
      <c r="L1734" s="22" t="s">
        <v>7101</v>
      </c>
      <c r="M1734" s="22" t="str">
        <f>HYPERLINK("https://ceds.ed.gov/cedselementdetails.aspx?termid=21650")</f>
        <v>https://ceds.ed.gov/cedselementdetails.aspx?termid=21650</v>
      </c>
    </row>
    <row r="1735" spans="1:13" ht="100.8" x14ac:dyDescent="0.3">
      <c r="A1735" s="22" t="s">
        <v>7126</v>
      </c>
      <c r="B1735" s="22" t="s">
        <v>7127</v>
      </c>
      <c r="C1735" s="23" t="s">
        <v>32</v>
      </c>
      <c r="D1735" s="24" t="s">
        <v>8547</v>
      </c>
      <c r="E1735" s="22" t="s">
        <v>172</v>
      </c>
      <c r="F1735" s="22" t="s">
        <v>118</v>
      </c>
      <c r="G1735" s="22" t="s">
        <v>7946</v>
      </c>
      <c r="H1735" s="22"/>
      <c r="I1735" s="25" t="s">
        <v>7128</v>
      </c>
      <c r="J1735" s="22"/>
      <c r="K1735" s="22" t="s">
        <v>7129</v>
      </c>
      <c r="L1735" s="22" t="s">
        <v>7101</v>
      </c>
      <c r="M1735" s="22" t="str">
        <f>HYPERLINK("https://ceds.ed.gov/cedselementdetails.aspx?termid=21647")</f>
        <v>https://ceds.ed.gov/cedselementdetails.aspx?termid=21647</v>
      </c>
    </row>
    <row r="1736" spans="1:13" ht="230.4" x14ac:dyDescent="0.3">
      <c r="A1736" s="22" t="s">
        <v>7130</v>
      </c>
      <c r="B1736" s="22" t="s">
        <v>7131</v>
      </c>
      <c r="C1736" s="26" t="s">
        <v>9159</v>
      </c>
      <c r="D1736" s="24" t="s">
        <v>7132</v>
      </c>
      <c r="E1736" s="22"/>
      <c r="F1736" s="22"/>
      <c r="G1736" s="22"/>
      <c r="H1736" s="22"/>
      <c r="I1736" s="25" t="s">
        <v>7133</v>
      </c>
      <c r="J1736" s="22"/>
      <c r="K1736" s="22" t="s">
        <v>7134</v>
      </c>
      <c r="L1736" s="22" t="s">
        <v>355</v>
      </c>
      <c r="M1736" s="22" t="str">
        <f>HYPERLINK("https://ceds.ed.gov/cedselementdetails.aspx?termid=21277")</f>
        <v>https://ceds.ed.gov/cedselementdetails.aspx?termid=21277</v>
      </c>
    </row>
    <row r="1737" spans="1:13" ht="216" x14ac:dyDescent="0.3">
      <c r="A1737" s="22" t="s">
        <v>7135</v>
      </c>
      <c r="B1737" s="22" t="s">
        <v>7136</v>
      </c>
      <c r="C1737" s="26" t="s">
        <v>9160</v>
      </c>
      <c r="D1737" s="24" t="s">
        <v>9161</v>
      </c>
      <c r="E1737" s="22"/>
      <c r="F1737" s="22"/>
      <c r="G1737" s="22"/>
      <c r="H1737" s="22"/>
      <c r="I1737" s="25" t="s">
        <v>7137</v>
      </c>
      <c r="J1737" s="22"/>
      <c r="K1737" s="22" t="s">
        <v>7138</v>
      </c>
      <c r="L1737" s="22" t="s">
        <v>355</v>
      </c>
      <c r="M1737" s="22" t="str">
        <f>HYPERLINK("https://ceds.ed.gov/cedselementdetails.aspx?termid=21278")</f>
        <v>https://ceds.ed.gov/cedselementdetails.aspx?termid=21278</v>
      </c>
    </row>
    <row r="1738" spans="1:13" ht="129.6" x14ac:dyDescent="0.3">
      <c r="A1738" s="22" t="s">
        <v>7139</v>
      </c>
      <c r="B1738" s="22" t="s">
        <v>7140</v>
      </c>
      <c r="C1738" s="26" t="s">
        <v>22</v>
      </c>
      <c r="D1738" s="24" t="s">
        <v>8549</v>
      </c>
      <c r="E1738" s="22" t="s">
        <v>172</v>
      </c>
      <c r="F1738" s="22"/>
      <c r="G1738" s="22" t="s">
        <v>7946</v>
      </c>
      <c r="H1738" s="22" t="s">
        <v>8331</v>
      </c>
      <c r="I1738" s="25" t="s">
        <v>7141</v>
      </c>
      <c r="J1738" s="22"/>
      <c r="K1738" s="22" t="s">
        <v>7142</v>
      </c>
      <c r="L1738" s="22"/>
      <c r="M1738" s="22" t="str">
        <f>HYPERLINK("https://ceds.ed.gov/cedselementdetails.aspx?termid=22465")</f>
        <v>https://ceds.ed.gov/cedselementdetails.aspx?termid=22465</v>
      </c>
    </row>
    <row r="1739" spans="1:13" ht="129.6" x14ac:dyDescent="0.3">
      <c r="A1739" s="22" t="s">
        <v>7143</v>
      </c>
      <c r="B1739" s="22" t="s">
        <v>7144</v>
      </c>
      <c r="C1739" s="26" t="s">
        <v>8550</v>
      </c>
      <c r="D1739" s="24" t="s">
        <v>8549</v>
      </c>
      <c r="E1739" s="22" t="s">
        <v>172</v>
      </c>
      <c r="F1739" s="22"/>
      <c r="G1739" s="22" t="s">
        <v>7946</v>
      </c>
      <c r="H1739" s="22" t="s">
        <v>8331</v>
      </c>
      <c r="I1739" s="25" t="s">
        <v>7145</v>
      </c>
      <c r="J1739" s="22"/>
      <c r="K1739" s="22" t="s">
        <v>7146</v>
      </c>
      <c r="L1739" s="22"/>
      <c r="M1739" s="22" t="str">
        <f>HYPERLINK("https://ceds.ed.gov/cedselementdetails.aspx?termid=22466")</f>
        <v>https://ceds.ed.gov/cedselementdetails.aspx?termid=22466</v>
      </c>
    </row>
    <row r="1740" spans="1:13" ht="331.2" x14ac:dyDescent="0.3">
      <c r="A1740" s="22" t="s">
        <v>7147</v>
      </c>
      <c r="B1740" s="22" t="s">
        <v>7148</v>
      </c>
      <c r="C1740" s="26" t="s">
        <v>9162</v>
      </c>
      <c r="D1740" s="24" t="s">
        <v>9163</v>
      </c>
      <c r="E1740" s="22"/>
      <c r="F1740" s="22"/>
      <c r="G1740" s="22"/>
      <c r="H1740" s="22" t="s">
        <v>8331</v>
      </c>
      <c r="I1740" s="25" t="s">
        <v>7149</v>
      </c>
      <c r="J1740" s="22"/>
      <c r="K1740" s="22" t="s">
        <v>7150</v>
      </c>
      <c r="L1740" s="22"/>
      <c r="M1740" s="22" t="str">
        <f>HYPERLINK("https://ceds.ed.gov/cedselementdetails.aspx?termid=22467")</f>
        <v>https://ceds.ed.gov/cedselementdetails.aspx?termid=22467</v>
      </c>
    </row>
    <row r="1741" spans="1:13" ht="57.6" x14ac:dyDescent="0.3">
      <c r="A1741" s="22" t="s">
        <v>7151</v>
      </c>
      <c r="B1741" s="22" t="s">
        <v>7152</v>
      </c>
      <c r="C1741" s="26" t="s">
        <v>9164</v>
      </c>
      <c r="D1741" s="22" t="s">
        <v>61</v>
      </c>
      <c r="E1741" s="22"/>
      <c r="F1741" s="22"/>
      <c r="G1741" s="22"/>
      <c r="H1741" s="22"/>
      <c r="I1741" s="25" t="s">
        <v>7153</v>
      </c>
      <c r="J1741" s="22"/>
      <c r="K1741" s="22" t="s">
        <v>7154</v>
      </c>
      <c r="L1741" s="22" t="s">
        <v>226</v>
      </c>
      <c r="M1741" s="22" t="str">
        <f>HYPERLINK("https://ceds.ed.gov/cedselementdetails.aspx?termid=21558")</f>
        <v>https://ceds.ed.gov/cedselementdetails.aspx?termid=21558</v>
      </c>
    </row>
    <row r="1742" spans="1:13" ht="43.2" x14ac:dyDescent="0.3">
      <c r="A1742" s="22" t="s">
        <v>7155</v>
      </c>
      <c r="B1742" s="22" t="s">
        <v>7156</v>
      </c>
      <c r="C1742" s="26" t="s">
        <v>22</v>
      </c>
      <c r="D1742" s="24" t="s">
        <v>9165</v>
      </c>
      <c r="E1742" s="22"/>
      <c r="F1742" s="22"/>
      <c r="G1742" s="22"/>
      <c r="H1742" s="22"/>
      <c r="I1742" s="25" t="s">
        <v>7157</v>
      </c>
      <c r="J1742" s="22"/>
      <c r="K1742" s="22" t="s">
        <v>7158</v>
      </c>
      <c r="L1742" s="22" t="s">
        <v>226</v>
      </c>
      <c r="M1742" s="22" t="str">
        <f>HYPERLINK("https://ceds.ed.gov/cedselementdetails.aspx?termid=21537")</f>
        <v>https://ceds.ed.gov/cedselementdetails.aspx?termid=21537</v>
      </c>
    </row>
    <row r="1743" spans="1:13" ht="409.6" x14ac:dyDescent="0.3">
      <c r="A1743" s="22" t="s">
        <v>7159</v>
      </c>
      <c r="B1743" s="22" t="s">
        <v>7160</v>
      </c>
      <c r="C1743" s="23" t="s">
        <v>32</v>
      </c>
      <c r="D1743" s="24" t="s">
        <v>9166</v>
      </c>
      <c r="E1743" s="22"/>
      <c r="F1743" s="22" t="s">
        <v>7161</v>
      </c>
      <c r="G1743" s="22"/>
      <c r="H1743" s="22"/>
      <c r="I1743" s="25" t="s">
        <v>7162</v>
      </c>
      <c r="J1743" s="22"/>
      <c r="K1743" s="22" t="s">
        <v>7163</v>
      </c>
      <c r="L1743" s="24" t="s">
        <v>64</v>
      </c>
      <c r="M1743" s="22" t="str">
        <f>HYPERLINK("https://ceds.ed.gov/cedselementdetails.aspx?termid=21279")</f>
        <v>https://ceds.ed.gov/cedselementdetails.aspx?termid=21279</v>
      </c>
    </row>
    <row r="1744" spans="1:13" ht="409.6" x14ac:dyDescent="0.3">
      <c r="A1744" s="22" t="s">
        <v>7164</v>
      </c>
      <c r="B1744" s="22" t="s">
        <v>7165</v>
      </c>
      <c r="C1744" s="26" t="s">
        <v>9167</v>
      </c>
      <c r="D1744" s="24" t="s">
        <v>9166</v>
      </c>
      <c r="E1744" s="22"/>
      <c r="F1744" s="22"/>
      <c r="G1744" s="22"/>
      <c r="H1744" s="22"/>
      <c r="I1744" s="25" t="s">
        <v>7166</v>
      </c>
      <c r="J1744" s="22"/>
      <c r="K1744" s="22" t="s">
        <v>7167</v>
      </c>
      <c r="L1744" s="22"/>
      <c r="M1744" s="22" t="str">
        <f>HYPERLINK("https://ceds.ed.gov/cedselementdetails.aspx?termid=22911")</f>
        <v>https://ceds.ed.gov/cedselementdetails.aspx?termid=22911</v>
      </c>
    </row>
    <row r="1745" spans="1:13" ht="409.6" x14ac:dyDescent="0.3">
      <c r="A1745" s="22" t="s">
        <v>7168</v>
      </c>
      <c r="B1745" s="22" t="s">
        <v>7169</v>
      </c>
      <c r="C1745" s="26" t="s">
        <v>9168</v>
      </c>
      <c r="D1745" s="24" t="s">
        <v>9169</v>
      </c>
      <c r="E1745" s="22"/>
      <c r="F1745" s="22" t="s">
        <v>2543</v>
      </c>
      <c r="G1745" s="22"/>
      <c r="H1745" s="22"/>
      <c r="I1745" s="25" t="s">
        <v>7170</v>
      </c>
      <c r="J1745" s="22"/>
      <c r="K1745" s="22" t="s">
        <v>7171</v>
      </c>
      <c r="L1745" s="24" t="s">
        <v>64</v>
      </c>
      <c r="M1745" s="22" t="str">
        <f>HYPERLINK("https://ceds.ed.gov/cedselementdetails.aspx?termid=21280")</f>
        <v>https://ceds.ed.gov/cedselementdetails.aspx?termid=21280</v>
      </c>
    </row>
    <row r="1746" spans="1:13" ht="43.2" x14ac:dyDescent="0.3">
      <c r="A1746" s="22" t="s">
        <v>7172</v>
      </c>
      <c r="B1746" s="22" t="s">
        <v>7173</v>
      </c>
      <c r="C1746" s="26" t="s">
        <v>22</v>
      </c>
      <c r="D1746" s="22" t="s">
        <v>1962</v>
      </c>
      <c r="E1746" s="22"/>
      <c r="F1746" s="22"/>
      <c r="G1746" s="22"/>
      <c r="H1746" s="22"/>
      <c r="I1746" s="25" t="s">
        <v>7174</v>
      </c>
      <c r="J1746" s="22"/>
      <c r="K1746" s="22" t="s">
        <v>7175</v>
      </c>
      <c r="L1746" s="22" t="s">
        <v>69</v>
      </c>
      <c r="M1746" s="22" t="str">
        <f>HYPERLINK("https://ceds.ed.gov/cedselementdetails.aspx?termid=21715")</f>
        <v>https://ceds.ed.gov/cedselementdetails.aspx?termid=21715</v>
      </c>
    </row>
    <row r="1747" spans="1:13" ht="43.2" x14ac:dyDescent="0.3">
      <c r="A1747" s="22" t="s">
        <v>7176</v>
      </c>
      <c r="B1747" s="22" t="s">
        <v>7177</v>
      </c>
      <c r="C1747" s="26" t="s">
        <v>22</v>
      </c>
      <c r="D1747" s="22" t="s">
        <v>1536</v>
      </c>
      <c r="E1747" s="22"/>
      <c r="F1747" s="22"/>
      <c r="G1747" s="22"/>
      <c r="H1747" s="22"/>
      <c r="I1747" s="25" t="s">
        <v>7178</v>
      </c>
      <c r="J1747" s="22"/>
      <c r="K1747" s="22" t="s">
        <v>7179</v>
      </c>
      <c r="L1747" s="22" t="s">
        <v>214</v>
      </c>
      <c r="M1747" s="22" t="str">
        <f>HYPERLINK("https://ceds.ed.gov/cedselementdetails.aspx?termid=21473")</f>
        <v>https://ceds.ed.gov/cedselementdetails.aspx?termid=21473</v>
      </c>
    </row>
    <row r="1748" spans="1:13" x14ac:dyDescent="0.3">
      <c r="A1748" s="22" t="s">
        <v>7180</v>
      </c>
      <c r="B1748" s="22" t="s">
        <v>7181</v>
      </c>
      <c r="C1748" s="23" t="s">
        <v>32</v>
      </c>
      <c r="D1748" s="22" t="s">
        <v>3234</v>
      </c>
      <c r="E1748" s="22"/>
      <c r="F1748" s="22" t="s">
        <v>328</v>
      </c>
      <c r="G1748" s="22"/>
      <c r="H1748" s="22"/>
      <c r="I1748" s="25" t="s">
        <v>7182</v>
      </c>
      <c r="J1748" s="22"/>
      <c r="K1748" s="22" t="s">
        <v>7183</v>
      </c>
      <c r="L1748" s="22"/>
      <c r="M1748" s="22" t="str">
        <f>HYPERLINK("https://ceds.ed.gov/cedselementdetails.aspx?termid=22468")</f>
        <v>https://ceds.ed.gov/cedselementdetails.aspx?termid=22468</v>
      </c>
    </row>
    <row r="1749" spans="1:13" ht="72" x14ac:dyDescent="0.3">
      <c r="A1749" s="22" t="s">
        <v>7184</v>
      </c>
      <c r="B1749" s="22" t="s">
        <v>7185</v>
      </c>
      <c r="C1749" s="23" t="s">
        <v>32</v>
      </c>
      <c r="D1749" s="24" t="s">
        <v>2070</v>
      </c>
      <c r="E1749" s="22"/>
      <c r="F1749" s="22" t="s">
        <v>132</v>
      </c>
      <c r="G1749" s="22"/>
      <c r="H1749" s="22" t="s">
        <v>7945</v>
      </c>
      <c r="I1749" s="25" t="s">
        <v>7186</v>
      </c>
      <c r="J1749" s="22"/>
      <c r="K1749" s="22" t="s">
        <v>7187</v>
      </c>
      <c r="L1749" s="22"/>
      <c r="M1749" s="22" t="str">
        <f>HYPERLINK("https://ceds.ed.gov/cedselementdetails.aspx?termid=21514")</f>
        <v>https://ceds.ed.gov/cedselementdetails.aspx?termid=21514</v>
      </c>
    </row>
    <row r="1750" spans="1:13" ht="86.4" x14ac:dyDescent="0.3">
      <c r="A1750" s="22" t="s">
        <v>7188</v>
      </c>
      <c r="B1750" s="22" t="s">
        <v>7189</v>
      </c>
      <c r="C1750" s="26" t="s">
        <v>9170</v>
      </c>
      <c r="D1750" s="22" t="s">
        <v>6579</v>
      </c>
      <c r="E1750" s="22"/>
      <c r="F1750" s="22"/>
      <c r="G1750" s="22"/>
      <c r="H1750" s="22"/>
      <c r="I1750" s="25" t="s">
        <v>7190</v>
      </c>
      <c r="J1750" s="22"/>
      <c r="K1750" s="22" t="s">
        <v>7191</v>
      </c>
      <c r="L1750" s="24" t="s">
        <v>64</v>
      </c>
      <c r="M1750" s="22" t="str">
        <f>HYPERLINK("https://ceds.ed.gov/cedselementdetails.aspx?termid=21281")</f>
        <v>https://ceds.ed.gov/cedselementdetails.aspx?termid=21281</v>
      </c>
    </row>
    <row r="1751" spans="1:13" ht="129.6" x14ac:dyDescent="0.3">
      <c r="A1751" s="22" t="s">
        <v>7192</v>
      </c>
      <c r="B1751" s="22" t="s">
        <v>7193</v>
      </c>
      <c r="C1751" s="26" t="s">
        <v>9171</v>
      </c>
      <c r="D1751" s="22" t="s">
        <v>4956</v>
      </c>
      <c r="E1751" s="22"/>
      <c r="F1751" s="22"/>
      <c r="G1751" s="22"/>
      <c r="H1751" s="22"/>
      <c r="I1751" s="25" t="s">
        <v>7194</v>
      </c>
      <c r="J1751" s="22"/>
      <c r="K1751" s="22" t="s">
        <v>7195</v>
      </c>
      <c r="L1751" s="22" t="s">
        <v>226</v>
      </c>
      <c r="M1751" s="22" t="str">
        <f>HYPERLINK("https://ceds.ed.gov/cedselementdetails.aspx?termid=21282")</f>
        <v>https://ceds.ed.gov/cedselementdetails.aspx?termid=21282</v>
      </c>
    </row>
    <row r="1752" spans="1:13" ht="144" x14ac:dyDescent="0.3">
      <c r="A1752" s="22" t="s">
        <v>7196</v>
      </c>
      <c r="B1752" s="22" t="s">
        <v>7197</v>
      </c>
      <c r="C1752" s="26" t="s">
        <v>8551</v>
      </c>
      <c r="D1752" s="24" t="s">
        <v>8467</v>
      </c>
      <c r="E1752" s="22" t="s">
        <v>172</v>
      </c>
      <c r="F1752" s="22"/>
      <c r="G1752" s="22" t="s">
        <v>7946</v>
      </c>
      <c r="H1752" s="22"/>
      <c r="I1752" s="25" t="s">
        <v>7198</v>
      </c>
      <c r="J1752" s="22"/>
      <c r="K1752" s="22" t="s">
        <v>7199</v>
      </c>
      <c r="L1752" s="22" t="s">
        <v>226</v>
      </c>
      <c r="M1752" s="22" t="str">
        <f>HYPERLINK("https://ceds.ed.gov/cedselementdetails.aspx?termid=21283")</f>
        <v>https://ceds.ed.gov/cedselementdetails.aspx?termid=21283</v>
      </c>
    </row>
    <row r="1753" spans="1:13" ht="129.6" x14ac:dyDescent="0.3">
      <c r="A1753" s="22" t="s">
        <v>7200</v>
      </c>
      <c r="B1753" s="22" t="s">
        <v>7201</v>
      </c>
      <c r="C1753" s="26" t="s">
        <v>8552</v>
      </c>
      <c r="D1753" s="24" t="s">
        <v>8553</v>
      </c>
      <c r="E1753" s="22" t="s">
        <v>172</v>
      </c>
      <c r="F1753" s="22"/>
      <c r="G1753" s="22" t="s">
        <v>7946</v>
      </c>
      <c r="H1753" s="22"/>
      <c r="I1753" s="25" t="s">
        <v>7203</v>
      </c>
      <c r="J1753" s="22"/>
      <c r="K1753" s="22" t="s">
        <v>7204</v>
      </c>
      <c r="L1753" s="22" t="s">
        <v>226</v>
      </c>
      <c r="M1753" s="22" t="str">
        <f>HYPERLINK("https://ceds.ed.gov/cedselementdetails.aspx?termid=21284")</f>
        <v>https://ceds.ed.gov/cedselementdetails.aspx?termid=21284</v>
      </c>
    </row>
    <row r="1754" spans="1:13" ht="172.8" x14ac:dyDescent="0.3">
      <c r="A1754" s="22" t="s">
        <v>7205</v>
      </c>
      <c r="B1754" s="22" t="s">
        <v>7206</v>
      </c>
      <c r="C1754" s="26" t="s">
        <v>9172</v>
      </c>
      <c r="D1754" s="22" t="s">
        <v>112</v>
      </c>
      <c r="E1754" s="22"/>
      <c r="F1754" s="22"/>
      <c r="G1754" s="22"/>
      <c r="H1754" s="22"/>
      <c r="I1754" s="25" t="s">
        <v>7207</v>
      </c>
      <c r="J1754" s="22"/>
      <c r="K1754" s="22" t="s">
        <v>7208</v>
      </c>
      <c r="L1754" s="22" t="s">
        <v>226</v>
      </c>
      <c r="M1754" s="22" t="str">
        <f>HYPERLINK("https://ceds.ed.gov/cedselementdetails.aspx?termid=21285")</f>
        <v>https://ceds.ed.gov/cedselementdetails.aspx?termid=21285</v>
      </c>
    </row>
    <row r="1755" spans="1:13" ht="43.2" x14ac:dyDescent="0.3">
      <c r="A1755" s="22" t="s">
        <v>7209</v>
      </c>
      <c r="B1755" s="22" t="s">
        <v>7210</v>
      </c>
      <c r="C1755" s="26" t="s">
        <v>22</v>
      </c>
      <c r="D1755" s="22" t="s">
        <v>6579</v>
      </c>
      <c r="E1755" s="22"/>
      <c r="F1755" s="22"/>
      <c r="G1755" s="22"/>
      <c r="H1755" s="22"/>
      <c r="I1755" s="25" t="s">
        <v>7211</v>
      </c>
      <c r="J1755" s="22"/>
      <c r="K1755" s="22" t="s">
        <v>7212</v>
      </c>
      <c r="L1755" s="22" t="s">
        <v>226</v>
      </c>
      <c r="M1755" s="22" t="str">
        <f>HYPERLINK("https://ceds.ed.gov/cedselementdetails.aspx?termid=21286")</f>
        <v>https://ceds.ed.gov/cedselementdetails.aspx?termid=21286</v>
      </c>
    </row>
    <row r="1756" spans="1:13" ht="43.2" x14ac:dyDescent="0.3">
      <c r="A1756" s="22" t="s">
        <v>7213</v>
      </c>
      <c r="B1756" s="22" t="s">
        <v>7214</v>
      </c>
      <c r="C1756" s="26" t="s">
        <v>22</v>
      </c>
      <c r="D1756" s="22" t="s">
        <v>6579</v>
      </c>
      <c r="E1756" s="22"/>
      <c r="F1756" s="22"/>
      <c r="G1756" s="22"/>
      <c r="H1756" s="22"/>
      <c r="I1756" s="25" t="s">
        <v>7215</v>
      </c>
      <c r="J1756" s="22"/>
      <c r="K1756" s="22" t="s">
        <v>7216</v>
      </c>
      <c r="L1756" s="22" t="s">
        <v>226</v>
      </c>
      <c r="M1756" s="22" t="str">
        <f>HYPERLINK("https://ceds.ed.gov/cedselementdetails.aspx?termid=21287")</f>
        <v>https://ceds.ed.gov/cedselementdetails.aspx?termid=21287</v>
      </c>
    </row>
    <row r="1757" spans="1:13" ht="43.2" x14ac:dyDescent="0.3">
      <c r="A1757" s="22" t="s">
        <v>7217</v>
      </c>
      <c r="B1757" s="22" t="s">
        <v>7218</v>
      </c>
      <c r="C1757" s="26" t="s">
        <v>22</v>
      </c>
      <c r="D1757" s="22" t="s">
        <v>6579</v>
      </c>
      <c r="E1757" s="22"/>
      <c r="F1757" s="22"/>
      <c r="G1757" s="22"/>
      <c r="H1757" s="22"/>
      <c r="I1757" s="25" t="s">
        <v>7219</v>
      </c>
      <c r="J1757" s="22"/>
      <c r="K1757" s="22" t="s">
        <v>7220</v>
      </c>
      <c r="L1757" s="22" t="s">
        <v>226</v>
      </c>
      <c r="M1757" s="22" t="str">
        <f>HYPERLINK("https://ceds.ed.gov/cedselementdetails.aspx?termid=21288")</f>
        <v>https://ceds.ed.gov/cedselementdetails.aspx?termid=21288</v>
      </c>
    </row>
    <row r="1758" spans="1:13" ht="43.2" x14ac:dyDescent="0.3">
      <c r="A1758" s="22" t="s">
        <v>7221</v>
      </c>
      <c r="B1758" s="22" t="s">
        <v>7222</v>
      </c>
      <c r="C1758" s="26" t="s">
        <v>22</v>
      </c>
      <c r="D1758" s="22" t="s">
        <v>6579</v>
      </c>
      <c r="E1758" s="22"/>
      <c r="F1758" s="22"/>
      <c r="G1758" s="22"/>
      <c r="H1758" s="22"/>
      <c r="I1758" s="25" t="s">
        <v>7223</v>
      </c>
      <c r="J1758" s="22"/>
      <c r="K1758" s="22" t="s">
        <v>7224</v>
      </c>
      <c r="L1758" s="22" t="s">
        <v>226</v>
      </c>
      <c r="M1758" s="22" t="str">
        <f>HYPERLINK("https://ceds.ed.gov/cedselementdetails.aspx?termid=21541")</f>
        <v>https://ceds.ed.gov/cedselementdetails.aspx?termid=21541</v>
      </c>
    </row>
    <row r="1759" spans="1:13" ht="86.4" x14ac:dyDescent="0.3">
      <c r="A1759" s="22" t="s">
        <v>7225</v>
      </c>
      <c r="B1759" s="22" t="s">
        <v>7226</v>
      </c>
      <c r="C1759" s="26" t="s">
        <v>9173</v>
      </c>
      <c r="D1759" s="22" t="s">
        <v>4956</v>
      </c>
      <c r="E1759" s="22"/>
      <c r="F1759" s="22"/>
      <c r="G1759" s="22"/>
      <c r="H1759" s="22"/>
      <c r="I1759" s="25" t="s">
        <v>7227</v>
      </c>
      <c r="J1759" s="22"/>
      <c r="K1759" s="22" t="s">
        <v>7228</v>
      </c>
      <c r="L1759" s="22" t="s">
        <v>226</v>
      </c>
      <c r="M1759" s="22" t="str">
        <f>HYPERLINK("https://ceds.ed.gov/cedselementdetails.aspx?termid=21289")</f>
        <v>https://ceds.ed.gov/cedselementdetails.aspx?termid=21289</v>
      </c>
    </row>
    <row r="1760" spans="1:13" ht="43.2" x14ac:dyDescent="0.3">
      <c r="A1760" s="22" t="s">
        <v>7229</v>
      </c>
      <c r="B1760" s="22" t="s">
        <v>7230</v>
      </c>
      <c r="C1760" s="26" t="s">
        <v>22</v>
      </c>
      <c r="D1760" s="22" t="s">
        <v>6579</v>
      </c>
      <c r="E1760" s="22"/>
      <c r="F1760" s="22"/>
      <c r="G1760" s="22"/>
      <c r="H1760" s="22"/>
      <c r="I1760" s="25" t="s">
        <v>7231</v>
      </c>
      <c r="J1760" s="22"/>
      <c r="K1760" s="22" t="s">
        <v>7232</v>
      </c>
      <c r="L1760" s="22" t="s">
        <v>226</v>
      </c>
      <c r="M1760" s="22" t="str">
        <f>HYPERLINK("https://ceds.ed.gov/cedselementdetails.aspx?termid=21542")</f>
        <v>https://ceds.ed.gov/cedselementdetails.aspx?termid=21542</v>
      </c>
    </row>
    <row r="1761" spans="1:13" ht="43.2" x14ac:dyDescent="0.3">
      <c r="A1761" s="22" t="s">
        <v>7233</v>
      </c>
      <c r="B1761" s="22" t="s">
        <v>7234</v>
      </c>
      <c r="C1761" s="26" t="s">
        <v>22</v>
      </c>
      <c r="D1761" s="24" t="s">
        <v>8415</v>
      </c>
      <c r="E1761" s="22" t="s">
        <v>172</v>
      </c>
      <c r="F1761" s="22"/>
      <c r="G1761" s="22" t="s">
        <v>7946</v>
      </c>
      <c r="H1761" s="22"/>
      <c r="I1761" s="25" t="s">
        <v>7235</v>
      </c>
      <c r="J1761" s="22"/>
      <c r="K1761" s="22" t="s">
        <v>7236</v>
      </c>
      <c r="L1761" s="22"/>
      <c r="M1761" s="22" t="str">
        <f>HYPERLINK("https://ceds.ed.gov/cedselementdetails.aspx?termid=21543")</f>
        <v>https://ceds.ed.gov/cedselementdetails.aspx?termid=21543</v>
      </c>
    </row>
    <row r="1762" spans="1:13" ht="57.6" x14ac:dyDescent="0.3">
      <c r="A1762" s="22" t="s">
        <v>7237</v>
      </c>
      <c r="B1762" s="22" t="s">
        <v>7238</v>
      </c>
      <c r="C1762" s="26" t="s">
        <v>9174</v>
      </c>
      <c r="D1762" s="22" t="s">
        <v>5816</v>
      </c>
      <c r="E1762" s="22"/>
      <c r="F1762" s="22"/>
      <c r="G1762" s="22"/>
      <c r="H1762" s="22"/>
      <c r="I1762" s="25" t="s">
        <v>7239</v>
      </c>
      <c r="J1762" s="22"/>
      <c r="K1762" s="22" t="s">
        <v>7240</v>
      </c>
      <c r="L1762" s="22" t="s">
        <v>226</v>
      </c>
      <c r="M1762" s="22" t="str">
        <f>HYPERLINK("https://ceds.ed.gov/cedselementdetails.aspx?termid=21527")</f>
        <v>https://ceds.ed.gov/cedselementdetails.aspx?termid=21527</v>
      </c>
    </row>
    <row r="1763" spans="1:13" ht="43.2" x14ac:dyDescent="0.3">
      <c r="A1763" s="22" t="s">
        <v>7241</v>
      </c>
      <c r="B1763" s="22" t="s">
        <v>7242</v>
      </c>
      <c r="C1763" s="26" t="s">
        <v>22</v>
      </c>
      <c r="D1763" s="22" t="s">
        <v>5816</v>
      </c>
      <c r="E1763" s="22" t="s">
        <v>172</v>
      </c>
      <c r="F1763" s="22"/>
      <c r="G1763" s="22" t="s">
        <v>8341</v>
      </c>
      <c r="H1763" s="22"/>
      <c r="I1763" s="25" t="s">
        <v>7243</v>
      </c>
      <c r="J1763" s="22"/>
      <c r="K1763" s="22" t="s">
        <v>7244</v>
      </c>
      <c r="L1763" s="22" t="s">
        <v>226</v>
      </c>
      <c r="M1763" s="22" t="str">
        <f>HYPERLINK("https://ceds.ed.gov/cedselementdetails.aspx?termid=21557")</f>
        <v>https://ceds.ed.gov/cedselementdetails.aspx?termid=21557</v>
      </c>
    </row>
    <row r="1764" spans="1:13" ht="43.2" x14ac:dyDescent="0.3">
      <c r="A1764" s="22" t="s">
        <v>7245</v>
      </c>
      <c r="B1764" s="22" t="s">
        <v>7246</v>
      </c>
      <c r="C1764" s="26" t="s">
        <v>22</v>
      </c>
      <c r="D1764" s="22" t="s">
        <v>4043</v>
      </c>
      <c r="E1764" s="22"/>
      <c r="F1764" s="22"/>
      <c r="G1764" s="22"/>
      <c r="H1764" s="22"/>
      <c r="I1764" s="25" t="s">
        <v>7247</v>
      </c>
      <c r="J1764" s="22"/>
      <c r="K1764" s="22" t="s">
        <v>7248</v>
      </c>
      <c r="L1764" s="22" t="s">
        <v>226</v>
      </c>
      <c r="M1764" s="22" t="str">
        <f>HYPERLINK("https://ceds.ed.gov/cedselementdetails.aspx?termid=21290")</f>
        <v>https://ceds.ed.gov/cedselementdetails.aspx?termid=21290</v>
      </c>
    </row>
    <row r="1765" spans="1:13" ht="72" x14ac:dyDescent="0.3">
      <c r="A1765" s="22" t="s">
        <v>7249</v>
      </c>
      <c r="B1765" s="22" t="s">
        <v>7250</v>
      </c>
      <c r="C1765" s="26" t="s">
        <v>22</v>
      </c>
      <c r="D1765" s="22" t="s">
        <v>4043</v>
      </c>
      <c r="E1765" s="22"/>
      <c r="F1765" s="22"/>
      <c r="G1765" s="22"/>
      <c r="H1765" s="22"/>
      <c r="I1765" s="25" t="s">
        <v>7251</v>
      </c>
      <c r="J1765" s="22"/>
      <c r="K1765" s="22" t="s">
        <v>7252</v>
      </c>
      <c r="L1765" s="24" t="s">
        <v>64</v>
      </c>
      <c r="M1765" s="22" t="str">
        <f>HYPERLINK("https://ceds.ed.gov/cedselementdetails.aspx?termid=21291")</f>
        <v>https://ceds.ed.gov/cedselementdetails.aspx?termid=21291</v>
      </c>
    </row>
    <row r="1766" spans="1:13" ht="259.2" x14ac:dyDescent="0.3">
      <c r="A1766" s="22" t="s">
        <v>7253</v>
      </c>
      <c r="B1766" s="22" t="s">
        <v>7254</v>
      </c>
      <c r="C1766" s="26" t="s">
        <v>9175</v>
      </c>
      <c r="D1766" s="24" t="s">
        <v>7202</v>
      </c>
      <c r="E1766" s="22"/>
      <c r="F1766" s="22"/>
      <c r="G1766" s="22"/>
      <c r="H1766" s="22"/>
      <c r="I1766" s="25" t="s">
        <v>7255</v>
      </c>
      <c r="J1766" s="22"/>
      <c r="K1766" s="22" t="s">
        <v>7256</v>
      </c>
      <c r="L1766" s="22" t="s">
        <v>214</v>
      </c>
      <c r="M1766" s="22" t="str">
        <f>HYPERLINK("https://ceds.ed.gov/cedselementdetails.aspx?termid=21437")</f>
        <v>https://ceds.ed.gov/cedselementdetails.aspx?termid=21437</v>
      </c>
    </row>
    <row r="1767" spans="1:13" ht="144" x14ac:dyDescent="0.3">
      <c r="A1767" s="22" t="s">
        <v>7257</v>
      </c>
      <c r="B1767" s="22" t="s">
        <v>7258</v>
      </c>
      <c r="C1767" s="26" t="s">
        <v>9176</v>
      </c>
      <c r="D1767" s="22" t="s">
        <v>101</v>
      </c>
      <c r="E1767" s="22"/>
      <c r="F1767" s="22"/>
      <c r="G1767" s="22"/>
      <c r="H1767" s="22"/>
      <c r="I1767" s="25" t="s">
        <v>7259</v>
      </c>
      <c r="J1767" s="22"/>
      <c r="K1767" s="22" t="s">
        <v>7260</v>
      </c>
      <c r="L1767" s="22" t="s">
        <v>214</v>
      </c>
      <c r="M1767" s="22" t="str">
        <f>HYPERLINK("https://ceds.ed.gov/cedselementdetails.aspx?termid=21478")</f>
        <v>https://ceds.ed.gov/cedselementdetails.aspx?termid=21478</v>
      </c>
    </row>
    <row r="1768" spans="1:13" ht="43.2" x14ac:dyDescent="0.3">
      <c r="A1768" s="22" t="s">
        <v>7261</v>
      </c>
      <c r="B1768" s="22" t="s">
        <v>8342</v>
      </c>
      <c r="C1768" s="26" t="s">
        <v>22</v>
      </c>
      <c r="D1768" s="22" t="s">
        <v>3218</v>
      </c>
      <c r="E1768" s="22"/>
      <c r="F1768" s="22"/>
      <c r="G1768" s="22"/>
      <c r="H1768" s="22"/>
      <c r="I1768" s="25" t="s">
        <v>7262</v>
      </c>
      <c r="J1768" s="22"/>
      <c r="K1768" s="22" t="s">
        <v>7263</v>
      </c>
      <c r="L1768" s="24" t="s">
        <v>198</v>
      </c>
      <c r="M1768" s="22" t="str">
        <f>HYPERLINK("https://ceds.ed.gov/cedselementdetails.aspx?termid=21292")</f>
        <v>https://ceds.ed.gov/cedselementdetails.aspx?termid=21292</v>
      </c>
    </row>
    <row r="1769" spans="1:13" x14ac:dyDescent="0.3">
      <c r="A1769" s="22" t="s">
        <v>7264</v>
      </c>
      <c r="B1769" s="22" t="s">
        <v>7265</v>
      </c>
      <c r="C1769" s="23" t="s">
        <v>32</v>
      </c>
      <c r="D1769" s="22" t="s">
        <v>8083</v>
      </c>
      <c r="E1769" s="22"/>
      <c r="F1769" s="22" t="s">
        <v>1518</v>
      </c>
      <c r="G1769" s="22"/>
      <c r="H1769" s="22"/>
      <c r="I1769" s="25" t="s">
        <v>7266</v>
      </c>
      <c r="J1769" s="22"/>
      <c r="K1769" s="22" t="s">
        <v>7267</v>
      </c>
      <c r="L1769" s="22" t="s">
        <v>207</v>
      </c>
      <c r="M1769" s="22" t="str">
        <f>HYPERLINK("https://ceds.ed.gov/cedselementdetails.aspx?termid=21787")</f>
        <v>https://ceds.ed.gov/cedselementdetails.aspx?termid=21787</v>
      </c>
    </row>
    <row r="1770" spans="1:13" ht="72" x14ac:dyDescent="0.3">
      <c r="A1770" s="22" t="s">
        <v>7268</v>
      </c>
      <c r="B1770" s="22" t="s">
        <v>7269</v>
      </c>
      <c r="C1770" s="23" t="s">
        <v>32</v>
      </c>
      <c r="D1770" s="24" t="s">
        <v>8832</v>
      </c>
      <c r="E1770" s="22"/>
      <c r="F1770" s="22" t="s">
        <v>780</v>
      </c>
      <c r="G1770" s="22"/>
      <c r="H1770" s="22" t="s">
        <v>8331</v>
      </c>
      <c r="I1770" s="25" t="s">
        <v>7270</v>
      </c>
      <c r="J1770" s="22"/>
      <c r="K1770" s="22" t="s">
        <v>7271</v>
      </c>
      <c r="L1770" s="22"/>
      <c r="M1770" s="22" t="str">
        <f>HYPERLINK("https://ceds.ed.gov/cedselementdetails.aspx?termid=22609")</f>
        <v>https://ceds.ed.gov/cedselementdetails.aspx?termid=22609</v>
      </c>
    </row>
    <row r="1771" spans="1:13" ht="57.6" x14ac:dyDescent="0.3">
      <c r="A1771" s="22" t="s">
        <v>7272</v>
      </c>
      <c r="B1771" s="22" t="s">
        <v>7273</v>
      </c>
      <c r="C1771" s="26" t="s">
        <v>3039</v>
      </c>
      <c r="D1771" s="22" t="s">
        <v>3596</v>
      </c>
      <c r="E1771" s="22"/>
      <c r="F1771" s="22"/>
      <c r="G1771" s="22"/>
      <c r="H1771" s="22"/>
      <c r="I1771" s="25" t="s">
        <v>7274</v>
      </c>
      <c r="J1771" s="22"/>
      <c r="K1771" s="22" t="s">
        <v>7275</v>
      </c>
      <c r="L1771" s="22" t="s">
        <v>3124</v>
      </c>
      <c r="M1771" s="22" t="str">
        <f>HYPERLINK("https://ceds.ed.gov/cedselementdetails.aspx?termid=22610")</f>
        <v>https://ceds.ed.gov/cedselementdetails.aspx?termid=22610</v>
      </c>
    </row>
    <row r="1772" spans="1:13" ht="57.6" x14ac:dyDescent="0.3">
      <c r="A1772" s="22" t="s">
        <v>7276</v>
      </c>
      <c r="B1772" s="22" t="s">
        <v>7277</v>
      </c>
      <c r="C1772" s="26" t="s">
        <v>9177</v>
      </c>
      <c r="D1772" s="22" t="s">
        <v>2114</v>
      </c>
      <c r="E1772" s="22"/>
      <c r="F1772" s="22"/>
      <c r="G1772" s="22"/>
      <c r="H1772" s="22"/>
      <c r="I1772" s="25" t="s">
        <v>7278</v>
      </c>
      <c r="J1772" s="22"/>
      <c r="K1772" s="22" t="s">
        <v>7279</v>
      </c>
      <c r="L1772" s="24" t="s">
        <v>198</v>
      </c>
      <c r="M1772" s="22" t="str">
        <f>HYPERLINK("https://ceds.ed.gov/cedselementdetails.aspx?termid=21296")</f>
        <v>https://ceds.ed.gov/cedselementdetails.aspx?termid=21296</v>
      </c>
    </row>
    <row r="1773" spans="1:13" x14ac:dyDescent="0.3">
      <c r="A1773" s="22" t="s">
        <v>7280</v>
      </c>
      <c r="B1773" s="22" t="s">
        <v>7281</v>
      </c>
      <c r="C1773" s="23" t="s">
        <v>32</v>
      </c>
      <c r="D1773" s="22" t="s">
        <v>8075</v>
      </c>
      <c r="E1773" s="22"/>
      <c r="F1773" s="22" t="s">
        <v>118</v>
      </c>
      <c r="G1773" s="22"/>
      <c r="H1773" s="22"/>
      <c r="I1773" s="25" t="s">
        <v>7282</v>
      </c>
      <c r="J1773" s="22"/>
      <c r="K1773" s="22" t="s">
        <v>7283</v>
      </c>
      <c r="L1773" s="22"/>
      <c r="M1773" s="22" t="str">
        <f>HYPERLINK("https://ceds.ed.gov/cedselementdetails.aspx?termid=22333")</f>
        <v>https://ceds.ed.gov/cedselementdetails.aspx?termid=22333</v>
      </c>
    </row>
    <row r="1774" spans="1:13" x14ac:dyDescent="0.3">
      <c r="A1774" s="22" t="s">
        <v>7284</v>
      </c>
      <c r="B1774" s="22" t="s">
        <v>7285</v>
      </c>
      <c r="C1774" s="23" t="s">
        <v>32</v>
      </c>
      <c r="D1774" s="22" t="s">
        <v>8075</v>
      </c>
      <c r="E1774" s="22"/>
      <c r="F1774" s="22" t="s">
        <v>118</v>
      </c>
      <c r="G1774" s="22"/>
      <c r="H1774" s="22"/>
      <c r="I1774" s="25" t="s">
        <v>7286</v>
      </c>
      <c r="J1774" s="22"/>
      <c r="K1774" s="22" t="s">
        <v>7287</v>
      </c>
      <c r="L1774" s="22"/>
      <c r="M1774" s="22" t="str">
        <f>HYPERLINK("https://ceds.ed.gov/cedselementdetails.aspx?termid=22334")</f>
        <v>https://ceds.ed.gov/cedselementdetails.aspx?termid=22334</v>
      </c>
    </row>
    <row r="1775" spans="1:13" ht="360" x14ac:dyDescent="0.3">
      <c r="A1775" s="22" t="s">
        <v>7288</v>
      </c>
      <c r="B1775" s="22" t="s">
        <v>7289</v>
      </c>
      <c r="C1775" s="23" t="s">
        <v>7423</v>
      </c>
      <c r="D1775" s="24" t="s">
        <v>9178</v>
      </c>
      <c r="E1775" s="22"/>
      <c r="F1775" s="22"/>
      <c r="G1775" s="22"/>
      <c r="H1775" s="22"/>
      <c r="I1775" s="25" t="s">
        <v>7290</v>
      </c>
      <c r="J1775" s="22"/>
      <c r="K1775" s="22" t="s">
        <v>7291</v>
      </c>
      <c r="L1775" s="22"/>
      <c r="M1775" s="22" t="str">
        <f>HYPERLINK("https://ceds.ed.gov/cedselementdetails.aspx?termid=22638")</f>
        <v>https://ceds.ed.gov/cedselementdetails.aspx?termid=22638</v>
      </c>
    </row>
    <row r="1776" spans="1:13" ht="86.4" x14ac:dyDescent="0.3">
      <c r="A1776" s="22" t="s">
        <v>7292</v>
      </c>
      <c r="B1776" s="22" t="s">
        <v>7293</v>
      </c>
      <c r="C1776" s="26" t="s">
        <v>9179</v>
      </c>
      <c r="D1776" s="22" t="s">
        <v>8343</v>
      </c>
      <c r="E1776" s="22"/>
      <c r="F1776" s="22"/>
      <c r="G1776" s="22"/>
      <c r="H1776" s="22"/>
      <c r="I1776" s="25" t="s">
        <v>7294</v>
      </c>
      <c r="J1776" s="22"/>
      <c r="K1776" s="22" t="s">
        <v>7295</v>
      </c>
      <c r="L1776" s="22"/>
      <c r="M1776" s="22" t="str">
        <f>HYPERLINK("https://ceds.ed.gov/cedselementdetails.aspx?termid=22611")</f>
        <v>https://ceds.ed.gov/cedselementdetails.aspx?termid=22611</v>
      </c>
    </row>
    <row r="1777" spans="1:13" ht="43.2" x14ac:dyDescent="0.3">
      <c r="A1777" s="22" t="s">
        <v>7296</v>
      </c>
      <c r="B1777" s="22" t="s">
        <v>7297</v>
      </c>
      <c r="C1777" s="26" t="s">
        <v>22</v>
      </c>
      <c r="D1777" s="22" t="s">
        <v>3214</v>
      </c>
      <c r="E1777" s="22"/>
      <c r="F1777" s="22"/>
      <c r="G1777" s="22"/>
      <c r="H1777" s="22" t="s">
        <v>8344</v>
      </c>
      <c r="I1777" s="25" t="s">
        <v>7298</v>
      </c>
      <c r="J1777" s="22"/>
      <c r="K1777" s="22" t="s">
        <v>7299</v>
      </c>
      <c r="L1777" s="22" t="s">
        <v>226</v>
      </c>
      <c r="M1777" s="22" t="str">
        <f>HYPERLINK("https://ceds.ed.gov/cedselementdetails.aspx?termid=21561")</f>
        <v>https://ceds.ed.gov/cedselementdetails.aspx?termid=21561</v>
      </c>
    </row>
    <row r="1778" spans="1:13" x14ac:dyDescent="0.3">
      <c r="A1778" s="22" t="s">
        <v>7300</v>
      </c>
      <c r="B1778" s="22" t="s">
        <v>8345</v>
      </c>
      <c r="C1778" s="23" t="s">
        <v>32</v>
      </c>
      <c r="D1778" s="22" t="s">
        <v>239</v>
      </c>
      <c r="E1778" s="22"/>
      <c r="F1778" s="22" t="s">
        <v>1518</v>
      </c>
      <c r="G1778" s="22"/>
      <c r="H1778" s="22" t="s">
        <v>7301</v>
      </c>
      <c r="I1778" s="25" t="s">
        <v>7302</v>
      </c>
      <c r="J1778" s="22"/>
      <c r="K1778" s="22" t="s">
        <v>7303</v>
      </c>
      <c r="L1778" s="22" t="s">
        <v>1568</v>
      </c>
      <c r="M1778" s="22" t="str">
        <f>HYPERLINK("https://ceds.ed.gov/cedselementdetails.aspx?termid=21723")</f>
        <v>https://ceds.ed.gov/cedselementdetails.aspx?termid=21723</v>
      </c>
    </row>
    <row r="1779" spans="1:13" ht="187.2" x14ac:dyDescent="0.3">
      <c r="A1779" s="22" t="s">
        <v>7304</v>
      </c>
      <c r="B1779" s="22" t="s">
        <v>7305</v>
      </c>
      <c r="C1779" s="26" t="s">
        <v>22</v>
      </c>
      <c r="D1779" s="24" t="s">
        <v>9180</v>
      </c>
      <c r="E1779" s="22"/>
      <c r="F1779" s="22"/>
      <c r="G1779" s="22"/>
      <c r="H1779" s="22" t="s">
        <v>7306</v>
      </c>
      <c r="I1779" s="25" t="s">
        <v>7307</v>
      </c>
      <c r="J1779" s="22"/>
      <c r="K1779" s="22" t="s">
        <v>7308</v>
      </c>
      <c r="L1779" s="22"/>
      <c r="M1779" s="22" t="str">
        <f>HYPERLINK("https://ceds.ed.gov/cedselementdetails.aspx?termid=22554")</f>
        <v>https://ceds.ed.gov/cedselementdetails.aspx?termid=22554</v>
      </c>
    </row>
    <row r="1780" spans="1:13" ht="86.4" x14ac:dyDescent="0.3">
      <c r="A1780" s="22" t="s">
        <v>7309</v>
      </c>
      <c r="B1780" s="22" t="s">
        <v>7310</v>
      </c>
      <c r="C1780" s="26" t="s">
        <v>9181</v>
      </c>
      <c r="D1780" s="22" t="s">
        <v>1874</v>
      </c>
      <c r="E1780" s="22"/>
      <c r="F1780" s="22"/>
      <c r="G1780" s="22"/>
      <c r="H1780" s="22"/>
      <c r="I1780" s="25" t="s">
        <v>7311</v>
      </c>
      <c r="J1780" s="22"/>
      <c r="K1780" s="22" t="s">
        <v>7312</v>
      </c>
      <c r="L1780" s="22" t="s">
        <v>242</v>
      </c>
      <c r="M1780" s="22" t="str">
        <f>HYPERLINK("https://ceds.ed.gov/cedselementdetails.aspx?termid=21297")</f>
        <v>https://ceds.ed.gov/cedselementdetails.aspx?termid=21297</v>
      </c>
    </row>
    <row r="1781" spans="1:13" ht="86.4" x14ac:dyDescent="0.3">
      <c r="A1781" s="22" t="s">
        <v>7313</v>
      </c>
      <c r="B1781" s="22" t="s">
        <v>8346</v>
      </c>
      <c r="C1781" s="26" t="s">
        <v>9182</v>
      </c>
      <c r="D1781" s="22" t="s">
        <v>239</v>
      </c>
      <c r="E1781" s="22"/>
      <c r="F1781" s="22"/>
      <c r="G1781" s="22"/>
      <c r="H1781" s="22" t="s">
        <v>368</v>
      </c>
      <c r="I1781" s="25" t="s">
        <v>7314</v>
      </c>
      <c r="J1781" s="22"/>
      <c r="K1781" s="22" t="s">
        <v>7315</v>
      </c>
      <c r="L1781" s="22" t="s">
        <v>1568</v>
      </c>
      <c r="M1781" s="22" t="str">
        <f>HYPERLINK("https://ceds.ed.gov/cedselementdetails.aspx?termid=21725")</f>
        <v>https://ceds.ed.gov/cedselementdetails.aspx?termid=21725</v>
      </c>
    </row>
    <row r="1782" spans="1:13" ht="187.2" x14ac:dyDescent="0.3">
      <c r="A1782" s="22" t="s">
        <v>7316</v>
      </c>
      <c r="B1782" s="22" t="s">
        <v>7317</v>
      </c>
      <c r="C1782" s="26" t="s">
        <v>9183</v>
      </c>
      <c r="D1782" s="24" t="s">
        <v>7318</v>
      </c>
      <c r="E1782" s="22"/>
      <c r="F1782" s="22"/>
      <c r="G1782" s="22"/>
      <c r="H1782" s="22"/>
      <c r="I1782" s="25" t="s">
        <v>7319</v>
      </c>
      <c r="J1782" s="22" t="s">
        <v>7320</v>
      </c>
      <c r="K1782" s="22" t="s">
        <v>7321</v>
      </c>
      <c r="L1782" s="22" t="s">
        <v>214</v>
      </c>
      <c r="M1782" s="22" t="str">
        <f>HYPERLINK("https://ceds.ed.gov/cedselementdetails.aspx?termid=21477")</f>
        <v>https://ceds.ed.gov/cedselementdetails.aspx?termid=21477</v>
      </c>
    </row>
    <row r="1783" spans="1:13" x14ac:dyDescent="0.3">
      <c r="A1783" s="22" t="s">
        <v>7322</v>
      </c>
      <c r="B1783" s="22" t="s">
        <v>7323</v>
      </c>
      <c r="C1783" s="23" t="s">
        <v>32</v>
      </c>
      <c r="D1783" s="22" t="s">
        <v>8094</v>
      </c>
      <c r="E1783" s="22"/>
      <c r="F1783" s="22" t="s">
        <v>328</v>
      </c>
      <c r="G1783" s="22"/>
      <c r="H1783" s="22"/>
      <c r="I1783" s="25" t="s">
        <v>7324</v>
      </c>
      <c r="J1783" s="22"/>
      <c r="K1783" s="22" t="s">
        <v>7325</v>
      </c>
      <c r="L1783" s="22"/>
      <c r="M1783" s="22" t="str">
        <f>HYPERLINK("https://ceds.ed.gov/cedselementdetails.aspx?termid=22469")</f>
        <v>https://ceds.ed.gov/cedselementdetails.aspx?termid=22469</v>
      </c>
    </row>
    <row r="1784" spans="1:13" ht="43.2" x14ac:dyDescent="0.3">
      <c r="A1784" s="22" t="s">
        <v>7326</v>
      </c>
      <c r="B1784" s="22" t="s">
        <v>7327</v>
      </c>
      <c r="C1784" s="26" t="s">
        <v>22</v>
      </c>
      <c r="D1784" s="22" t="s">
        <v>8094</v>
      </c>
      <c r="E1784" s="22"/>
      <c r="F1784" s="22"/>
      <c r="G1784" s="22"/>
      <c r="H1784" s="22"/>
      <c r="I1784" s="25" t="s">
        <v>7328</v>
      </c>
      <c r="J1784" s="22"/>
      <c r="K1784" s="22" t="s">
        <v>7329</v>
      </c>
      <c r="L1784" s="22" t="s">
        <v>207</v>
      </c>
      <c r="M1784" s="22" t="str">
        <f>HYPERLINK("https://ceds.ed.gov/cedselementdetails.aspx?termid=21798")</f>
        <v>https://ceds.ed.gov/cedselementdetails.aspx?termid=21798</v>
      </c>
    </row>
    <row r="1785" spans="1:13" ht="86.4" x14ac:dyDescent="0.3">
      <c r="A1785" s="22" t="s">
        <v>7330</v>
      </c>
      <c r="B1785" s="22" t="s">
        <v>7331</v>
      </c>
      <c r="C1785" s="26" t="s">
        <v>8554</v>
      </c>
      <c r="D1785" s="24" t="s">
        <v>8555</v>
      </c>
      <c r="E1785" s="22" t="s">
        <v>172</v>
      </c>
      <c r="F1785" s="22"/>
      <c r="G1785" s="22" t="s">
        <v>7946</v>
      </c>
      <c r="H1785" s="22" t="s">
        <v>6765</v>
      </c>
      <c r="I1785" s="25" t="s">
        <v>7332</v>
      </c>
      <c r="J1785" s="22"/>
      <c r="K1785" s="22" t="s">
        <v>7333</v>
      </c>
      <c r="L1785" s="24" t="s">
        <v>7334</v>
      </c>
      <c r="M1785" s="22" t="str">
        <f>HYPERLINK("https://ceds.ed.gov/cedselementdetails.aspx?termid=21299")</f>
        <v>https://ceds.ed.gov/cedselementdetails.aspx?termid=21299</v>
      </c>
    </row>
    <row r="1786" spans="1:13" ht="158.4" x14ac:dyDescent="0.3">
      <c r="A1786" s="22" t="s">
        <v>7335</v>
      </c>
      <c r="B1786" s="22" t="s">
        <v>8347</v>
      </c>
      <c r="C1786" s="26" t="s">
        <v>22</v>
      </c>
      <c r="D1786" s="24" t="s">
        <v>8556</v>
      </c>
      <c r="E1786" s="22" t="s">
        <v>172</v>
      </c>
      <c r="F1786" s="22"/>
      <c r="G1786" s="22" t="s">
        <v>8348</v>
      </c>
      <c r="H1786" s="22"/>
      <c r="I1786" s="25" t="s">
        <v>7336</v>
      </c>
      <c r="J1786" s="22"/>
      <c r="K1786" s="22" t="s">
        <v>7337</v>
      </c>
      <c r="L1786" s="22"/>
      <c r="M1786" s="22" t="str">
        <f>HYPERLINK("https://ceds.ed.gov/cedselementdetails.aspx?termid=22167")</f>
        <v>https://ceds.ed.gov/cedselementdetails.aspx?termid=22167</v>
      </c>
    </row>
    <row r="1787" spans="1:13" ht="72" x14ac:dyDescent="0.3">
      <c r="A1787" s="22" t="s">
        <v>7338</v>
      </c>
      <c r="B1787" s="22" t="s">
        <v>8349</v>
      </c>
      <c r="C1787" s="26" t="s">
        <v>8557</v>
      </c>
      <c r="D1787" s="24" t="s">
        <v>8464</v>
      </c>
      <c r="E1787" s="22" t="s">
        <v>172</v>
      </c>
      <c r="F1787" s="22"/>
      <c r="G1787" s="22" t="s">
        <v>8348</v>
      </c>
      <c r="H1787" s="22"/>
      <c r="I1787" s="25" t="s">
        <v>7339</v>
      </c>
      <c r="J1787" s="22"/>
      <c r="K1787" s="22" t="s">
        <v>7340</v>
      </c>
      <c r="L1787" s="22"/>
      <c r="M1787" s="22" t="str">
        <f>HYPERLINK("https://ceds.ed.gov/cedselementdetails.aspx?termid=22747")</f>
        <v>https://ceds.ed.gov/cedselementdetails.aspx?termid=22747</v>
      </c>
    </row>
    <row r="1788" spans="1:13" ht="129.6" x14ac:dyDescent="0.3">
      <c r="A1788" s="22" t="s">
        <v>7341</v>
      </c>
      <c r="B1788" s="22" t="s">
        <v>7342</v>
      </c>
      <c r="C1788" s="26" t="s">
        <v>9184</v>
      </c>
      <c r="D1788" s="22" t="s">
        <v>1874</v>
      </c>
      <c r="E1788" s="22"/>
      <c r="F1788" s="22"/>
      <c r="G1788" s="22"/>
      <c r="H1788" s="22"/>
      <c r="I1788" s="25" t="s">
        <v>7343</v>
      </c>
      <c r="J1788" s="22"/>
      <c r="K1788" s="22" t="s">
        <v>7344</v>
      </c>
      <c r="L1788" s="22" t="s">
        <v>242</v>
      </c>
      <c r="M1788" s="22" t="str">
        <f>HYPERLINK("https://ceds.ed.gov/cedselementdetails.aspx?termid=21196")</f>
        <v>https://ceds.ed.gov/cedselementdetails.aspx?termid=21196</v>
      </c>
    </row>
    <row r="1789" spans="1:13" ht="43.2" x14ac:dyDescent="0.3">
      <c r="A1789" s="22" t="s">
        <v>7345</v>
      </c>
      <c r="B1789" s="22" t="s">
        <v>7346</v>
      </c>
      <c r="C1789" s="23" t="s">
        <v>32</v>
      </c>
      <c r="D1789" s="24" t="s">
        <v>9185</v>
      </c>
      <c r="E1789" s="22"/>
      <c r="F1789" s="22" t="s">
        <v>118</v>
      </c>
      <c r="G1789" s="22"/>
      <c r="H1789" s="22"/>
      <c r="I1789" s="25" t="s">
        <v>7347</v>
      </c>
      <c r="J1789" s="22"/>
      <c r="K1789" s="22" t="s">
        <v>7348</v>
      </c>
      <c r="L1789" s="22"/>
      <c r="M1789" s="22" t="str">
        <f>HYPERLINK("https://ceds.ed.gov/cedselementdetails.aspx?termid=21680")</f>
        <v>https://ceds.ed.gov/cedselementdetails.aspx?termid=21680</v>
      </c>
    </row>
    <row r="1790" spans="1:13" ht="57.6" x14ac:dyDescent="0.3">
      <c r="A1790" s="22" t="s">
        <v>7349</v>
      </c>
      <c r="B1790" s="22" t="s">
        <v>7350</v>
      </c>
      <c r="C1790" s="26" t="s">
        <v>8917</v>
      </c>
      <c r="D1790" s="24" t="s">
        <v>9185</v>
      </c>
      <c r="E1790" s="22"/>
      <c r="F1790" s="22"/>
      <c r="G1790" s="22"/>
      <c r="H1790" s="22"/>
      <c r="I1790" s="25" t="s">
        <v>7351</v>
      </c>
      <c r="J1790" s="22"/>
      <c r="K1790" s="22" t="s">
        <v>7352</v>
      </c>
      <c r="L1790" s="22" t="s">
        <v>2015</v>
      </c>
      <c r="M1790" s="22" t="str">
        <f>HYPERLINK("https://ceds.ed.gov/cedselementdetails.aspx?termid=21308")</f>
        <v>https://ceds.ed.gov/cedselementdetails.aspx?termid=21308</v>
      </c>
    </row>
    <row r="1791" spans="1:13" ht="100.8" x14ac:dyDescent="0.3">
      <c r="A1791" s="22" t="s">
        <v>7353</v>
      </c>
      <c r="B1791" s="22" t="s">
        <v>7354</v>
      </c>
      <c r="C1791" s="26" t="s">
        <v>9186</v>
      </c>
      <c r="D1791" s="22" t="s">
        <v>8094</v>
      </c>
      <c r="E1791" s="22"/>
      <c r="F1791" s="22"/>
      <c r="G1791" s="22"/>
      <c r="H1791" s="22"/>
      <c r="I1791" s="25" t="s">
        <v>7355</v>
      </c>
      <c r="J1791" s="22"/>
      <c r="K1791" s="22" t="s">
        <v>7356</v>
      </c>
      <c r="L1791" s="22" t="s">
        <v>207</v>
      </c>
      <c r="M1791" s="22" t="str">
        <f>HYPERLINK("https://ceds.ed.gov/cedselementdetails.aspx?termid=21797")</f>
        <v>https://ceds.ed.gov/cedselementdetails.aspx?termid=21797</v>
      </c>
    </row>
    <row r="1792" spans="1:13" ht="57.6" x14ac:dyDescent="0.3">
      <c r="A1792" s="22" t="s">
        <v>7357</v>
      </c>
      <c r="B1792" s="22" t="s">
        <v>7358</v>
      </c>
      <c r="C1792" s="26" t="s">
        <v>9187</v>
      </c>
      <c r="D1792" s="22" t="s">
        <v>8094</v>
      </c>
      <c r="E1792" s="22"/>
      <c r="F1792" s="22"/>
      <c r="G1792" s="22"/>
      <c r="H1792" s="22"/>
      <c r="I1792" s="25" t="s">
        <v>7359</v>
      </c>
      <c r="J1792" s="22"/>
      <c r="K1792" s="22" t="s">
        <v>7360</v>
      </c>
      <c r="L1792" s="22" t="s">
        <v>207</v>
      </c>
      <c r="M1792" s="22" t="str">
        <f>HYPERLINK("https://ceds.ed.gov/cedselementdetails.aspx?termid=21818")</f>
        <v>https://ceds.ed.gov/cedselementdetails.aspx?termid=21818</v>
      </c>
    </row>
    <row r="1793" spans="1:13" ht="43.2" x14ac:dyDescent="0.3">
      <c r="A1793" s="22" t="s">
        <v>7361</v>
      </c>
      <c r="B1793" s="22" t="s">
        <v>7362</v>
      </c>
      <c r="C1793" s="26" t="s">
        <v>22</v>
      </c>
      <c r="D1793" s="22" t="s">
        <v>249</v>
      </c>
      <c r="E1793" s="22"/>
      <c r="F1793" s="22"/>
      <c r="G1793" s="22"/>
      <c r="H1793" s="22" t="s">
        <v>4024</v>
      </c>
      <c r="I1793" s="25" t="s">
        <v>7363</v>
      </c>
      <c r="J1793" s="22"/>
      <c r="K1793" s="22" t="s">
        <v>7364</v>
      </c>
      <c r="L1793" s="22" t="s">
        <v>252</v>
      </c>
      <c r="M1793" s="22" t="str">
        <f>HYPERLINK("https://ceds.ed.gov/cedselementdetails.aspx?termid=21738")</f>
        <v>https://ceds.ed.gov/cedselementdetails.aspx?termid=21738</v>
      </c>
    </row>
    <row r="1794" spans="1:13" ht="273.60000000000002" x14ac:dyDescent="0.3">
      <c r="A1794" s="22" t="s">
        <v>7365</v>
      </c>
      <c r="B1794" s="22" t="s">
        <v>7366</v>
      </c>
      <c r="C1794" s="26" t="s">
        <v>9188</v>
      </c>
      <c r="D1794" s="22" t="s">
        <v>4034</v>
      </c>
      <c r="E1794" s="22"/>
      <c r="F1794" s="22"/>
      <c r="G1794" s="22"/>
      <c r="H1794" s="22" t="s">
        <v>7367</v>
      </c>
      <c r="I1794" s="25" t="s">
        <v>7368</v>
      </c>
      <c r="J1794" s="22"/>
      <c r="K1794" s="22" t="s">
        <v>7369</v>
      </c>
      <c r="L1794" s="22"/>
      <c r="M1794" s="22" t="str">
        <f>HYPERLINK("https://ceds.ed.gov/cedselementdetails.aspx?termid=22178")</f>
        <v>https://ceds.ed.gov/cedselementdetails.aspx?termid=22178</v>
      </c>
    </row>
    <row r="1795" spans="1:13" ht="216" x14ac:dyDescent="0.3">
      <c r="A1795" s="22" t="s">
        <v>7370</v>
      </c>
      <c r="B1795" s="22" t="s">
        <v>7371</v>
      </c>
      <c r="C1795" s="23" t="s">
        <v>32</v>
      </c>
      <c r="D1795" s="24" t="s">
        <v>8558</v>
      </c>
      <c r="E1795" s="22" t="s">
        <v>172</v>
      </c>
      <c r="F1795" s="22" t="s">
        <v>113</v>
      </c>
      <c r="G1795" s="22" t="s">
        <v>7946</v>
      </c>
      <c r="H1795" s="22"/>
      <c r="I1795" s="25" t="s">
        <v>7372</v>
      </c>
      <c r="J1795" s="22"/>
      <c r="K1795" s="22" t="s">
        <v>7373</v>
      </c>
      <c r="L1795" s="22" t="s">
        <v>226</v>
      </c>
      <c r="M1795" s="22" t="str">
        <f>HYPERLINK("https://ceds.ed.gov/cedselementdetails.aspx?termid=21300")</f>
        <v>https://ceds.ed.gov/cedselementdetails.aspx?termid=21300</v>
      </c>
    </row>
    <row r="1796" spans="1:13" x14ac:dyDescent="0.3">
      <c r="A1796" s="22" t="s">
        <v>7374</v>
      </c>
      <c r="B1796" s="22" t="s">
        <v>7375</v>
      </c>
      <c r="C1796" s="23" t="s">
        <v>32</v>
      </c>
      <c r="D1796" s="22" t="s">
        <v>8094</v>
      </c>
      <c r="E1796" s="22"/>
      <c r="F1796" s="22" t="s">
        <v>1699</v>
      </c>
      <c r="G1796" s="22"/>
      <c r="H1796" s="22"/>
      <c r="I1796" s="25" t="s">
        <v>7376</v>
      </c>
      <c r="J1796" s="22"/>
      <c r="K1796" s="22" t="s">
        <v>7377</v>
      </c>
      <c r="L1796" s="22"/>
      <c r="M1796" s="22" t="str">
        <f>HYPERLINK("https://ceds.ed.gov/cedselementdetails.aspx?termid=22470")</f>
        <v>https://ceds.ed.gov/cedselementdetails.aspx?termid=22470</v>
      </c>
    </row>
    <row r="1797" spans="1:13" x14ac:dyDescent="0.3">
      <c r="A1797" s="22" t="s">
        <v>7378</v>
      </c>
      <c r="B1797" s="22" t="s">
        <v>7379</v>
      </c>
      <c r="C1797" s="23" t="s">
        <v>32</v>
      </c>
      <c r="D1797" s="22" t="s">
        <v>8343</v>
      </c>
      <c r="E1797" s="22"/>
      <c r="F1797" s="22" t="s">
        <v>317</v>
      </c>
      <c r="G1797" s="22"/>
      <c r="H1797" s="22"/>
      <c r="I1797" s="25" t="s">
        <v>7380</v>
      </c>
      <c r="J1797" s="22"/>
      <c r="K1797" s="22" t="s">
        <v>7381</v>
      </c>
      <c r="L1797" s="22" t="s">
        <v>2015</v>
      </c>
      <c r="M1797" s="22" t="str">
        <f>HYPERLINK("https://ceds.ed.gov/cedselementdetails.aspx?termid=21313")</f>
        <v>https://ceds.ed.gov/cedselementdetails.aspx?termid=21313</v>
      </c>
    </row>
    <row r="1798" spans="1:13" x14ac:dyDescent="0.3">
      <c r="A1798" s="22" t="s">
        <v>7382</v>
      </c>
      <c r="B1798" s="22" t="s">
        <v>7383</v>
      </c>
      <c r="C1798" s="23" t="s">
        <v>32</v>
      </c>
      <c r="D1798" s="22" t="s">
        <v>8343</v>
      </c>
      <c r="E1798" s="22"/>
      <c r="F1798" s="22" t="s">
        <v>328</v>
      </c>
      <c r="G1798" s="22"/>
      <c r="H1798" s="22"/>
      <c r="I1798" s="25" t="s">
        <v>7384</v>
      </c>
      <c r="J1798" s="22"/>
      <c r="K1798" s="22" t="s">
        <v>7385</v>
      </c>
      <c r="L1798" s="22" t="s">
        <v>2015</v>
      </c>
      <c r="M1798" s="22" t="str">
        <f>HYPERLINK("https://ceds.ed.gov/cedselementdetails.aspx?termid=21312")</f>
        <v>https://ceds.ed.gov/cedselementdetails.aspx?termid=21312</v>
      </c>
    </row>
    <row r="1799" spans="1:13" x14ac:dyDescent="0.3">
      <c r="A1799" s="22" t="s">
        <v>7386</v>
      </c>
      <c r="B1799" s="22" t="s">
        <v>7387</v>
      </c>
      <c r="C1799" s="23" t="s">
        <v>32</v>
      </c>
      <c r="D1799" s="22" t="s">
        <v>8303</v>
      </c>
      <c r="E1799" s="22"/>
      <c r="F1799" s="22" t="s">
        <v>118</v>
      </c>
      <c r="G1799" s="22"/>
      <c r="H1799" s="22"/>
      <c r="I1799" s="25" t="s">
        <v>7388</v>
      </c>
      <c r="J1799" s="22"/>
      <c r="K1799" s="22" t="s">
        <v>7389</v>
      </c>
      <c r="L1799" s="22"/>
      <c r="M1799" s="22" t="str">
        <f>HYPERLINK("https://ceds.ed.gov/cedselementdetails.aspx?termid=22612")</f>
        <v>https://ceds.ed.gov/cedselementdetails.aspx?termid=22612</v>
      </c>
    </row>
    <row r="1800" spans="1:13" ht="244.8" x14ac:dyDescent="0.3">
      <c r="A1800" s="22" t="s">
        <v>7390</v>
      </c>
      <c r="B1800" s="22" t="s">
        <v>7391</v>
      </c>
      <c r="C1800" s="26" t="s">
        <v>8601</v>
      </c>
      <c r="D1800" s="24" t="s">
        <v>8602</v>
      </c>
      <c r="E1800" s="22"/>
      <c r="F1800" s="22"/>
      <c r="G1800" s="22"/>
      <c r="H1800" s="22" t="s">
        <v>7958</v>
      </c>
      <c r="I1800" s="25" t="s">
        <v>7392</v>
      </c>
      <c r="J1800" s="22" t="s">
        <v>7393</v>
      </c>
      <c r="K1800" s="22" t="s">
        <v>7390</v>
      </c>
      <c r="L1800" s="24" t="s">
        <v>365</v>
      </c>
      <c r="M1800" s="22" t="str">
        <f>HYPERLINK("https://ceds.ed.gov/cedselementdetails.aspx?termid=21659")</f>
        <v>https://ceds.ed.gov/cedselementdetails.aspx?termid=21659</v>
      </c>
    </row>
    <row r="1801" spans="1:13" ht="230.4" x14ac:dyDescent="0.3">
      <c r="A1801" s="22" t="s">
        <v>7697</v>
      </c>
      <c r="B1801" s="22" t="s">
        <v>7698</v>
      </c>
      <c r="C1801" s="26" t="s">
        <v>9189</v>
      </c>
      <c r="D1801" s="22" t="s">
        <v>258</v>
      </c>
      <c r="E1801" s="22"/>
      <c r="F1801" s="22"/>
      <c r="G1801" s="22"/>
      <c r="H1801" s="22"/>
      <c r="I1801" s="25" t="s">
        <v>7699</v>
      </c>
      <c r="J1801" s="22"/>
      <c r="K1801" s="22" t="s">
        <v>7700</v>
      </c>
      <c r="L1801" s="22"/>
      <c r="M1801" s="22" t="str">
        <f>HYPERLINK("https://ceds.ed.gov/cedselementdetails.aspx?termid=22969")</f>
        <v>https://ceds.ed.gov/cedselementdetails.aspx?termid=22969</v>
      </c>
    </row>
    <row r="1802" spans="1:13" ht="57.6" x14ac:dyDescent="0.3">
      <c r="A1802" s="22" t="s">
        <v>7701</v>
      </c>
      <c r="B1802" s="22" t="s">
        <v>7702</v>
      </c>
      <c r="C1802" s="26" t="s">
        <v>3039</v>
      </c>
      <c r="D1802" s="22" t="s">
        <v>258</v>
      </c>
      <c r="E1802" s="22"/>
      <c r="F1802" s="22"/>
      <c r="G1802" s="22"/>
      <c r="H1802" s="22"/>
      <c r="I1802" s="25" t="s">
        <v>7703</v>
      </c>
      <c r="J1802" s="22"/>
      <c r="K1802" s="22" t="s">
        <v>7704</v>
      </c>
      <c r="L1802" s="22"/>
      <c r="M1802" s="22" t="str">
        <f>HYPERLINK("https://ceds.ed.gov/cedselementdetails.aspx?termid=22970")</f>
        <v>https://ceds.ed.gov/cedselementdetails.aspx?termid=22970</v>
      </c>
    </row>
    <row r="1803" spans="1:13" ht="57.6" x14ac:dyDescent="0.3">
      <c r="A1803" s="22" t="s">
        <v>7705</v>
      </c>
      <c r="B1803" s="22" t="s">
        <v>7706</v>
      </c>
      <c r="C1803" s="26" t="s">
        <v>3039</v>
      </c>
      <c r="D1803" s="22" t="s">
        <v>258</v>
      </c>
      <c r="E1803" s="22"/>
      <c r="F1803" s="22"/>
      <c r="G1803" s="22"/>
      <c r="H1803" s="22"/>
      <c r="I1803" s="25" t="s">
        <v>7707</v>
      </c>
      <c r="J1803" s="22"/>
      <c r="K1803" s="22" t="s">
        <v>7708</v>
      </c>
      <c r="L1803" s="22"/>
      <c r="M1803" s="22" t="str">
        <f>HYPERLINK("https://ceds.ed.gov/cedselementdetails.aspx?termid=22971")</f>
        <v>https://ceds.ed.gov/cedselementdetails.aspx?termid=22971</v>
      </c>
    </row>
    <row r="1804" spans="1:13" ht="216" x14ac:dyDescent="0.3">
      <c r="A1804" s="22" t="s">
        <v>7394</v>
      </c>
      <c r="B1804" s="22" t="s">
        <v>7395</v>
      </c>
      <c r="C1804" s="26" t="s">
        <v>9190</v>
      </c>
      <c r="D1804" s="24" t="s">
        <v>7396</v>
      </c>
      <c r="E1804" s="22"/>
      <c r="F1804" s="22"/>
      <c r="G1804" s="22"/>
      <c r="H1804" s="22"/>
      <c r="I1804" s="25" t="s">
        <v>7397</v>
      </c>
      <c r="J1804" s="22"/>
      <c r="K1804" s="22" t="s">
        <v>7398</v>
      </c>
      <c r="L1804" s="22"/>
      <c r="M1804" s="22" t="str">
        <f>HYPERLINK("https://ceds.ed.gov/cedselementdetails.aspx?termid=22471")</f>
        <v>https://ceds.ed.gov/cedselementdetails.aspx?termid=22471</v>
      </c>
    </row>
    <row r="1805" spans="1:13" x14ac:dyDescent="0.3">
      <c r="A1805" s="22" t="s">
        <v>7399</v>
      </c>
      <c r="B1805" s="22" t="s">
        <v>7400</v>
      </c>
      <c r="C1805" s="23" t="s">
        <v>32</v>
      </c>
      <c r="D1805" s="22" t="s">
        <v>7401</v>
      </c>
      <c r="E1805" s="22"/>
      <c r="F1805" s="22" t="s">
        <v>118</v>
      </c>
      <c r="G1805" s="22"/>
      <c r="H1805" s="22" t="s">
        <v>7402</v>
      </c>
      <c r="I1805" s="25" t="s">
        <v>7403</v>
      </c>
      <c r="J1805" s="22"/>
      <c r="K1805" s="22" t="s">
        <v>7404</v>
      </c>
      <c r="L1805" s="22"/>
      <c r="M1805" s="22" t="str">
        <f>HYPERLINK("https://ceds.ed.gov/cedselementdetails.aspx?termid=22002")</f>
        <v>https://ceds.ed.gov/cedselementdetails.aspx?termid=22002</v>
      </c>
    </row>
    <row r="1806" spans="1:13" x14ac:dyDescent="0.3">
      <c r="A1806" s="22" t="s">
        <v>7405</v>
      </c>
      <c r="B1806" s="22" t="s">
        <v>7406</v>
      </c>
      <c r="C1806" s="23" t="s">
        <v>32</v>
      </c>
      <c r="D1806" s="22" t="s">
        <v>7401</v>
      </c>
      <c r="E1806" s="22"/>
      <c r="F1806" s="22" t="s">
        <v>118</v>
      </c>
      <c r="G1806" s="22"/>
      <c r="H1806" s="22" t="s">
        <v>7402</v>
      </c>
      <c r="I1806" s="25" t="s">
        <v>7407</v>
      </c>
      <c r="J1806" s="22"/>
      <c r="K1806" s="22" t="s">
        <v>7408</v>
      </c>
      <c r="L1806" s="22"/>
      <c r="M1806" s="22" t="str">
        <f>HYPERLINK("https://ceds.ed.gov/cedselementdetails.aspx?termid=22001")</f>
        <v>https://ceds.ed.gov/cedselementdetails.aspx?termid=22001</v>
      </c>
    </row>
    <row r="1807" spans="1:13" ht="388.8" x14ac:dyDescent="0.3">
      <c r="A1807" s="22" t="s">
        <v>7409</v>
      </c>
      <c r="B1807" s="22" t="s">
        <v>7410</v>
      </c>
      <c r="C1807" s="26" t="s">
        <v>9191</v>
      </c>
      <c r="D1807" s="22" t="s">
        <v>7401</v>
      </c>
      <c r="E1807" s="22"/>
      <c r="F1807" s="22"/>
      <c r="G1807" s="22"/>
      <c r="H1807" s="22" t="s">
        <v>8350</v>
      </c>
      <c r="I1807" s="25" t="s">
        <v>7411</v>
      </c>
      <c r="J1807" s="22"/>
      <c r="K1807" s="22" t="s">
        <v>7412</v>
      </c>
      <c r="L1807" s="22"/>
      <c r="M1807" s="22" t="str">
        <f>HYPERLINK("https://ceds.ed.gov/cedselementdetails.aspx?termid=22000")</f>
        <v>https://ceds.ed.gov/cedselementdetails.aspx?termid=22000</v>
      </c>
    </row>
    <row r="1808" spans="1:13" ht="43.2" x14ac:dyDescent="0.3">
      <c r="A1808" s="22" t="s">
        <v>7413</v>
      </c>
      <c r="B1808" s="22" t="s">
        <v>7414</v>
      </c>
      <c r="C1808" s="23" t="s">
        <v>32</v>
      </c>
      <c r="D1808" s="24" t="s">
        <v>9192</v>
      </c>
      <c r="E1808" s="22"/>
      <c r="F1808" s="22" t="s">
        <v>1518</v>
      </c>
      <c r="G1808" s="22"/>
      <c r="H1808" s="22"/>
      <c r="I1808" s="25" t="s">
        <v>7415</v>
      </c>
      <c r="J1808" s="22"/>
      <c r="K1808" s="22" t="s">
        <v>7416</v>
      </c>
      <c r="L1808" s="22"/>
      <c r="M1808" s="22" t="str">
        <f>HYPERLINK("https://ceds.ed.gov/cedselementdetails.aspx?termid=21774")</f>
        <v>https://ceds.ed.gov/cedselementdetails.aspx?termid=21774</v>
      </c>
    </row>
    <row r="1809" spans="1:13" ht="43.2" x14ac:dyDescent="0.3">
      <c r="A1809" s="22" t="s">
        <v>7417</v>
      </c>
      <c r="B1809" s="22" t="s">
        <v>7418</v>
      </c>
      <c r="C1809" s="23" t="s">
        <v>32</v>
      </c>
      <c r="D1809" s="24" t="s">
        <v>8559</v>
      </c>
      <c r="E1809" s="22" t="s">
        <v>172</v>
      </c>
      <c r="F1809" s="22" t="s">
        <v>1518</v>
      </c>
      <c r="G1809" s="22" t="s">
        <v>7946</v>
      </c>
      <c r="H1809" s="22"/>
      <c r="I1809" s="25" t="s">
        <v>7419</v>
      </c>
      <c r="J1809" s="22"/>
      <c r="K1809" s="22" t="s">
        <v>7420</v>
      </c>
      <c r="L1809" s="22" t="s">
        <v>2493</v>
      </c>
      <c r="M1809" s="22" t="str">
        <f>HYPERLINK("https://ceds.ed.gov/cedselementdetails.aspx?termid=21302")</f>
        <v>https://ceds.ed.gov/cedselementdetails.aspx?termid=21302</v>
      </c>
    </row>
  </sheetData>
  <autoFilter ref="A1:M1" xr:uid="{239D2C97-D118-4A8C-8A00-93FC7C3F8860}"/>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Q4370"/>
  <sheetViews>
    <sheetView showGridLines="0" workbookViewId="0">
      <selection activeCell="E6" sqref="E6"/>
    </sheetView>
  </sheetViews>
  <sheetFormatPr defaultRowHeight="14.4" x14ac:dyDescent="0.3"/>
  <cols>
    <col min="1" max="1" width="31.33203125" bestFit="1" customWidth="1"/>
    <col min="2" max="2" width="33" bestFit="1" customWidth="1"/>
    <col min="3" max="3" width="36.5546875" bestFit="1" customWidth="1"/>
    <col min="4" max="4" width="13.44140625" bestFit="1" customWidth="1"/>
    <col min="5" max="5" width="36.5546875" bestFit="1" customWidth="1"/>
    <col min="6" max="6" width="36.5546875" style="20" bestFit="1" customWidth="1"/>
    <col min="7" max="7" width="55.77734375" style="17" customWidth="1"/>
    <col min="8" max="8" width="36.5546875" bestFit="1" customWidth="1"/>
    <col min="9" max="9" width="15.88671875" bestFit="1" customWidth="1"/>
    <col min="10" max="10" width="36.5546875" bestFit="1" customWidth="1"/>
    <col min="11" max="12" width="36.5546875" style="20" bestFit="1" customWidth="1"/>
    <col min="13" max="13" width="11.44140625" style="15" bestFit="1" customWidth="1"/>
    <col min="14" max="15" width="36.5546875" bestFit="1" customWidth="1"/>
    <col min="16" max="16" width="50.88671875" bestFit="1" customWidth="1"/>
    <col min="17" max="17" width="14.33203125" customWidth="1"/>
  </cols>
  <sheetData>
    <row r="1" spans="1:17" s="5" customFormat="1" ht="28.8" x14ac:dyDescent="0.3">
      <c r="A1" s="3" t="s">
        <v>13</v>
      </c>
      <c r="B1" s="3" t="s">
        <v>14</v>
      </c>
      <c r="C1" s="3" t="s">
        <v>15</v>
      </c>
      <c r="D1" s="3" t="s">
        <v>16</v>
      </c>
      <c r="E1" s="3" t="s">
        <v>0</v>
      </c>
      <c r="F1" s="3" t="s">
        <v>1</v>
      </c>
      <c r="G1" s="3" t="s">
        <v>2</v>
      </c>
      <c r="H1" s="3" t="s">
        <v>17</v>
      </c>
      <c r="I1" s="4" t="s">
        <v>18</v>
      </c>
      <c r="J1" s="3" t="s">
        <v>5</v>
      </c>
      <c r="K1" s="3" t="s">
        <v>6</v>
      </c>
      <c r="L1" s="3" t="s">
        <v>7</v>
      </c>
      <c r="M1" s="21" t="s">
        <v>8</v>
      </c>
      <c r="N1" s="3" t="s">
        <v>9</v>
      </c>
      <c r="O1" s="5" t="s">
        <v>10</v>
      </c>
      <c r="P1" s="5" t="s">
        <v>12</v>
      </c>
      <c r="Q1" s="3" t="s">
        <v>19</v>
      </c>
    </row>
    <row r="2" spans="1:17" ht="43.2" x14ac:dyDescent="0.3">
      <c r="A2" s="22" t="s">
        <v>7709</v>
      </c>
      <c r="B2" s="22" t="s">
        <v>9193</v>
      </c>
      <c r="C2" s="22"/>
      <c r="D2" s="22" t="s">
        <v>7710</v>
      </c>
      <c r="E2" s="22" t="s">
        <v>5687</v>
      </c>
      <c r="F2" s="24" t="s">
        <v>5688</v>
      </c>
      <c r="G2" s="23" t="s">
        <v>32</v>
      </c>
      <c r="H2" s="22"/>
      <c r="I2" s="22"/>
      <c r="J2" s="22" t="s">
        <v>50</v>
      </c>
      <c r="K2" s="24"/>
      <c r="L2" s="24"/>
      <c r="M2" s="25" t="s">
        <v>5689</v>
      </c>
      <c r="N2" s="22"/>
      <c r="O2" s="22" t="s">
        <v>5690</v>
      </c>
      <c r="P2" s="22" t="str">
        <f>HYPERLINK("https://ceds.ed.gov/cedselementdetails.aspx?termid=22644")</f>
        <v>https://ceds.ed.gov/cedselementdetails.aspx?termid=22644</v>
      </c>
      <c r="Q2" s="22">
        <v>62974</v>
      </c>
    </row>
    <row r="3" spans="1:17" ht="28.8" x14ac:dyDescent="0.3">
      <c r="A3" s="22" t="s">
        <v>7709</v>
      </c>
      <c r="B3" s="22" t="s">
        <v>9193</v>
      </c>
      <c r="C3" s="22"/>
      <c r="D3" s="22" t="s">
        <v>7710</v>
      </c>
      <c r="E3" s="22" t="s">
        <v>5703</v>
      </c>
      <c r="F3" s="24" t="s">
        <v>5704</v>
      </c>
      <c r="G3" s="23" t="s">
        <v>32</v>
      </c>
      <c r="H3" s="22"/>
      <c r="I3" s="22"/>
      <c r="J3" s="22" t="s">
        <v>2856</v>
      </c>
      <c r="K3" s="24"/>
      <c r="L3" s="24"/>
      <c r="M3" s="25" t="s">
        <v>5705</v>
      </c>
      <c r="N3" s="22"/>
      <c r="O3" s="22" t="s">
        <v>5706</v>
      </c>
      <c r="P3" s="22" t="str">
        <f>HYPERLINK("https://ceds.ed.gov/cedselementdetails.aspx?termid=22731")</f>
        <v>https://ceds.ed.gov/cedselementdetails.aspx?termid=22731</v>
      </c>
      <c r="Q3" s="22">
        <v>62981</v>
      </c>
    </row>
    <row r="4" spans="1:17" ht="43.2" x14ac:dyDescent="0.3">
      <c r="A4" s="22" t="s">
        <v>7709</v>
      </c>
      <c r="B4" s="22" t="s">
        <v>9193</v>
      </c>
      <c r="C4" s="22"/>
      <c r="D4" s="22" t="s">
        <v>7710</v>
      </c>
      <c r="E4" s="22" t="s">
        <v>5699</v>
      </c>
      <c r="F4" s="24" t="s">
        <v>5700</v>
      </c>
      <c r="G4" s="26" t="s">
        <v>8489</v>
      </c>
      <c r="H4" s="22"/>
      <c r="I4" s="22" t="s">
        <v>172</v>
      </c>
      <c r="J4" s="22"/>
      <c r="K4" s="24" t="s">
        <v>7946</v>
      </c>
      <c r="L4" s="24"/>
      <c r="M4" s="25" t="s">
        <v>5701</v>
      </c>
      <c r="N4" s="22"/>
      <c r="O4" s="22" t="s">
        <v>5702</v>
      </c>
      <c r="P4" s="22" t="str">
        <f>HYPERLINK("https://ceds.ed.gov/cedselementdetails.aspx?termid=22387")</f>
        <v>https://ceds.ed.gov/cedselementdetails.aspx?termid=22387</v>
      </c>
      <c r="Q4" s="22">
        <v>62472</v>
      </c>
    </row>
    <row r="5" spans="1:17" ht="28.8" x14ac:dyDescent="0.3">
      <c r="A5" s="22" t="s">
        <v>7709</v>
      </c>
      <c r="B5" s="22" t="s">
        <v>9193</v>
      </c>
      <c r="C5" s="22"/>
      <c r="D5" s="22" t="s">
        <v>7741</v>
      </c>
      <c r="E5" s="22" t="s">
        <v>5667</v>
      </c>
      <c r="F5" s="24" t="s">
        <v>5668</v>
      </c>
      <c r="G5" s="23" t="s">
        <v>32</v>
      </c>
      <c r="H5" s="22" t="s">
        <v>226</v>
      </c>
      <c r="I5" s="22" t="s">
        <v>172</v>
      </c>
      <c r="J5" s="22" t="s">
        <v>118</v>
      </c>
      <c r="K5" s="24" t="s">
        <v>7946</v>
      </c>
      <c r="L5" s="24"/>
      <c r="M5" s="25" t="s">
        <v>5669</v>
      </c>
      <c r="N5" s="22"/>
      <c r="O5" s="22" t="s">
        <v>5670</v>
      </c>
      <c r="P5" s="22" t="str">
        <f>HYPERLINK("https://ceds.ed.gov/cedselementdetails.aspx?termid=21525")</f>
        <v>https://ceds.ed.gov/cedselementdetails.aspx?termid=21525</v>
      </c>
      <c r="Q5" s="22">
        <v>63774</v>
      </c>
    </row>
    <row r="6" spans="1:17" ht="172.8" x14ac:dyDescent="0.3">
      <c r="A6" s="22" t="s">
        <v>7709</v>
      </c>
      <c r="B6" s="22" t="s">
        <v>9193</v>
      </c>
      <c r="C6" s="22" t="s">
        <v>7711</v>
      </c>
      <c r="D6" s="22" t="s">
        <v>7710</v>
      </c>
      <c r="E6" s="22" t="s">
        <v>5683</v>
      </c>
      <c r="F6" s="24" t="s">
        <v>5684</v>
      </c>
      <c r="G6" s="23" t="s">
        <v>32</v>
      </c>
      <c r="H6" s="22" t="s">
        <v>109</v>
      </c>
      <c r="I6" s="22" t="s">
        <v>172</v>
      </c>
      <c r="J6" s="22" t="s">
        <v>132</v>
      </c>
      <c r="K6" s="24" t="s">
        <v>7946</v>
      </c>
      <c r="L6" s="24" t="s">
        <v>7945</v>
      </c>
      <c r="M6" s="25" t="s">
        <v>5685</v>
      </c>
      <c r="N6" s="22"/>
      <c r="O6" s="22" t="s">
        <v>5686</v>
      </c>
      <c r="P6" s="22" t="str">
        <f>HYPERLINK("https://ceds.ed.gov/cedselementdetails.aspx?termid=21825")</f>
        <v>https://ceds.ed.gov/cedselementdetails.aspx?termid=21825</v>
      </c>
      <c r="Q6" s="22">
        <v>60282</v>
      </c>
    </row>
    <row r="7" spans="1:17" ht="187.2" x14ac:dyDescent="0.3">
      <c r="A7" s="22" t="s">
        <v>7709</v>
      </c>
      <c r="B7" s="22" t="s">
        <v>9193</v>
      </c>
      <c r="C7" s="22" t="s">
        <v>7711</v>
      </c>
      <c r="D7" s="22" t="s">
        <v>7710</v>
      </c>
      <c r="E7" s="22" t="s">
        <v>5679</v>
      </c>
      <c r="F7" s="24" t="s">
        <v>5680</v>
      </c>
      <c r="G7" s="26" t="s">
        <v>8485</v>
      </c>
      <c r="H7" s="22" t="s">
        <v>109</v>
      </c>
      <c r="I7" s="22" t="s">
        <v>172</v>
      </c>
      <c r="J7" s="22"/>
      <c r="K7" s="24" t="s">
        <v>7946</v>
      </c>
      <c r="L7" s="24"/>
      <c r="M7" s="25" t="s">
        <v>5681</v>
      </c>
      <c r="N7" s="22"/>
      <c r="O7" s="22" t="s">
        <v>5682</v>
      </c>
      <c r="P7" s="22" t="str">
        <f>HYPERLINK("https://ceds.ed.gov/cedselementdetails.aspx?termid=21827")</f>
        <v>https://ceds.ed.gov/cedselementdetails.aspx?termid=21827</v>
      </c>
      <c r="Q7" s="22">
        <v>60283</v>
      </c>
    </row>
    <row r="8" spans="1:17" ht="409.6" x14ac:dyDescent="0.3">
      <c r="A8" s="22" t="s">
        <v>7709</v>
      </c>
      <c r="B8" s="22" t="s">
        <v>9193</v>
      </c>
      <c r="C8" s="22" t="s">
        <v>7711</v>
      </c>
      <c r="D8" s="22" t="s">
        <v>7710</v>
      </c>
      <c r="E8" s="22" t="s">
        <v>5715</v>
      </c>
      <c r="F8" s="24" t="s">
        <v>5716</v>
      </c>
      <c r="G8" s="26" t="s">
        <v>8493</v>
      </c>
      <c r="H8" s="22"/>
      <c r="I8" s="22" t="s">
        <v>172</v>
      </c>
      <c r="J8" s="22"/>
      <c r="K8" s="24" t="s">
        <v>8265</v>
      </c>
      <c r="L8" s="24" t="s">
        <v>5717</v>
      </c>
      <c r="M8" s="25" t="s">
        <v>5718</v>
      </c>
      <c r="N8" s="22"/>
      <c r="O8" s="22" t="s">
        <v>5719</v>
      </c>
      <c r="P8" s="22" t="str">
        <f>HYPERLINK("https://ceds.ed.gov/cedselementdetails.aspx?termid=22165")</f>
        <v>https://ceds.ed.gov/cedselementdetails.aspx?termid=22165</v>
      </c>
      <c r="Q8" s="22">
        <v>59785</v>
      </c>
    </row>
    <row r="9" spans="1:17" ht="43.2" x14ac:dyDescent="0.3">
      <c r="A9" s="22" t="s">
        <v>7709</v>
      </c>
      <c r="B9" s="22" t="s">
        <v>9193</v>
      </c>
      <c r="C9" s="22" t="s">
        <v>7711</v>
      </c>
      <c r="D9" s="22" t="s">
        <v>7710</v>
      </c>
      <c r="E9" s="22" t="s">
        <v>5695</v>
      </c>
      <c r="F9" s="24" t="s">
        <v>5696</v>
      </c>
      <c r="G9" s="23" t="s">
        <v>32</v>
      </c>
      <c r="H9" s="22" t="s">
        <v>207</v>
      </c>
      <c r="I9" s="22" t="s">
        <v>172</v>
      </c>
      <c r="J9" s="22" t="s">
        <v>157</v>
      </c>
      <c r="K9" s="24" t="s">
        <v>7946</v>
      </c>
      <c r="L9" s="24"/>
      <c r="M9" s="25" t="s">
        <v>5697</v>
      </c>
      <c r="N9" s="22"/>
      <c r="O9" s="22" t="s">
        <v>5698</v>
      </c>
      <c r="P9" s="22" t="str">
        <f>HYPERLINK("https://ceds.ed.gov/cedselementdetails.aspx?termid=21204")</f>
        <v>https://ceds.ed.gov/cedselementdetails.aspx?termid=21204</v>
      </c>
      <c r="Q9" s="22">
        <v>62380</v>
      </c>
    </row>
    <row r="10" spans="1:17" ht="409.6" x14ac:dyDescent="0.3">
      <c r="A10" s="22" t="s">
        <v>7709</v>
      </c>
      <c r="B10" s="22" t="s">
        <v>9193</v>
      </c>
      <c r="C10" s="22" t="s">
        <v>7711</v>
      </c>
      <c r="D10" s="22" t="s">
        <v>7710</v>
      </c>
      <c r="E10" s="22" t="s">
        <v>6953</v>
      </c>
      <c r="F10" s="24" t="s">
        <v>6954</v>
      </c>
      <c r="G10" s="26" t="s">
        <v>8536</v>
      </c>
      <c r="H10" s="24" t="s">
        <v>6957</v>
      </c>
      <c r="I10" s="22" t="s">
        <v>172</v>
      </c>
      <c r="J10" s="22"/>
      <c r="K10" s="24" t="s">
        <v>8330</v>
      </c>
      <c r="L10" s="24"/>
      <c r="M10" s="25" t="s">
        <v>6955</v>
      </c>
      <c r="N10" s="22"/>
      <c r="O10" s="22" t="s">
        <v>6956</v>
      </c>
      <c r="P10" s="22" t="str">
        <f>HYPERLINK("https://ceds.ed.gov/cedselementdetails.aspx?termid=21414")</f>
        <v>https://ceds.ed.gov/cedselementdetails.aspx?termid=21414</v>
      </c>
      <c r="Q10" s="22">
        <v>62389</v>
      </c>
    </row>
    <row r="11" spans="1:17" ht="86.4" x14ac:dyDescent="0.3">
      <c r="A11" s="22" t="s">
        <v>7709</v>
      </c>
      <c r="B11" s="22" t="s">
        <v>9193</v>
      </c>
      <c r="C11" s="22" t="s">
        <v>7711</v>
      </c>
      <c r="D11" s="22" t="s">
        <v>7710</v>
      </c>
      <c r="E11" s="22" t="s">
        <v>5707</v>
      </c>
      <c r="F11" s="24" t="s">
        <v>5708</v>
      </c>
      <c r="G11" s="26" t="s">
        <v>8491</v>
      </c>
      <c r="H11" s="22"/>
      <c r="I11" s="22" t="s">
        <v>172</v>
      </c>
      <c r="J11" s="22"/>
      <c r="K11" s="24" t="s">
        <v>8263</v>
      </c>
      <c r="L11" s="24" t="s">
        <v>8264</v>
      </c>
      <c r="M11" s="25" t="s">
        <v>5709</v>
      </c>
      <c r="N11" s="22"/>
      <c r="O11" s="22" t="s">
        <v>5710</v>
      </c>
      <c r="P11" s="22" t="str">
        <f>HYPERLINK("https://ceds.ed.gov/cedselementdetails.aspx?termid=22886")</f>
        <v>https://ceds.ed.gov/cedselementdetails.aspx?termid=22886</v>
      </c>
      <c r="Q11" s="22">
        <v>63008</v>
      </c>
    </row>
    <row r="12" spans="1:17" ht="57.6" x14ac:dyDescent="0.3">
      <c r="A12" s="22" t="s">
        <v>7709</v>
      </c>
      <c r="B12" s="22" t="s">
        <v>9193</v>
      </c>
      <c r="C12" s="22" t="s">
        <v>7711</v>
      </c>
      <c r="D12" s="22" t="s">
        <v>7741</v>
      </c>
      <c r="E12" s="22" t="s">
        <v>227</v>
      </c>
      <c r="F12" s="24" t="s">
        <v>228</v>
      </c>
      <c r="G12" s="26" t="s">
        <v>8396</v>
      </c>
      <c r="H12" s="22"/>
      <c r="I12" s="22" t="s">
        <v>172</v>
      </c>
      <c r="J12" s="22"/>
      <c r="K12" s="24" t="s">
        <v>7946</v>
      </c>
      <c r="L12" s="24"/>
      <c r="M12" s="25" t="s">
        <v>230</v>
      </c>
      <c r="N12" s="22"/>
      <c r="O12" s="22" t="s">
        <v>231</v>
      </c>
      <c r="P12" s="22" t="str">
        <f>HYPERLINK("https://ceds.ed.gov/cedselementdetails.aspx?termid=21012")</f>
        <v>https://ceds.ed.gov/cedselementdetails.aspx?termid=21012</v>
      </c>
      <c r="Q12" s="22">
        <v>63813</v>
      </c>
    </row>
    <row r="13" spans="1:17" ht="172.8" x14ac:dyDescent="0.3">
      <c r="A13" s="22" t="s">
        <v>7709</v>
      </c>
      <c r="B13" s="22" t="s">
        <v>9193</v>
      </c>
      <c r="C13" s="22" t="s">
        <v>7711</v>
      </c>
      <c r="D13" s="22" t="s">
        <v>7741</v>
      </c>
      <c r="E13" s="22" t="s">
        <v>5337</v>
      </c>
      <c r="F13" s="24" t="s">
        <v>5338</v>
      </c>
      <c r="G13" s="26" t="s">
        <v>8472</v>
      </c>
      <c r="H13" s="24" t="s">
        <v>5342</v>
      </c>
      <c r="I13" s="22" t="s">
        <v>172</v>
      </c>
      <c r="J13" s="22"/>
      <c r="K13" s="24" t="s">
        <v>7946</v>
      </c>
      <c r="L13" s="24"/>
      <c r="M13" s="25" t="s">
        <v>5339</v>
      </c>
      <c r="N13" s="22" t="s">
        <v>5340</v>
      </c>
      <c r="O13" s="22" t="s">
        <v>5341</v>
      </c>
      <c r="P13" s="22" t="str">
        <f>HYPERLINK("https://ceds.ed.gov/cedselementdetails.aspx?termid=21159")</f>
        <v>https://ceds.ed.gov/cedselementdetails.aspx?termid=21159</v>
      </c>
      <c r="Q13" s="22">
        <v>63814</v>
      </c>
    </row>
    <row r="14" spans="1:17" ht="172.8" x14ac:dyDescent="0.3">
      <c r="A14" s="22" t="s">
        <v>7709</v>
      </c>
      <c r="B14" s="22" t="s">
        <v>9193</v>
      </c>
      <c r="C14" s="22" t="s">
        <v>7711</v>
      </c>
      <c r="D14" s="22" t="s">
        <v>7741</v>
      </c>
      <c r="E14" s="22" t="s">
        <v>5343</v>
      </c>
      <c r="F14" s="24" t="s">
        <v>5344</v>
      </c>
      <c r="G14" s="23" t="s">
        <v>32</v>
      </c>
      <c r="H14" s="24" t="s">
        <v>5342</v>
      </c>
      <c r="I14" s="22" t="s">
        <v>172</v>
      </c>
      <c r="J14" s="22" t="s">
        <v>132</v>
      </c>
      <c r="K14" s="24" t="s">
        <v>7946</v>
      </c>
      <c r="L14" s="24" t="s">
        <v>8043</v>
      </c>
      <c r="M14" s="25" t="s">
        <v>5345</v>
      </c>
      <c r="N14" s="22" t="s">
        <v>5346</v>
      </c>
      <c r="O14" s="22" t="s">
        <v>5347</v>
      </c>
      <c r="P14" s="22" t="str">
        <f>HYPERLINK("https://ceds.ed.gov/cedselementdetails.aspx?termid=21153")</f>
        <v>https://ceds.ed.gov/cedselementdetails.aspx?termid=21153</v>
      </c>
      <c r="Q14" s="22">
        <v>63815</v>
      </c>
    </row>
    <row r="15" spans="1:17" ht="187.2" x14ac:dyDescent="0.3">
      <c r="A15" s="22" t="s">
        <v>7709</v>
      </c>
      <c r="B15" s="22" t="s">
        <v>9193</v>
      </c>
      <c r="C15" s="22" t="s">
        <v>7711</v>
      </c>
      <c r="D15" s="22" t="s">
        <v>7741</v>
      </c>
      <c r="E15" s="22" t="s">
        <v>5525</v>
      </c>
      <c r="F15" s="24" t="s">
        <v>5526</v>
      </c>
      <c r="G15" s="23" t="s">
        <v>32</v>
      </c>
      <c r="H15" s="24" t="s">
        <v>5529</v>
      </c>
      <c r="I15" s="22" t="s">
        <v>172</v>
      </c>
      <c r="J15" s="22" t="s">
        <v>157</v>
      </c>
      <c r="K15" s="24" t="s">
        <v>7946</v>
      </c>
      <c r="L15" s="24"/>
      <c r="M15" s="25" t="s">
        <v>5527</v>
      </c>
      <c r="N15" s="22"/>
      <c r="O15" s="22" t="s">
        <v>5528</v>
      </c>
      <c r="P15" s="22" t="str">
        <f>HYPERLINK("https://ceds.ed.gov/cedselementdetails.aspx?termid=21191")</f>
        <v>https://ceds.ed.gov/cedselementdetails.aspx?termid=21191</v>
      </c>
      <c r="Q15" s="22">
        <v>63816</v>
      </c>
    </row>
    <row r="16" spans="1:17" ht="187.2" x14ac:dyDescent="0.3">
      <c r="A16" s="22" t="s">
        <v>7709</v>
      </c>
      <c r="B16" s="22" t="s">
        <v>9193</v>
      </c>
      <c r="C16" s="22" t="s">
        <v>7711</v>
      </c>
      <c r="D16" s="22" t="s">
        <v>7741</v>
      </c>
      <c r="E16" s="22" t="s">
        <v>6621</v>
      </c>
      <c r="F16" s="24" t="s">
        <v>275</v>
      </c>
      <c r="G16" s="26" t="s">
        <v>8521</v>
      </c>
      <c r="H16" s="24" t="s">
        <v>6624</v>
      </c>
      <c r="I16" s="22" t="s">
        <v>172</v>
      </c>
      <c r="J16" s="22"/>
      <c r="K16" s="24" t="s">
        <v>7946</v>
      </c>
      <c r="L16" s="24"/>
      <c r="M16" s="25" t="s">
        <v>6622</v>
      </c>
      <c r="N16" s="22"/>
      <c r="O16" s="22" t="s">
        <v>6623</v>
      </c>
      <c r="P16" s="22" t="str">
        <f>HYPERLINK("https://ceds.ed.gov/cedselementdetails.aspx?termid=21161")</f>
        <v>https://ceds.ed.gov/cedselementdetails.aspx?termid=21161</v>
      </c>
      <c r="Q16" s="22">
        <v>63817</v>
      </c>
    </row>
    <row r="17" spans="1:17" ht="172.8" x14ac:dyDescent="0.3">
      <c r="A17" s="22" t="s">
        <v>7709</v>
      </c>
      <c r="B17" s="22" t="s">
        <v>9193</v>
      </c>
      <c r="C17" s="22" t="s">
        <v>7711</v>
      </c>
      <c r="D17" s="22" t="s">
        <v>7741</v>
      </c>
      <c r="E17" s="22" t="s">
        <v>6625</v>
      </c>
      <c r="F17" s="24" t="s">
        <v>280</v>
      </c>
      <c r="G17" s="23" t="s">
        <v>32</v>
      </c>
      <c r="H17" s="24" t="s">
        <v>6624</v>
      </c>
      <c r="I17" s="22" t="s">
        <v>172</v>
      </c>
      <c r="J17" s="22" t="s">
        <v>132</v>
      </c>
      <c r="K17" s="24" t="s">
        <v>7946</v>
      </c>
      <c r="L17" s="24" t="s">
        <v>7945</v>
      </c>
      <c r="M17" s="25" t="s">
        <v>6626</v>
      </c>
      <c r="N17" s="22"/>
      <c r="O17" s="22" t="s">
        <v>6627</v>
      </c>
      <c r="P17" s="22" t="str">
        <f>HYPERLINK("https://ceds.ed.gov/cedselementdetails.aspx?termid=21155")</f>
        <v>https://ceds.ed.gov/cedselementdetails.aspx?termid=21155</v>
      </c>
      <c r="Q17" s="22">
        <v>63818</v>
      </c>
    </row>
    <row r="18" spans="1:17" ht="86.4" x14ac:dyDescent="0.3">
      <c r="A18" s="22" t="s">
        <v>7709</v>
      </c>
      <c r="B18" s="22" t="s">
        <v>9193</v>
      </c>
      <c r="C18" s="22" t="s">
        <v>7711</v>
      </c>
      <c r="D18" s="22" t="s">
        <v>7741</v>
      </c>
      <c r="E18" s="22" t="s">
        <v>8312</v>
      </c>
      <c r="F18" s="24" t="s">
        <v>8313</v>
      </c>
      <c r="G18" s="23" t="s">
        <v>32</v>
      </c>
      <c r="H18" s="22"/>
      <c r="I18" s="22" t="s">
        <v>172</v>
      </c>
      <c r="J18" s="22" t="s">
        <v>85</v>
      </c>
      <c r="K18" s="24" t="s">
        <v>8314</v>
      </c>
      <c r="L18" s="24" t="s">
        <v>6772</v>
      </c>
      <c r="M18" s="25" t="s">
        <v>6773</v>
      </c>
      <c r="N18" s="22"/>
      <c r="O18" s="22" t="s">
        <v>8315</v>
      </c>
      <c r="P18" s="22" t="str">
        <f>HYPERLINK("https://ceds.ed.gov/cedselementdetails.aspx?termid=22459")</f>
        <v>https://ceds.ed.gov/cedselementdetails.aspx?termid=22459</v>
      </c>
      <c r="Q18" s="22">
        <v>63819</v>
      </c>
    </row>
    <row r="19" spans="1:17" ht="100.8" x14ac:dyDescent="0.3">
      <c r="A19" s="22" t="s">
        <v>7709</v>
      </c>
      <c r="B19" s="22" t="s">
        <v>9193</v>
      </c>
      <c r="C19" s="22" t="s">
        <v>7711</v>
      </c>
      <c r="D19" s="22" t="s">
        <v>7741</v>
      </c>
      <c r="E19" s="22" t="s">
        <v>6946</v>
      </c>
      <c r="F19" s="24" t="s">
        <v>8328</v>
      </c>
      <c r="G19" s="26" t="s">
        <v>8534</v>
      </c>
      <c r="H19" s="22"/>
      <c r="I19" s="22" t="s">
        <v>172</v>
      </c>
      <c r="J19" s="22"/>
      <c r="K19" s="24" t="s">
        <v>8329</v>
      </c>
      <c r="L19" s="24"/>
      <c r="M19" s="25" t="s">
        <v>6947</v>
      </c>
      <c r="N19" s="22"/>
      <c r="O19" s="22" t="s">
        <v>6948</v>
      </c>
      <c r="P19" s="22" t="str">
        <f>HYPERLINK("https://ceds.ed.gov/cedselementdetails.aspx?termid=22463")</f>
        <v>https://ceds.ed.gov/cedselementdetails.aspx?termid=22463</v>
      </c>
      <c r="Q19" s="22">
        <v>63820</v>
      </c>
    </row>
    <row r="20" spans="1:17" ht="172.8" x14ac:dyDescent="0.3">
      <c r="A20" s="22" t="s">
        <v>7709</v>
      </c>
      <c r="B20" s="22" t="s">
        <v>9193</v>
      </c>
      <c r="C20" s="22" t="s">
        <v>7711</v>
      </c>
      <c r="D20" s="22" t="s">
        <v>7741</v>
      </c>
      <c r="E20" s="22" t="s">
        <v>6949</v>
      </c>
      <c r="F20" s="24" t="s">
        <v>6950</v>
      </c>
      <c r="G20" s="23" t="s">
        <v>32</v>
      </c>
      <c r="H20" s="22"/>
      <c r="I20" s="22" t="s">
        <v>172</v>
      </c>
      <c r="J20" s="22" t="s">
        <v>132</v>
      </c>
      <c r="K20" s="24" t="s">
        <v>7946</v>
      </c>
      <c r="L20" s="24" t="s">
        <v>8043</v>
      </c>
      <c r="M20" s="25" t="s">
        <v>6951</v>
      </c>
      <c r="N20" s="22"/>
      <c r="O20" s="22" t="s">
        <v>6952</v>
      </c>
      <c r="P20" s="22" t="str">
        <f>HYPERLINK("https://ceds.ed.gov/cedselementdetails.aspx?termid=22462")</f>
        <v>https://ceds.ed.gov/cedselementdetails.aspx?termid=22462</v>
      </c>
      <c r="Q20" s="22">
        <v>63821</v>
      </c>
    </row>
    <row r="21" spans="1:17" ht="72" x14ac:dyDescent="0.3">
      <c r="A21" s="22" t="s">
        <v>7709</v>
      </c>
      <c r="B21" s="22" t="s">
        <v>9193</v>
      </c>
      <c r="C21" s="22" t="s">
        <v>7712</v>
      </c>
      <c r="D21" s="22" t="s">
        <v>7710</v>
      </c>
      <c r="E21" s="22" t="s">
        <v>199</v>
      </c>
      <c r="F21" s="24" t="s">
        <v>200</v>
      </c>
      <c r="G21" s="26" t="s">
        <v>8394</v>
      </c>
      <c r="H21" s="24" t="s">
        <v>64</v>
      </c>
      <c r="I21" s="22" t="s">
        <v>172</v>
      </c>
      <c r="J21" s="22" t="s">
        <v>85</v>
      </c>
      <c r="K21" s="24" t="s">
        <v>7946</v>
      </c>
      <c r="L21" s="24"/>
      <c r="M21" s="25" t="s">
        <v>201</v>
      </c>
      <c r="N21" s="22"/>
      <c r="O21" s="22" t="s">
        <v>202</v>
      </c>
      <c r="P21" s="22" t="str">
        <f>HYPERLINK("https://ceds.ed.gov/cedselementdetails.aspx?termid=21644")</f>
        <v>https://ceds.ed.gov/cedselementdetails.aspx?termid=21644</v>
      </c>
      <c r="Q21" s="22">
        <v>62206</v>
      </c>
    </row>
    <row r="22" spans="1:17" ht="187.2" x14ac:dyDescent="0.3">
      <c r="A22" s="22" t="s">
        <v>7709</v>
      </c>
      <c r="B22" s="22" t="s">
        <v>9193</v>
      </c>
      <c r="C22" s="22" t="s">
        <v>7712</v>
      </c>
      <c r="D22" s="22" t="s">
        <v>7710</v>
      </c>
      <c r="E22" s="22" t="s">
        <v>189</v>
      </c>
      <c r="F22" s="24" t="s">
        <v>190</v>
      </c>
      <c r="G22" s="23" t="s">
        <v>32</v>
      </c>
      <c r="H22" s="24" t="s">
        <v>175</v>
      </c>
      <c r="I22" s="22" t="s">
        <v>172</v>
      </c>
      <c r="J22" s="22" t="s">
        <v>191</v>
      </c>
      <c r="K22" s="24" t="s">
        <v>7946</v>
      </c>
      <c r="L22" s="24"/>
      <c r="M22" s="25" t="s">
        <v>192</v>
      </c>
      <c r="N22" s="22"/>
      <c r="O22" s="22" t="s">
        <v>193</v>
      </c>
      <c r="P22" s="22" t="str">
        <f>HYPERLINK("https://ceds.ed.gov/cedselementdetails.aspx?termid=21269")</f>
        <v>https://ceds.ed.gov/cedselementdetails.aspx?termid=21269</v>
      </c>
      <c r="Q22" s="22">
        <v>62205</v>
      </c>
    </row>
    <row r="23" spans="1:17" ht="187.2" x14ac:dyDescent="0.3">
      <c r="A23" s="22" t="s">
        <v>7709</v>
      </c>
      <c r="B23" s="22" t="s">
        <v>9193</v>
      </c>
      <c r="C23" s="22" t="s">
        <v>7712</v>
      </c>
      <c r="D23" s="22" t="s">
        <v>7710</v>
      </c>
      <c r="E23" s="22" t="s">
        <v>170</v>
      </c>
      <c r="F23" s="24" t="s">
        <v>171</v>
      </c>
      <c r="G23" s="23" t="s">
        <v>32</v>
      </c>
      <c r="H23" s="24" t="s">
        <v>175</v>
      </c>
      <c r="I23" s="22" t="s">
        <v>172</v>
      </c>
      <c r="J23" s="22" t="s">
        <v>157</v>
      </c>
      <c r="K23" s="24" t="s">
        <v>7946</v>
      </c>
      <c r="L23" s="24"/>
      <c r="M23" s="25" t="s">
        <v>173</v>
      </c>
      <c r="N23" s="22"/>
      <c r="O23" s="22" t="s">
        <v>174</v>
      </c>
      <c r="P23" s="22" t="str">
        <f>HYPERLINK("https://ceds.ed.gov/cedselementdetails.aspx?termid=21019")</f>
        <v>https://ceds.ed.gov/cedselementdetails.aspx?termid=21019</v>
      </c>
      <c r="Q23" s="22">
        <v>62208</v>
      </c>
    </row>
    <row r="24" spans="1:17" ht="187.2" x14ac:dyDescent="0.3">
      <c r="A24" s="22" t="s">
        <v>7709</v>
      </c>
      <c r="B24" s="22" t="s">
        <v>9193</v>
      </c>
      <c r="C24" s="22" t="s">
        <v>7712</v>
      </c>
      <c r="D24" s="22" t="s">
        <v>7710</v>
      </c>
      <c r="E24" s="22" t="s">
        <v>176</v>
      </c>
      <c r="F24" s="24" t="s">
        <v>177</v>
      </c>
      <c r="G24" s="23" t="s">
        <v>32</v>
      </c>
      <c r="H24" s="24" t="s">
        <v>175</v>
      </c>
      <c r="I24" s="22" t="s">
        <v>172</v>
      </c>
      <c r="J24" s="22" t="s">
        <v>85</v>
      </c>
      <c r="K24" s="24" t="s">
        <v>7946</v>
      </c>
      <c r="L24" s="24"/>
      <c r="M24" s="25" t="s">
        <v>178</v>
      </c>
      <c r="N24" s="22"/>
      <c r="O24" s="22" t="s">
        <v>179</v>
      </c>
      <c r="P24" s="22" t="str">
        <f>HYPERLINK("https://ceds.ed.gov/cedselementdetails.aspx?termid=21040")</f>
        <v>https://ceds.ed.gov/cedselementdetails.aspx?termid=21040</v>
      </c>
      <c r="Q24" s="22">
        <v>62209</v>
      </c>
    </row>
    <row r="25" spans="1:17" ht="409.6" x14ac:dyDescent="0.3">
      <c r="A25" s="22" t="s">
        <v>7709</v>
      </c>
      <c r="B25" s="22" t="s">
        <v>9193</v>
      </c>
      <c r="C25" s="22" t="s">
        <v>7712</v>
      </c>
      <c r="D25" s="22" t="s">
        <v>7710</v>
      </c>
      <c r="E25" s="22" t="s">
        <v>6941</v>
      </c>
      <c r="F25" s="24" t="s">
        <v>6942</v>
      </c>
      <c r="G25" s="26" t="s">
        <v>8533</v>
      </c>
      <c r="H25" s="24" t="s">
        <v>6945</v>
      </c>
      <c r="I25" s="22" t="s">
        <v>172</v>
      </c>
      <c r="J25" s="22"/>
      <c r="K25" s="24" t="s">
        <v>8327</v>
      </c>
      <c r="L25" s="24"/>
      <c r="M25" s="25" t="s">
        <v>6943</v>
      </c>
      <c r="N25" s="22"/>
      <c r="O25" s="22" t="s">
        <v>6944</v>
      </c>
      <c r="P25" s="22" t="str">
        <f>HYPERLINK("https://ceds.ed.gov/cedselementdetails.aspx?termid=21267")</f>
        <v>https://ceds.ed.gov/cedselementdetails.aspx?termid=21267</v>
      </c>
      <c r="Q25" s="22">
        <v>62211</v>
      </c>
    </row>
    <row r="26" spans="1:17" ht="187.2" x14ac:dyDescent="0.3">
      <c r="A26" s="22" t="s">
        <v>7709</v>
      </c>
      <c r="B26" s="22" t="s">
        <v>9193</v>
      </c>
      <c r="C26" s="22" t="s">
        <v>7712</v>
      </c>
      <c r="D26" s="22" t="s">
        <v>7710</v>
      </c>
      <c r="E26" s="22" t="s">
        <v>184</v>
      </c>
      <c r="F26" s="24" t="s">
        <v>185</v>
      </c>
      <c r="G26" s="23" t="s">
        <v>32</v>
      </c>
      <c r="H26" s="24" t="s">
        <v>175</v>
      </c>
      <c r="I26" s="22" t="s">
        <v>172</v>
      </c>
      <c r="J26" s="22" t="s">
        <v>186</v>
      </c>
      <c r="K26" s="24" t="s">
        <v>7946</v>
      </c>
      <c r="L26" s="24"/>
      <c r="M26" s="25" t="s">
        <v>187</v>
      </c>
      <c r="N26" s="22"/>
      <c r="O26" s="22" t="s">
        <v>188</v>
      </c>
      <c r="P26" s="22" t="str">
        <f>HYPERLINK("https://ceds.ed.gov/cedselementdetails.aspx?termid=21214")</f>
        <v>https://ceds.ed.gov/cedselementdetails.aspx?termid=21214</v>
      </c>
      <c r="Q26" s="22">
        <v>62210</v>
      </c>
    </row>
    <row r="27" spans="1:17" ht="187.2" x14ac:dyDescent="0.3">
      <c r="A27" s="22" t="s">
        <v>7709</v>
      </c>
      <c r="B27" s="22" t="s">
        <v>9193</v>
      </c>
      <c r="C27" s="22" t="s">
        <v>7712</v>
      </c>
      <c r="D27" s="22" t="s">
        <v>7710</v>
      </c>
      <c r="E27" s="22" t="s">
        <v>180</v>
      </c>
      <c r="F27" s="24" t="s">
        <v>181</v>
      </c>
      <c r="G27" s="23" t="s">
        <v>32</v>
      </c>
      <c r="H27" s="24" t="s">
        <v>175</v>
      </c>
      <c r="I27" s="22" t="s">
        <v>172</v>
      </c>
      <c r="J27" s="22" t="s">
        <v>85</v>
      </c>
      <c r="K27" s="24" t="s">
        <v>7946</v>
      </c>
      <c r="L27" s="24"/>
      <c r="M27" s="25" t="s">
        <v>182</v>
      </c>
      <c r="N27" s="22"/>
      <c r="O27" s="22" t="s">
        <v>183</v>
      </c>
      <c r="P27" s="22" t="str">
        <f>HYPERLINK("https://ceds.ed.gov/cedselementdetails.aspx?termid=21190")</f>
        <v>https://ceds.ed.gov/cedselementdetails.aspx?termid=21190</v>
      </c>
      <c r="Q27" s="22">
        <v>62204</v>
      </c>
    </row>
    <row r="28" spans="1:17" ht="158.4" x14ac:dyDescent="0.3">
      <c r="A28" s="22" t="s">
        <v>7709</v>
      </c>
      <c r="B28" s="22" t="s">
        <v>9193</v>
      </c>
      <c r="C28" s="22" t="s">
        <v>7712</v>
      </c>
      <c r="D28" s="22" t="s">
        <v>7710</v>
      </c>
      <c r="E28" s="22" t="s">
        <v>2536</v>
      </c>
      <c r="F28" s="24" t="s">
        <v>2537</v>
      </c>
      <c r="G28" s="23" t="s">
        <v>32</v>
      </c>
      <c r="H28" s="22"/>
      <c r="I28" s="22"/>
      <c r="J28" s="22" t="s">
        <v>2538</v>
      </c>
      <c r="K28" s="24"/>
      <c r="L28" s="24"/>
      <c r="M28" s="25" t="s">
        <v>2539</v>
      </c>
      <c r="N28" s="22"/>
      <c r="O28" s="22" t="s">
        <v>2540</v>
      </c>
      <c r="P28" s="22" t="str">
        <f>HYPERLINK("https://ceds.ed.gov/cedselementdetails.aspx?termid=22176")</f>
        <v>https://ceds.ed.gov/cedselementdetails.aspx?termid=22176</v>
      </c>
      <c r="Q28" s="22">
        <v>62207</v>
      </c>
    </row>
    <row r="29" spans="1:17" ht="43.2" x14ac:dyDescent="0.3">
      <c r="A29" s="22" t="s">
        <v>7709</v>
      </c>
      <c r="B29" s="22" t="s">
        <v>9193</v>
      </c>
      <c r="C29" s="22" t="s">
        <v>7712</v>
      </c>
      <c r="D29" s="22" t="s">
        <v>7710</v>
      </c>
      <c r="E29" s="22" t="s">
        <v>1798</v>
      </c>
      <c r="F29" s="24" t="s">
        <v>1799</v>
      </c>
      <c r="G29" s="23" t="s">
        <v>32</v>
      </c>
      <c r="H29" s="22"/>
      <c r="I29" s="22" t="s">
        <v>172</v>
      </c>
      <c r="J29" s="22" t="s">
        <v>157</v>
      </c>
      <c r="K29" s="24" t="s">
        <v>7946</v>
      </c>
      <c r="L29" s="24"/>
      <c r="M29" s="25" t="s">
        <v>1800</v>
      </c>
      <c r="N29" s="22"/>
      <c r="O29" s="22" t="s">
        <v>1801</v>
      </c>
      <c r="P29" s="22" t="str">
        <f>HYPERLINK("https://ceds.ed.gov/cedselementdetails.aspx?termid=21595")</f>
        <v>https://ceds.ed.gov/cedselementdetails.aspx?termid=21595</v>
      </c>
      <c r="Q29" s="22">
        <v>62473</v>
      </c>
    </row>
    <row r="30" spans="1:17" ht="57.6" x14ac:dyDescent="0.3">
      <c r="A30" s="22" t="s">
        <v>7709</v>
      </c>
      <c r="B30" s="22" t="s">
        <v>9193</v>
      </c>
      <c r="C30" s="22" t="s">
        <v>7712</v>
      </c>
      <c r="D30" s="22" t="s">
        <v>7710</v>
      </c>
      <c r="E30" s="22" t="s">
        <v>4982</v>
      </c>
      <c r="F30" s="24" t="s">
        <v>4983</v>
      </c>
      <c r="G30" s="23" t="s">
        <v>32</v>
      </c>
      <c r="H30" s="22"/>
      <c r="I30" s="22"/>
      <c r="J30" s="22" t="s">
        <v>1165</v>
      </c>
      <c r="K30" s="24"/>
      <c r="L30" s="24"/>
      <c r="M30" s="25" t="s">
        <v>4984</v>
      </c>
      <c r="N30" s="22"/>
      <c r="O30" s="22" t="s">
        <v>4982</v>
      </c>
      <c r="P30" s="22" t="str">
        <f>HYPERLINK("https://ceds.ed.gov/cedselementdetails.aspx?termid=21599")</f>
        <v>https://ceds.ed.gov/cedselementdetails.aspx?termid=21599</v>
      </c>
      <c r="Q30" s="22">
        <v>62275</v>
      </c>
    </row>
    <row r="31" spans="1:17" ht="57.6" x14ac:dyDescent="0.3">
      <c r="A31" s="22" t="s">
        <v>7709</v>
      </c>
      <c r="B31" s="22" t="s">
        <v>9193</v>
      </c>
      <c r="C31" s="22" t="s">
        <v>7712</v>
      </c>
      <c r="D31" s="22" t="s">
        <v>7710</v>
      </c>
      <c r="E31" s="22" t="s">
        <v>5372</v>
      </c>
      <c r="F31" s="24" t="s">
        <v>5373</v>
      </c>
      <c r="G31" s="23" t="s">
        <v>32</v>
      </c>
      <c r="H31" s="22"/>
      <c r="I31" s="22"/>
      <c r="J31" s="22" t="s">
        <v>1165</v>
      </c>
      <c r="K31" s="24"/>
      <c r="L31" s="24"/>
      <c r="M31" s="25" t="s">
        <v>5374</v>
      </c>
      <c r="N31" s="22"/>
      <c r="O31" s="22" t="s">
        <v>5372</v>
      </c>
      <c r="P31" s="22" t="str">
        <f>HYPERLINK("https://ceds.ed.gov/cedselementdetails.aspx?termid=21600")</f>
        <v>https://ceds.ed.gov/cedselementdetails.aspx?termid=21600</v>
      </c>
      <c r="Q31" s="22">
        <v>62298</v>
      </c>
    </row>
    <row r="32" spans="1:17" ht="57.6" x14ac:dyDescent="0.3">
      <c r="A32" s="22" t="s">
        <v>7709</v>
      </c>
      <c r="B32" s="22" t="s">
        <v>9193</v>
      </c>
      <c r="C32" s="22" t="s">
        <v>7712</v>
      </c>
      <c r="D32" s="22" t="s">
        <v>7710</v>
      </c>
      <c r="E32" s="22" t="s">
        <v>3228</v>
      </c>
      <c r="F32" s="24" t="s">
        <v>3229</v>
      </c>
      <c r="G32" s="26" t="s">
        <v>3039</v>
      </c>
      <c r="H32" s="22"/>
      <c r="I32" s="22" t="s">
        <v>172</v>
      </c>
      <c r="J32" s="22"/>
      <c r="K32" s="24" t="s">
        <v>7946</v>
      </c>
      <c r="L32" s="24"/>
      <c r="M32" s="25" t="s">
        <v>3230</v>
      </c>
      <c r="N32" s="22"/>
      <c r="O32" s="22" t="s">
        <v>3231</v>
      </c>
      <c r="P32" s="22" t="str">
        <f>HYPERLINK("https://ceds.ed.gov/cedselementdetails.aspx?termid=22905")</f>
        <v>https://ceds.ed.gov/cedselementdetails.aspx?termid=22905</v>
      </c>
      <c r="Q32" s="22">
        <v>63273</v>
      </c>
    </row>
    <row r="33" spans="1:17" ht="72" x14ac:dyDescent="0.3">
      <c r="A33" s="22" t="s">
        <v>7709</v>
      </c>
      <c r="B33" s="22" t="s">
        <v>9193</v>
      </c>
      <c r="C33" s="22" t="s">
        <v>7713</v>
      </c>
      <c r="D33" s="22" t="s">
        <v>7710</v>
      </c>
      <c r="E33" s="22" t="s">
        <v>7159</v>
      </c>
      <c r="F33" s="24" t="s">
        <v>7160</v>
      </c>
      <c r="G33" s="23" t="s">
        <v>32</v>
      </c>
      <c r="H33" s="24" t="s">
        <v>64</v>
      </c>
      <c r="I33" s="22"/>
      <c r="J33" s="22" t="s">
        <v>7161</v>
      </c>
      <c r="K33" s="24"/>
      <c r="L33" s="24"/>
      <c r="M33" s="25" t="s">
        <v>7162</v>
      </c>
      <c r="N33" s="22"/>
      <c r="O33" s="22" t="s">
        <v>7163</v>
      </c>
      <c r="P33" s="22" t="str">
        <f>HYPERLINK("https://ceds.ed.gov/cedselementdetails.aspx?termid=21279")</f>
        <v>https://ceds.ed.gov/cedselementdetails.aspx?termid=21279</v>
      </c>
      <c r="Q33" s="22">
        <v>62213</v>
      </c>
    </row>
    <row r="34" spans="1:17" ht="115.2" x14ac:dyDescent="0.3">
      <c r="A34" s="22" t="s">
        <v>7709</v>
      </c>
      <c r="B34" s="22" t="s">
        <v>9193</v>
      </c>
      <c r="C34" s="22" t="s">
        <v>7713</v>
      </c>
      <c r="D34" s="22" t="s">
        <v>7710</v>
      </c>
      <c r="E34" s="22" t="s">
        <v>4776</v>
      </c>
      <c r="F34" s="24" t="s">
        <v>4777</v>
      </c>
      <c r="G34" s="26" t="s">
        <v>8967</v>
      </c>
      <c r="H34" s="22"/>
      <c r="I34" s="22"/>
      <c r="J34" s="22"/>
      <c r="K34" s="24"/>
      <c r="L34" s="24"/>
      <c r="M34" s="25" t="s">
        <v>4778</v>
      </c>
      <c r="N34" s="22"/>
      <c r="O34" s="22" t="s">
        <v>4779</v>
      </c>
      <c r="P34" s="22" t="str">
        <f>HYPERLINK("https://ceds.ed.gov/cedselementdetails.aspx?termid=21167")</f>
        <v>https://ceds.ed.gov/cedselementdetails.aspx?termid=21167</v>
      </c>
      <c r="Q34" s="22">
        <v>62212</v>
      </c>
    </row>
    <row r="35" spans="1:17" ht="72" x14ac:dyDescent="0.3">
      <c r="A35" s="22" t="s">
        <v>7709</v>
      </c>
      <c r="B35" s="22" t="s">
        <v>9193</v>
      </c>
      <c r="C35" s="22" t="s">
        <v>7713</v>
      </c>
      <c r="D35" s="22" t="s">
        <v>7710</v>
      </c>
      <c r="E35" s="22" t="s">
        <v>5965</v>
      </c>
      <c r="F35" s="24" t="s">
        <v>5966</v>
      </c>
      <c r="G35" s="26" t="s">
        <v>22</v>
      </c>
      <c r="H35" s="24" t="s">
        <v>64</v>
      </c>
      <c r="I35" s="22"/>
      <c r="J35" s="22"/>
      <c r="K35" s="24"/>
      <c r="L35" s="24"/>
      <c r="M35" s="25" t="s">
        <v>5967</v>
      </c>
      <c r="N35" s="22"/>
      <c r="O35" s="22" t="s">
        <v>5968</v>
      </c>
      <c r="P35" s="22" t="str">
        <f>HYPERLINK("https://ceds.ed.gov/cedselementdetails.aspx?termid=21219")</f>
        <v>https://ceds.ed.gov/cedselementdetails.aspx?termid=21219</v>
      </c>
      <c r="Q35" s="22">
        <v>62214</v>
      </c>
    </row>
    <row r="36" spans="1:17" ht="57.6" x14ac:dyDescent="0.3">
      <c r="A36" s="22" t="s">
        <v>7709</v>
      </c>
      <c r="B36" s="22" t="s">
        <v>9193</v>
      </c>
      <c r="C36" s="22" t="s">
        <v>7713</v>
      </c>
      <c r="D36" s="22" t="s">
        <v>7710</v>
      </c>
      <c r="E36" s="22" t="s">
        <v>3228</v>
      </c>
      <c r="F36" s="24" t="s">
        <v>3229</v>
      </c>
      <c r="G36" s="26" t="s">
        <v>3039</v>
      </c>
      <c r="H36" s="22"/>
      <c r="I36" s="22" t="s">
        <v>172</v>
      </c>
      <c r="J36" s="22"/>
      <c r="K36" s="24" t="s">
        <v>7946</v>
      </c>
      <c r="L36" s="24"/>
      <c r="M36" s="25" t="s">
        <v>3230</v>
      </c>
      <c r="N36" s="22"/>
      <c r="O36" s="22" t="s">
        <v>3231</v>
      </c>
      <c r="P36" s="22" t="str">
        <f>HYPERLINK("https://ceds.ed.gov/cedselementdetails.aspx?termid=22905")</f>
        <v>https://ceds.ed.gov/cedselementdetails.aspx?termid=22905</v>
      </c>
      <c r="Q36" s="22">
        <v>63278</v>
      </c>
    </row>
    <row r="37" spans="1:17" ht="57.6" x14ac:dyDescent="0.3">
      <c r="A37" s="22" t="s">
        <v>7709</v>
      </c>
      <c r="B37" s="22" t="s">
        <v>9193</v>
      </c>
      <c r="C37" s="22" t="s">
        <v>7713</v>
      </c>
      <c r="D37" s="22" t="s">
        <v>7710</v>
      </c>
      <c r="E37" s="22" t="s">
        <v>7164</v>
      </c>
      <c r="F37" s="24" t="s">
        <v>7165</v>
      </c>
      <c r="G37" s="26" t="s">
        <v>9167</v>
      </c>
      <c r="H37" s="22"/>
      <c r="I37" s="22"/>
      <c r="J37" s="22"/>
      <c r="K37" s="24"/>
      <c r="L37" s="24"/>
      <c r="M37" s="25" t="s">
        <v>7166</v>
      </c>
      <c r="N37" s="22"/>
      <c r="O37" s="22" t="s">
        <v>7167</v>
      </c>
      <c r="P37" s="22" t="str">
        <f>HYPERLINK("https://ceds.ed.gov/cedselementdetails.aspx?termid=22911")</f>
        <v>https://ceds.ed.gov/cedselementdetails.aspx?termid=22911</v>
      </c>
      <c r="Q37" s="22">
        <v>63279</v>
      </c>
    </row>
    <row r="38" spans="1:17" ht="72" x14ac:dyDescent="0.3">
      <c r="A38" s="22" t="s">
        <v>7709</v>
      </c>
      <c r="B38" s="22" t="s">
        <v>9193</v>
      </c>
      <c r="C38" s="22" t="s">
        <v>7714</v>
      </c>
      <c r="D38" s="22" t="s">
        <v>7710</v>
      </c>
      <c r="E38" s="22" t="s">
        <v>5873</v>
      </c>
      <c r="F38" s="24" t="s">
        <v>5874</v>
      </c>
      <c r="G38" s="23" t="s">
        <v>32</v>
      </c>
      <c r="H38" s="24" t="s">
        <v>64</v>
      </c>
      <c r="I38" s="22" t="s">
        <v>172</v>
      </c>
      <c r="J38" s="22" t="s">
        <v>1339</v>
      </c>
      <c r="K38" s="24" t="s">
        <v>7946</v>
      </c>
      <c r="L38" s="24"/>
      <c r="M38" s="25" t="s">
        <v>5875</v>
      </c>
      <c r="N38" s="22"/>
      <c r="O38" s="22" t="s">
        <v>5876</v>
      </c>
      <c r="P38" s="22" t="str">
        <f>HYPERLINK("https://ceds.ed.gov/cedselementdetails.aspx?termid=21213")</f>
        <v>https://ceds.ed.gov/cedselementdetails.aspx?termid=21213</v>
      </c>
      <c r="Q38" s="22">
        <v>62474</v>
      </c>
    </row>
    <row r="39" spans="1:17" ht="86.4" x14ac:dyDescent="0.3">
      <c r="A39" s="22" t="s">
        <v>7709</v>
      </c>
      <c r="B39" s="22" t="s">
        <v>9193</v>
      </c>
      <c r="C39" s="22" t="s">
        <v>7714</v>
      </c>
      <c r="D39" s="22" t="s">
        <v>7710</v>
      </c>
      <c r="E39" s="22" t="s">
        <v>5955</v>
      </c>
      <c r="F39" s="24" t="s">
        <v>5956</v>
      </c>
      <c r="G39" s="26" t="s">
        <v>22</v>
      </c>
      <c r="H39" s="22"/>
      <c r="I39" s="22"/>
      <c r="J39" s="22"/>
      <c r="K39" s="24"/>
      <c r="L39" s="24"/>
      <c r="M39" s="25" t="s">
        <v>5957</v>
      </c>
      <c r="N39" s="22"/>
      <c r="O39" s="22" t="s">
        <v>5958</v>
      </c>
      <c r="P39" s="22" t="str">
        <f>HYPERLINK("https://ceds.ed.gov/cedselementdetails.aspx?termid=22397")</f>
        <v>https://ceds.ed.gov/cedselementdetails.aspx?termid=22397</v>
      </c>
      <c r="Q39" s="22">
        <v>62475</v>
      </c>
    </row>
    <row r="40" spans="1:17" ht="28.8" x14ac:dyDescent="0.3">
      <c r="A40" s="22" t="s">
        <v>7709</v>
      </c>
      <c r="B40" s="22" t="s">
        <v>9193</v>
      </c>
      <c r="C40" s="22" t="s">
        <v>7714</v>
      </c>
      <c r="D40" s="22" t="s">
        <v>7710</v>
      </c>
      <c r="E40" s="22" t="s">
        <v>7370</v>
      </c>
      <c r="F40" s="24" t="s">
        <v>7371</v>
      </c>
      <c r="G40" s="23" t="s">
        <v>32</v>
      </c>
      <c r="H40" s="22" t="s">
        <v>226</v>
      </c>
      <c r="I40" s="22" t="s">
        <v>172</v>
      </c>
      <c r="J40" s="22" t="s">
        <v>113</v>
      </c>
      <c r="K40" s="24" t="s">
        <v>7946</v>
      </c>
      <c r="L40" s="24"/>
      <c r="M40" s="25" t="s">
        <v>7372</v>
      </c>
      <c r="N40" s="22"/>
      <c r="O40" s="22" t="s">
        <v>7373</v>
      </c>
      <c r="P40" s="22" t="str">
        <f>HYPERLINK("https://ceds.ed.gov/cedselementdetails.aspx?termid=21300")</f>
        <v>https://ceds.ed.gov/cedselementdetails.aspx?termid=21300</v>
      </c>
      <c r="Q40" s="22">
        <v>62174</v>
      </c>
    </row>
    <row r="41" spans="1:17" ht="158.4" x14ac:dyDescent="0.3">
      <c r="A41" s="22" t="s">
        <v>7709</v>
      </c>
      <c r="B41" s="22" t="s">
        <v>9193</v>
      </c>
      <c r="C41" s="22" t="s">
        <v>7715</v>
      </c>
      <c r="D41" s="22" t="s">
        <v>7710</v>
      </c>
      <c r="E41" s="22" t="s">
        <v>4050</v>
      </c>
      <c r="F41" s="24" t="s">
        <v>4051</v>
      </c>
      <c r="G41" s="23" t="s">
        <v>32</v>
      </c>
      <c r="H41" s="24" t="s">
        <v>4054</v>
      </c>
      <c r="I41" s="22"/>
      <c r="J41" s="22" t="s">
        <v>7536</v>
      </c>
      <c r="K41" s="24"/>
      <c r="L41" s="24" t="s">
        <v>8200</v>
      </c>
      <c r="M41" s="25" t="s">
        <v>4052</v>
      </c>
      <c r="N41" s="22"/>
      <c r="O41" s="22" t="s">
        <v>4053</v>
      </c>
      <c r="P41" s="22" t="str">
        <f>HYPERLINK("https://ceds.ed.gov/cedselementdetails.aspx?termid=21115")</f>
        <v>https://ceds.ed.gov/cedselementdetails.aspx?termid=21115</v>
      </c>
      <c r="Q41" s="22">
        <v>62477</v>
      </c>
    </row>
    <row r="42" spans="1:17" ht="158.4" x14ac:dyDescent="0.3">
      <c r="A42" s="22" t="s">
        <v>7709</v>
      </c>
      <c r="B42" s="22" t="s">
        <v>9193</v>
      </c>
      <c r="C42" s="22" t="s">
        <v>7715</v>
      </c>
      <c r="D42" s="22" t="s">
        <v>7710</v>
      </c>
      <c r="E42" s="22" t="s">
        <v>5415</v>
      </c>
      <c r="F42" s="24" t="s">
        <v>5416</v>
      </c>
      <c r="G42" s="23" t="s">
        <v>32</v>
      </c>
      <c r="H42" s="24" t="s">
        <v>4054</v>
      </c>
      <c r="I42" s="22"/>
      <c r="J42" s="22" t="s">
        <v>7536</v>
      </c>
      <c r="K42" s="24"/>
      <c r="L42" s="24" t="s">
        <v>8207</v>
      </c>
      <c r="M42" s="25" t="s">
        <v>5417</v>
      </c>
      <c r="N42" s="22"/>
      <c r="O42" s="22" t="s">
        <v>5418</v>
      </c>
      <c r="P42" s="22" t="str">
        <f>HYPERLINK("https://ceds.ed.gov/cedselementdetails.aspx?termid=21184")</f>
        <v>https://ceds.ed.gov/cedselementdetails.aspx?termid=21184</v>
      </c>
      <c r="Q42" s="22">
        <v>62480</v>
      </c>
    </row>
    <row r="43" spans="1:17" ht="158.4" x14ac:dyDescent="0.3">
      <c r="A43" s="22" t="s">
        <v>7709</v>
      </c>
      <c r="B43" s="22" t="s">
        <v>9193</v>
      </c>
      <c r="C43" s="22" t="s">
        <v>7715</v>
      </c>
      <c r="D43" s="22" t="s">
        <v>7710</v>
      </c>
      <c r="E43" s="22" t="s">
        <v>4973</v>
      </c>
      <c r="F43" s="24" t="s">
        <v>4974</v>
      </c>
      <c r="G43" s="23" t="s">
        <v>32</v>
      </c>
      <c r="H43" s="24" t="s">
        <v>4054</v>
      </c>
      <c r="I43" s="22"/>
      <c r="J43" s="22" t="s">
        <v>7536</v>
      </c>
      <c r="K43" s="24"/>
      <c r="L43" s="24" t="s">
        <v>8207</v>
      </c>
      <c r="M43" s="25" t="s">
        <v>4975</v>
      </c>
      <c r="N43" s="22" t="s">
        <v>4976</v>
      </c>
      <c r="O43" s="22" t="s">
        <v>4977</v>
      </c>
      <c r="P43" s="22" t="str">
        <f>HYPERLINK("https://ceds.ed.gov/cedselementdetails.aspx?termid=21172")</f>
        <v>https://ceds.ed.gov/cedselementdetails.aspx?termid=21172</v>
      </c>
      <c r="Q43" s="22">
        <v>62479</v>
      </c>
    </row>
    <row r="44" spans="1:17" ht="129.6" x14ac:dyDescent="0.3">
      <c r="A44" s="22" t="s">
        <v>7709</v>
      </c>
      <c r="B44" s="22" t="s">
        <v>9193</v>
      </c>
      <c r="C44" s="22" t="s">
        <v>7715</v>
      </c>
      <c r="D44" s="22" t="s">
        <v>7710</v>
      </c>
      <c r="E44" s="22" t="s">
        <v>4114</v>
      </c>
      <c r="F44" s="24" t="s">
        <v>4115</v>
      </c>
      <c r="G44" s="23" t="s">
        <v>32</v>
      </c>
      <c r="H44" s="24" t="s">
        <v>4119</v>
      </c>
      <c r="I44" s="22"/>
      <c r="J44" s="22" t="s">
        <v>2743</v>
      </c>
      <c r="K44" s="24"/>
      <c r="L44" s="24" t="s">
        <v>8207</v>
      </c>
      <c r="M44" s="25" t="s">
        <v>4117</v>
      </c>
      <c r="N44" s="22"/>
      <c r="O44" s="22" t="s">
        <v>4118</v>
      </c>
      <c r="P44" s="22" t="str">
        <f>HYPERLINK("https://ceds.ed.gov/cedselementdetails.aspx?termid=21121")</f>
        <v>https://ceds.ed.gov/cedselementdetails.aspx?termid=21121</v>
      </c>
      <c r="Q44" s="22">
        <v>62478</v>
      </c>
    </row>
    <row r="45" spans="1:17" ht="86.4" x14ac:dyDescent="0.3">
      <c r="A45" s="22" t="s">
        <v>7709</v>
      </c>
      <c r="B45" s="22" t="s">
        <v>9193</v>
      </c>
      <c r="C45" s="22" t="s">
        <v>7715</v>
      </c>
      <c r="D45" s="22" t="s">
        <v>7710</v>
      </c>
      <c r="E45" s="22" t="s">
        <v>5860</v>
      </c>
      <c r="F45" s="24" t="s">
        <v>5861</v>
      </c>
      <c r="G45" s="23" t="s">
        <v>32</v>
      </c>
      <c r="H45" s="24" t="s">
        <v>5865</v>
      </c>
      <c r="I45" s="22"/>
      <c r="J45" s="22" t="s">
        <v>85</v>
      </c>
      <c r="K45" s="24"/>
      <c r="L45" s="24"/>
      <c r="M45" s="25" t="s">
        <v>5862</v>
      </c>
      <c r="N45" s="22" t="s">
        <v>5863</v>
      </c>
      <c r="O45" s="22" t="s">
        <v>5864</v>
      </c>
      <c r="P45" s="22" t="str">
        <f>HYPERLINK("https://ceds.ed.gov/cedselementdetails.aspx?termid=21212")</f>
        <v>https://ceds.ed.gov/cedselementdetails.aspx?termid=21212</v>
      </c>
      <c r="Q45" s="22">
        <v>62481</v>
      </c>
    </row>
    <row r="46" spans="1:17" ht="72" x14ac:dyDescent="0.3">
      <c r="A46" s="22" t="s">
        <v>7709</v>
      </c>
      <c r="B46" s="22" t="s">
        <v>9193</v>
      </c>
      <c r="C46" s="22" t="s">
        <v>7716</v>
      </c>
      <c r="D46" s="22" t="s">
        <v>7710</v>
      </c>
      <c r="E46" s="22" t="s">
        <v>199</v>
      </c>
      <c r="F46" s="24" t="s">
        <v>200</v>
      </c>
      <c r="G46" s="26" t="s">
        <v>8394</v>
      </c>
      <c r="H46" s="24" t="s">
        <v>64</v>
      </c>
      <c r="I46" s="22" t="s">
        <v>172</v>
      </c>
      <c r="J46" s="22" t="s">
        <v>85</v>
      </c>
      <c r="K46" s="24" t="s">
        <v>7946</v>
      </c>
      <c r="L46" s="24"/>
      <c r="M46" s="25" t="s">
        <v>201</v>
      </c>
      <c r="N46" s="22"/>
      <c r="O46" s="22" t="s">
        <v>202</v>
      </c>
      <c r="P46" s="22" t="str">
        <f>HYPERLINK("https://ceds.ed.gov/cedselementdetails.aspx?termid=21644")</f>
        <v>https://ceds.ed.gov/cedselementdetails.aspx?termid=21644</v>
      </c>
      <c r="Q46" s="22">
        <v>58724</v>
      </c>
    </row>
    <row r="47" spans="1:17" ht="187.2" x14ac:dyDescent="0.3">
      <c r="A47" s="22" t="s">
        <v>7709</v>
      </c>
      <c r="B47" s="22" t="s">
        <v>9193</v>
      </c>
      <c r="C47" s="22" t="s">
        <v>7716</v>
      </c>
      <c r="D47" s="22" t="s">
        <v>7710</v>
      </c>
      <c r="E47" s="22" t="s">
        <v>189</v>
      </c>
      <c r="F47" s="24" t="s">
        <v>190</v>
      </c>
      <c r="G47" s="23" t="s">
        <v>32</v>
      </c>
      <c r="H47" s="24" t="s">
        <v>175</v>
      </c>
      <c r="I47" s="22" t="s">
        <v>172</v>
      </c>
      <c r="J47" s="22" t="s">
        <v>191</v>
      </c>
      <c r="K47" s="24" t="s">
        <v>7946</v>
      </c>
      <c r="L47" s="24"/>
      <c r="M47" s="25" t="s">
        <v>192</v>
      </c>
      <c r="N47" s="22"/>
      <c r="O47" s="22" t="s">
        <v>193</v>
      </c>
      <c r="P47" s="22" t="str">
        <f>HYPERLINK("https://ceds.ed.gov/cedselementdetails.aspx?termid=21269")</f>
        <v>https://ceds.ed.gov/cedselementdetails.aspx?termid=21269</v>
      </c>
      <c r="Q47" s="22">
        <v>58709</v>
      </c>
    </row>
    <row r="48" spans="1:17" ht="187.2" x14ac:dyDescent="0.3">
      <c r="A48" s="22" t="s">
        <v>7709</v>
      </c>
      <c r="B48" s="22" t="s">
        <v>9193</v>
      </c>
      <c r="C48" s="22" t="s">
        <v>7716</v>
      </c>
      <c r="D48" s="22" t="s">
        <v>7710</v>
      </c>
      <c r="E48" s="22" t="s">
        <v>170</v>
      </c>
      <c r="F48" s="24" t="s">
        <v>171</v>
      </c>
      <c r="G48" s="23" t="s">
        <v>32</v>
      </c>
      <c r="H48" s="24" t="s">
        <v>175</v>
      </c>
      <c r="I48" s="22" t="s">
        <v>172</v>
      </c>
      <c r="J48" s="22" t="s">
        <v>157</v>
      </c>
      <c r="K48" s="24" t="s">
        <v>7946</v>
      </c>
      <c r="L48" s="24"/>
      <c r="M48" s="25" t="s">
        <v>173</v>
      </c>
      <c r="N48" s="22"/>
      <c r="O48" s="22" t="s">
        <v>174</v>
      </c>
      <c r="P48" s="22" t="str">
        <f>HYPERLINK("https://ceds.ed.gov/cedselementdetails.aspx?termid=21019")</f>
        <v>https://ceds.ed.gov/cedselementdetails.aspx?termid=21019</v>
      </c>
      <c r="Q48" s="22">
        <v>58703</v>
      </c>
    </row>
    <row r="49" spans="1:17" ht="187.2" x14ac:dyDescent="0.3">
      <c r="A49" s="22" t="s">
        <v>7709</v>
      </c>
      <c r="B49" s="22" t="s">
        <v>9193</v>
      </c>
      <c r="C49" s="22" t="s">
        <v>7716</v>
      </c>
      <c r="D49" s="22" t="s">
        <v>7710</v>
      </c>
      <c r="E49" s="22" t="s">
        <v>176</v>
      </c>
      <c r="F49" s="24" t="s">
        <v>177</v>
      </c>
      <c r="G49" s="23" t="s">
        <v>32</v>
      </c>
      <c r="H49" s="24" t="s">
        <v>175</v>
      </c>
      <c r="I49" s="22" t="s">
        <v>172</v>
      </c>
      <c r="J49" s="22" t="s">
        <v>85</v>
      </c>
      <c r="K49" s="24" t="s">
        <v>7946</v>
      </c>
      <c r="L49" s="24"/>
      <c r="M49" s="25" t="s">
        <v>178</v>
      </c>
      <c r="N49" s="22"/>
      <c r="O49" s="22" t="s">
        <v>179</v>
      </c>
      <c r="P49" s="22" t="str">
        <f>HYPERLINK("https://ceds.ed.gov/cedselementdetails.aspx?termid=21040")</f>
        <v>https://ceds.ed.gov/cedselementdetails.aspx?termid=21040</v>
      </c>
      <c r="Q49" s="22">
        <v>58704</v>
      </c>
    </row>
    <row r="50" spans="1:17" ht="409.6" x14ac:dyDescent="0.3">
      <c r="A50" s="22" t="s">
        <v>7709</v>
      </c>
      <c r="B50" s="22" t="s">
        <v>9193</v>
      </c>
      <c r="C50" s="22" t="s">
        <v>7716</v>
      </c>
      <c r="D50" s="22" t="s">
        <v>7710</v>
      </c>
      <c r="E50" s="22" t="s">
        <v>6941</v>
      </c>
      <c r="F50" s="24" t="s">
        <v>6942</v>
      </c>
      <c r="G50" s="26" t="s">
        <v>8533</v>
      </c>
      <c r="H50" s="24" t="s">
        <v>6945</v>
      </c>
      <c r="I50" s="22" t="s">
        <v>172</v>
      </c>
      <c r="J50" s="22"/>
      <c r="K50" s="24" t="s">
        <v>8327</v>
      </c>
      <c r="L50" s="24"/>
      <c r="M50" s="25" t="s">
        <v>6943</v>
      </c>
      <c r="N50" s="22"/>
      <c r="O50" s="22" t="s">
        <v>6944</v>
      </c>
      <c r="P50" s="22" t="str">
        <f>HYPERLINK("https://ceds.ed.gov/cedselementdetails.aspx?termid=21267")</f>
        <v>https://ceds.ed.gov/cedselementdetails.aspx?termid=21267</v>
      </c>
      <c r="Q50" s="22">
        <v>58708</v>
      </c>
    </row>
    <row r="51" spans="1:17" ht="187.2" x14ac:dyDescent="0.3">
      <c r="A51" s="22" t="s">
        <v>7709</v>
      </c>
      <c r="B51" s="22" t="s">
        <v>9193</v>
      </c>
      <c r="C51" s="22" t="s">
        <v>7716</v>
      </c>
      <c r="D51" s="22" t="s">
        <v>7710</v>
      </c>
      <c r="E51" s="22" t="s">
        <v>184</v>
      </c>
      <c r="F51" s="24" t="s">
        <v>185</v>
      </c>
      <c r="G51" s="23" t="s">
        <v>32</v>
      </c>
      <c r="H51" s="24" t="s">
        <v>175</v>
      </c>
      <c r="I51" s="22" t="s">
        <v>172</v>
      </c>
      <c r="J51" s="22" t="s">
        <v>186</v>
      </c>
      <c r="K51" s="24" t="s">
        <v>7946</v>
      </c>
      <c r="L51" s="24"/>
      <c r="M51" s="25" t="s">
        <v>187</v>
      </c>
      <c r="N51" s="22"/>
      <c r="O51" s="22" t="s">
        <v>188</v>
      </c>
      <c r="P51" s="22" t="str">
        <f>HYPERLINK("https://ceds.ed.gov/cedselementdetails.aspx?termid=21214")</f>
        <v>https://ceds.ed.gov/cedselementdetails.aspx?termid=21214</v>
      </c>
      <c r="Q51" s="22">
        <v>58706</v>
      </c>
    </row>
    <row r="52" spans="1:17" ht="187.2" x14ac:dyDescent="0.3">
      <c r="A52" s="22" t="s">
        <v>7709</v>
      </c>
      <c r="B52" s="22" t="s">
        <v>9193</v>
      </c>
      <c r="C52" s="22" t="s">
        <v>7716</v>
      </c>
      <c r="D52" s="22" t="s">
        <v>7710</v>
      </c>
      <c r="E52" s="22" t="s">
        <v>180</v>
      </c>
      <c r="F52" s="24" t="s">
        <v>181</v>
      </c>
      <c r="G52" s="23" t="s">
        <v>32</v>
      </c>
      <c r="H52" s="24" t="s">
        <v>175</v>
      </c>
      <c r="I52" s="22" t="s">
        <v>172</v>
      </c>
      <c r="J52" s="22" t="s">
        <v>85</v>
      </c>
      <c r="K52" s="24" t="s">
        <v>7946</v>
      </c>
      <c r="L52" s="24"/>
      <c r="M52" s="25" t="s">
        <v>182</v>
      </c>
      <c r="N52" s="22"/>
      <c r="O52" s="22" t="s">
        <v>183</v>
      </c>
      <c r="P52" s="22" t="str">
        <f>HYPERLINK("https://ceds.ed.gov/cedselementdetails.aspx?termid=21190")</f>
        <v>https://ceds.ed.gov/cedselementdetails.aspx?termid=21190</v>
      </c>
      <c r="Q52" s="22">
        <v>58705</v>
      </c>
    </row>
    <row r="53" spans="1:17" ht="158.4" x14ac:dyDescent="0.3">
      <c r="A53" s="22" t="s">
        <v>7709</v>
      </c>
      <c r="B53" s="22" t="s">
        <v>9193</v>
      </c>
      <c r="C53" s="22" t="s">
        <v>7716</v>
      </c>
      <c r="D53" s="22" t="s">
        <v>7710</v>
      </c>
      <c r="E53" s="22" t="s">
        <v>2536</v>
      </c>
      <c r="F53" s="24" t="s">
        <v>2537</v>
      </c>
      <c r="G53" s="23" t="s">
        <v>32</v>
      </c>
      <c r="H53" s="22"/>
      <c r="I53" s="22"/>
      <c r="J53" s="22" t="s">
        <v>2538</v>
      </c>
      <c r="K53" s="24"/>
      <c r="L53" s="24"/>
      <c r="M53" s="25" t="s">
        <v>2539</v>
      </c>
      <c r="N53" s="22"/>
      <c r="O53" s="22" t="s">
        <v>2540</v>
      </c>
      <c r="P53" s="22" t="str">
        <f>HYPERLINK("https://ceds.ed.gov/cedselementdetails.aspx?termid=22176")</f>
        <v>https://ceds.ed.gov/cedselementdetails.aspx?termid=22176</v>
      </c>
      <c r="Q53" s="22">
        <v>60140</v>
      </c>
    </row>
    <row r="54" spans="1:17" ht="409.6" x14ac:dyDescent="0.3">
      <c r="A54" s="22" t="s">
        <v>7709</v>
      </c>
      <c r="B54" s="22" t="s">
        <v>9193</v>
      </c>
      <c r="C54" s="22" t="s">
        <v>7716</v>
      </c>
      <c r="D54" s="22" t="s">
        <v>7710</v>
      </c>
      <c r="E54" s="22" t="s">
        <v>2526</v>
      </c>
      <c r="F54" s="24" t="s">
        <v>2527</v>
      </c>
      <c r="G54" s="26" t="s">
        <v>8743</v>
      </c>
      <c r="H54" s="24" t="s">
        <v>2530</v>
      </c>
      <c r="I54" s="22"/>
      <c r="J54" s="22"/>
      <c r="K54" s="24"/>
      <c r="L54" s="24" t="s">
        <v>8055</v>
      </c>
      <c r="M54" s="25" t="s">
        <v>2528</v>
      </c>
      <c r="N54" s="22"/>
      <c r="O54" s="22" t="s">
        <v>2529</v>
      </c>
      <c r="P54" s="22" t="str">
        <f>HYPERLINK("https://ceds.ed.gov/cedselementdetails.aspx?termid=21050")</f>
        <v>https://ceds.ed.gov/cedselementdetails.aspx?termid=21050</v>
      </c>
      <c r="Q54" s="22">
        <v>62476</v>
      </c>
    </row>
    <row r="55" spans="1:17" ht="57.6" x14ac:dyDescent="0.3">
      <c r="A55" s="22" t="s">
        <v>7709</v>
      </c>
      <c r="B55" s="22" t="s">
        <v>9193</v>
      </c>
      <c r="C55" s="22" t="s">
        <v>7716</v>
      </c>
      <c r="D55" s="22" t="s">
        <v>7710</v>
      </c>
      <c r="E55" s="22" t="s">
        <v>4982</v>
      </c>
      <c r="F55" s="24" t="s">
        <v>4983</v>
      </c>
      <c r="G55" s="23" t="s">
        <v>32</v>
      </c>
      <c r="H55" s="22"/>
      <c r="I55" s="22"/>
      <c r="J55" s="22" t="s">
        <v>1165</v>
      </c>
      <c r="K55" s="24"/>
      <c r="L55" s="24"/>
      <c r="M55" s="25" t="s">
        <v>4984</v>
      </c>
      <c r="N55" s="22"/>
      <c r="O55" s="22" t="s">
        <v>4982</v>
      </c>
      <c r="P55" s="22" t="str">
        <f>HYPERLINK("https://ceds.ed.gov/cedselementdetails.aspx?termid=21599")</f>
        <v>https://ceds.ed.gov/cedselementdetails.aspx?termid=21599</v>
      </c>
      <c r="Q55" s="22">
        <v>62257</v>
      </c>
    </row>
    <row r="56" spans="1:17" ht="57.6" x14ac:dyDescent="0.3">
      <c r="A56" s="22" t="s">
        <v>7709</v>
      </c>
      <c r="B56" s="22" t="s">
        <v>9193</v>
      </c>
      <c r="C56" s="22" t="s">
        <v>7716</v>
      </c>
      <c r="D56" s="22" t="s">
        <v>7710</v>
      </c>
      <c r="E56" s="22" t="s">
        <v>5372</v>
      </c>
      <c r="F56" s="24" t="s">
        <v>5373</v>
      </c>
      <c r="G56" s="23" t="s">
        <v>32</v>
      </c>
      <c r="H56" s="22"/>
      <c r="I56" s="22"/>
      <c r="J56" s="22" t="s">
        <v>1165</v>
      </c>
      <c r="K56" s="24"/>
      <c r="L56" s="24"/>
      <c r="M56" s="25" t="s">
        <v>5374</v>
      </c>
      <c r="N56" s="22"/>
      <c r="O56" s="22" t="s">
        <v>5372</v>
      </c>
      <c r="P56" s="22" t="str">
        <f>HYPERLINK("https://ceds.ed.gov/cedselementdetails.aspx?termid=21600")</f>
        <v>https://ceds.ed.gov/cedselementdetails.aspx?termid=21600</v>
      </c>
      <c r="Q56" s="22">
        <v>62280</v>
      </c>
    </row>
    <row r="57" spans="1:17" ht="57.6" x14ac:dyDescent="0.3">
      <c r="A57" s="22" t="s">
        <v>7709</v>
      </c>
      <c r="B57" s="22" t="s">
        <v>9193</v>
      </c>
      <c r="C57" s="22" t="s">
        <v>7716</v>
      </c>
      <c r="D57" s="22" t="s">
        <v>7710</v>
      </c>
      <c r="E57" s="22" t="s">
        <v>3228</v>
      </c>
      <c r="F57" s="24" t="s">
        <v>3229</v>
      </c>
      <c r="G57" s="26" t="s">
        <v>3039</v>
      </c>
      <c r="H57" s="22"/>
      <c r="I57" s="22" t="s">
        <v>172</v>
      </c>
      <c r="J57" s="22"/>
      <c r="K57" s="24" t="s">
        <v>7946</v>
      </c>
      <c r="L57" s="24"/>
      <c r="M57" s="25" t="s">
        <v>3230</v>
      </c>
      <c r="N57" s="22"/>
      <c r="O57" s="22" t="s">
        <v>3231</v>
      </c>
      <c r="P57" s="22" t="str">
        <f>HYPERLINK("https://ceds.ed.gov/cedselementdetails.aspx?termid=22905")</f>
        <v>https://ceds.ed.gov/cedselementdetails.aspx?termid=22905</v>
      </c>
      <c r="Q57" s="22">
        <v>63274</v>
      </c>
    </row>
    <row r="58" spans="1:17" ht="72" x14ac:dyDescent="0.3">
      <c r="A58" s="22" t="s">
        <v>7709</v>
      </c>
      <c r="B58" s="22" t="s">
        <v>9193</v>
      </c>
      <c r="C58" s="22" t="s">
        <v>7717</v>
      </c>
      <c r="D58" s="22" t="s">
        <v>7710</v>
      </c>
      <c r="E58" s="22" t="s">
        <v>7159</v>
      </c>
      <c r="F58" s="24" t="s">
        <v>7160</v>
      </c>
      <c r="G58" s="23" t="s">
        <v>32</v>
      </c>
      <c r="H58" s="24" t="s">
        <v>64</v>
      </c>
      <c r="I58" s="22"/>
      <c r="J58" s="22" t="s">
        <v>7161</v>
      </c>
      <c r="K58" s="24"/>
      <c r="L58" s="24"/>
      <c r="M58" s="25" t="s">
        <v>7162</v>
      </c>
      <c r="N58" s="22"/>
      <c r="O58" s="22" t="s">
        <v>7163</v>
      </c>
      <c r="P58" s="22" t="str">
        <f>HYPERLINK("https://ceds.ed.gov/cedselementdetails.aspx?termid=21279")</f>
        <v>https://ceds.ed.gov/cedselementdetails.aspx?termid=21279</v>
      </c>
      <c r="Q58" s="22">
        <v>58710</v>
      </c>
    </row>
    <row r="59" spans="1:17" ht="86.4" x14ac:dyDescent="0.3">
      <c r="A59" s="22" t="s">
        <v>7709</v>
      </c>
      <c r="B59" s="22" t="s">
        <v>9193</v>
      </c>
      <c r="C59" s="22" t="s">
        <v>7717</v>
      </c>
      <c r="D59" s="22" t="s">
        <v>7710</v>
      </c>
      <c r="E59" s="22" t="s">
        <v>7168</v>
      </c>
      <c r="F59" s="24" t="s">
        <v>7169</v>
      </c>
      <c r="G59" s="26" t="s">
        <v>9168</v>
      </c>
      <c r="H59" s="24" t="s">
        <v>64</v>
      </c>
      <c r="I59" s="22"/>
      <c r="J59" s="22" t="s">
        <v>2543</v>
      </c>
      <c r="K59" s="24"/>
      <c r="L59" s="24"/>
      <c r="M59" s="25" t="s">
        <v>7170</v>
      </c>
      <c r="N59" s="22"/>
      <c r="O59" s="22" t="s">
        <v>7171</v>
      </c>
      <c r="P59" s="22" t="str">
        <f>HYPERLINK("https://ceds.ed.gov/cedselementdetails.aspx?termid=21280")</f>
        <v>https://ceds.ed.gov/cedselementdetails.aspx?termid=21280</v>
      </c>
      <c r="Q59" s="22">
        <v>59980</v>
      </c>
    </row>
    <row r="60" spans="1:17" ht="72" x14ac:dyDescent="0.3">
      <c r="A60" s="22" t="s">
        <v>7709</v>
      </c>
      <c r="B60" s="22" t="s">
        <v>9193</v>
      </c>
      <c r="C60" s="22" t="s">
        <v>7717</v>
      </c>
      <c r="D60" s="22" t="s">
        <v>7710</v>
      </c>
      <c r="E60" s="22" t="s">
        <v>5965</v>
      </c>
      <c r="F60" s="24" t="s">
        <v>5966</v>
      </c>
      <c r="G60" s="26" t="s">
        <v>22</v>
      </c>
      <c r="H60" s="24" t="s">
        <v>64</v>
      </c>
      <c r="I60" s="22"/>
      <c r="J60" s="22"/>
      <c r="K60" s="24"/>
      <c r="L60" s="24"/>
      <c r="M60" s="25" t="s">
        <v>5967</v>
      </c>
      <c r="N60" s="22"/>
      <c r="O60" s="22" t="s">
        <v>5968</v>
      </c>
      <c r="P60" s="22" t="str">
        <f>HYPERLINK("https://ceds.ed.gov/cedselementdetails.aspx?termid=21219")</f>
        <v>https://ceds.ed.gov/cedselementdetails.aspx?termid=21219</v>
      </c>
      <c r="Q60" s="22">
        <v>58707</v>
      </c>
    </row>
    <row r="61" spans="1:17" ht="57.6" x14ac:dyDescent="0.3">
      <c r="A61" s="22" t="s">
        <v>7709</v>
      </c>
      <c r="B61" s="22" t="s">
        <v>9193</v>
      </c>
      <c r="C61" s="22" t="s">
        <v>7717</v>
      </c>
      <c r="D61" s="22" t="s">
        <v>7710</v>
      </c>
      <c r="E61" s="22" t="s">
        <v>3228</v>
      </c>
      <c r="F61" s="24" t="s">
        <v>3229</v>
      </c>
      <c r="G61" s="26" t="s">
        <v>3039</v>
      </c>
      <c r="H61" s="22"/>
      <c r="I61" s="22" t="s">
        <v>172</v>
      </c>
      <c r="J61" s="22"/>
      <c r="K61" s="24" t="s">
        <v>7946</v>
      </c>
      <c r="L61" s="24"/>
      <c r="M61" s="25" t="s">
        <v>3230</v>
      </c>
      <c r="N61" s="22"/>
      <c r="O61" s="22" t="s">
        <v>3231</v>
      </c>
      <c r="P61" s="22" t="str">
        <f>HYPERLINK("https://ceds.ed.gov/cedselementdetails.aspx?termid=22905")</f>
        <v>https://ceds.ed.gov/cedselementdetails.aspx?termid=22905</v>
      </c>
      <c r="Q61" s="22">
        <v>63276</v>
      </c>
    </row>
    <row r="62" spans="1:17" ht="57.6" x14ac:dyDescent="0.3">
      <c r="A62" s="22" t="s">
        <v>7709</v>
      </c>
      <c r="B62" s="22" t="s">
        <v>9193</v>
      </c>
      <c r="C62" s="22" t="s">
        <v>7717</v>
      </c>
      <c r="D62" s="22" t="s">
        <v>7710</v>
      </c>
      <c r="E62" s="22" t="s">
        <v>7164</v>
      </c>
      <c r="F62" s="24" t="s">
        <v>7165</v>
      </c>
      <c r="G62" s="26" t="s">
        <v>9167</v>
      </c>
      <c r="H62" s="22"/>
      <c r="I62" s="22"/>
      <c r="J62" s="22"/>
      <c r="K62" s="24"/>
      <c r="L62" s="24"/>
      <c r="M62" s="25" t="s">
        <v>7166</v>
      </c>
      <c r="N62" s="22"/>
      <c r="O62" s="22" t="s">
        <v>7167</v>
      </c>
      <c r="P62" s="22" t="str">
        <f>HYPERLINK("https://ceds.ed.gov/cedselementdetails.aspx?termid=22911")</f>
        <v>https://ceds.ed.gov/cedselementdetails.aspx?termid=22911</v>
      </c>
      <c r="Q62" s="22">
        <v>63277</v>
      </c>
    </row>
    <row r="63" spans="1:17" ht="72" x14ac:dyDescent="0.3">
      <c r="A63" s="22" t="s">
        <v>7709</v>
      </c>
      <c r="B63" s="22" t="s">
        <v>9193</v>
      </c>
      <c r="C63" s="22" t="s">
        <v>7718</v>
      </c>
      <c r="D63" s="22" t="s">
        <v>7710</v>
      </c>
      <c r="E63" s="22" t="s">
        <v>3461</v>
      </c>
      <c r="F63" s="24" t="s">
        <v>3462</v>
      </c>
      <c r="G63" s="23" t="s">
        <v>32</v>
      </c>
      <c r="H63" s="24" t="s">
        <v>64</v>
      </c>
      <c r="I63" s="22" t="s">
        <v>172</v>
      </c>
      <c r="J63" s="22" t="s">
        <v>3463</v>
      </c>
      <c r="K63" s="24" t="s">
        <v>7946</v>
      </c>
      <c r="L63" s="24"/>
      <c r="M63" s="25" t="s">
        <v>3464</v>
      </c>
      <c r="N63" s="22" t="s">
        <v>3465</v>
      </c>
      <c r="O63" s="22" t="s">
        <v>3466</v>
      </c>
      <c r="P63" s="22" t="str">
        <f>HYPERLINK("https://ceds.ed.gov/cedselementdetails.aspx?termid=21088")</f>
        <v>https://ceds.ed.gov/cedselementdetails.aspx?termid=21088</v>
      </c>
      <c r="Q63" s="22">
        <v>61967</v>
      </c>
    </row>
    <row r="64" spans="1:17" ht="72" x14ac:dyDescent="0.3">
      <c r="A64" s="22" t="s">
        <v>7709</v>
      </c>
      <c r="B64" s="22" t="s">
        <v>9193</v>
      </c>
      <c r="C64" s="22" t="s">
        <v>7718</v>
      </c>
      <c r="D64" s="22" t="s">
        <v>7710</v>
      </c>
      <c r="E64" s="22" t="s">
        <v>3467</v>
      </c>
      <c r="F64" s="24" t="s">
        <v>3468</v>
      </c>
      <c r="G64" s="26" t="s">
        <v>8430</v>
      </c>
      <c r="H64" s="24" t="s">
        <v>64</v>
      </c>
      <c r="I64" s="22" t="s">
        <v>172</v>
      </c>
      <c r="J64" s="22"/>
      <c r="K64" s="24" t="s">
        <v>7946</v>
      </c>
      <c r="L64" s="24"/>
      <c r="M64" s="25" t="s">
        <v>3469</v>
      </c>
      <c r="N64" s="22" t="s">
        <v>3470</v>
      </c>
      <c r="O64" s="22" t="s">
        <v>3471</v>
      </c>
      <c r="P64" s="22" t="str">
        <f>HYPERLINK("https://ceds.ed.gov/cedselementdetails.aspx?termid=21089")</f>
        <v>https://ceds.ed.gov/cedselementdetails.aspx?termid=21089</v>
      </c>
      <c r="Q64" s="22">
        <v>61969</v>
      </c>
    </row>
    <row r="65" spans="1:17" ht="57.6" x14ac:dyDescent="0.3">
      <c r="A65" s="22" t="s">
        <v>7709</v>
      </c>
      <c r="B65" s="22" t="s">
        <v>9193</v>
      </c>
      <c r="C65" s="22" t="s">
        <v>7718</v>
      </c>
      <c r="D65" s="22" t="s">
        <v>7710</v>
      </c>
      <c r="E65" s="22" t="s">
        <v>3228</v>
      </c>
      <c r="F65" s="24" t="s">
        <v>3229</v>
      </c>
      <c r="G65" s="26" t="s">
        <v>3039</v>
      </c>
      <c r="H65" s="22"/>
      <c r="I65" s="22" t="s">
        <v>172</v>
      </c>
      <c r="J65" s="22"/>
      <c r="K65" s="24" t="s">
        <v>7946</v>
      </c>
      <c r="L65" s="24"/>
      <c r="M65" s="25" t="s">
        <v>3230</v>
      </c>
      <c r="N65" s="22"/>
      <c r="O65" s="22" t="s">
        <v>3231</v>
      </c>
      <c r="P65" s="22" t="str">
        <f>HYPERLINK("https://ceds.ed.gov/cedselementdetails.aspx?termid=22905")</f>
        <v>https://ceds.ed.gov/cedselementdetails.aspx?termid=22905</v>
      </c>
      <c r="Q65" s="22">
        <v>63275</v>
      </c>
    </row>
    <row r="66" spans="1:17" ht="28.8" x14ac:dyDescent="0.3">
      <c r="A66" s="22" t="s">
        <v>7709</v>
      </c>
      <c r="B66" s="22" t="s">
        <v>9193</v>
      </c>
      <c r="C66" s="22" t="s">
        <v>7719</v>
      </c>
      <c r="D66" s="22" t="s">
        <v>7710</v>
      </c>
      <c r="E66" s="22" t="s">
        <v>5728</v>
      </c>
      <c r="F66" s="24" t="s">
        <v>5729</v>
      </c>
      <c r="G66" s="23" t="s">
        <v>32</v>
      </c>
      <c r="H66" s="22"/>
      <c r="I66" s="22"/>
      <c r="J66" s="22" t="s">
        <v>1301</v>
      </c>
      <c r="K66" s="24"/>
      <c r="L66" s="24" t="s">
        <v>5730</v>
      </c>
      <c r="M66" s="25" t="s">
        <v>5731</v>
      </c>
      <c r="N66" s="22"/>
      <c r="O66" s="22" t="s">
        <v>5732</v>
      </c>
      <c r="P66" s="22" t="str">
        <f>HYPERLINK("https://ceds.ed.gov/cedselementdetails.aspx?termid=22486")</f>
        <v>https://ceds.ed.gov/cedselementdetails.aspx?termid=22486</v>
      </c>
      <c r="Q66" s="22">
        <v>62485</v>
      </c>
    </row>
    <row r="67" spans="1:17" ht="28.8" x14ac:dyDescent="0.3">
      <c r="A67" s="22" t="s">
        <v>7709</v>
      </c>
      <c r="B67" s="22" t="s">
        <v>9193</v>
      </c>
      <c r="C67" s="22" t="s">
        <v>7719</v>
      </c>
      <c r="D67" s="22" t="s">
        <v>7710</v>
      </c>
      <c r="E67" s="22" t="s">
        <v>5733</v>
      </c>
      <c r="F67" s="24" t="s">
        <v>5734</v>
      </c>
      <c r="G67" s="23" t="s">
        <v>32</v>
      </c>
      <c r="H67" s="22"/>
      <c r="I67" s="22"/>
      <c r="J67" s="22" t="s">
        <v>1301</v>
      </c>
      <c r="K67" s="24"/>
      <c r="L67" s="24" t="s">
        <v>5735</v>
      </c>
      <c r="M67" s="25" t="s">
        <v>5736</v>
      </c>
      <c r="N67" s="22"/>
      <c r="O67" s="22" t="s">
        <v>5737</v>
      </c>
      <c r="P67" s="22" t="str">
        <f>HYPERLINK("https://ceds.ed.gov/cedselementdetails.aspx?termid=22485")</f>
        <v>https://ceds.ed.gov/cedselementdetails.aspx?termid=22485</v>
      </c>
      <c r="Q67" s="22">
        <v>62484</v>
      </c>
    </row>
    <row r="68" spans="1:17" ht="28.8" x14ac:dyDescent="0.3">
      <c r="A68" s="22" t="s">
        <v>7709</v>
      </c>
      <c r="B68" s="22" t="s">
        <v>9193</v>
      </c>
      <c r="C68" s="22" t="s">
        <v>7719</v>
      </c>
      <c r="D68" s="22" t="s">
        <v>7710</v>
      </c>
      <c r="E68" s="22" t="s">
        <v>5738</v>
      </c>
      <c r="F68" s="24" t="s">
        <v>5739</v>
      </c>
      <c r="G68" s="23" t="s">
        <v>32</v>
      </c>
      <c r="H68" s="22"/>
      <c r="I68" s="22"/>
      <c r="J68" s="22" t="s">
        <v>1301</v>
      </c>
      <c r="K68" s="24"/>
      <c r="L68" s="24" t="s">
        <v>5740</v>
      </c>
      <c r="M68" s="25" t="s">
        <v>5741</v>
      </c>
      <c r="N68" s="22"/>
      <c r="O68" s="22" t="s">
        <v>5742</v>
      </c>
      <c r="P68" s="22" t="str">
        <f>HYPERLINK("https://ceds.ed.gov/cedselementdetails.aspx?termid=22487")</f>
        <v>https://ceds.ed.gov/cedselementdetails.aspx?termid=22487</v>
      </c>
      <c r="Q68" s="22">
        <v>62486</v>
      </c>
    </row>
    <row r="69" spans="1:17" ht="129.6" x14ac:dyDescent="0.3">
      <c r="A69" s="22" t="s">
        <v>7709</v>
      </c>
      <c r="B69" s="22" t="s">
        <v>9193</v>
      </c>
      <c r="C69" s="22" t="s">
        <v>7719</v>
      </c>
      <c r="D69" s="22" t="s">
        <v>7710</v>
      </c>
      <c r="E69" s="22" t="s">
        <v>5743</v>
      </c>
      <c r="F69" s="24" t="s">
        <v>5744</v>
      </c>
      <c r="G69" s="23" t="s">
        <v>32</v>
      </c>
      <c r="H69" s="24" t="s">
        <v>4119</v>
      </c>
      <c r="I69" s="22"/>
      <c r="J69" s="22" t="s">
        <v>132</v>
      </c>
      <c r="K69" s="24"/>
      <c r="L69" s="24"/>
      <c r="M69" s="25" t="s">
        <v>5745</v>
      </c>
      <c r="N69" s="22"/>
      <c r="O69" s="22" t="s">
        <v>5746</v>
      </c>
      <c r="P69" s="22" t="str">
        <f>HYPERLINK("https://ceds.ed.gov/cedselementdetails.aspx?termid=21206")</f>
        <v>https://ceds.ed.gov/cedselementdetails.aspx?termid=21206</v>
      </c>
      <c r="Q69" s="22">
        <v>62482</v>
      </c>
    </row>
    <row r="70" spans="1:17" ht="115.2" x14ac:dyDescent="0.3">
      <c r="A70" s="22" t="s">
        <v>7709</v>
      </c>
      <c r="B70" s="22" t="s">
        <v>9193</v>
      </c>
      <c r="C70" s="22" t="s">
        <v>7719</v>
      </c>
      <c r="D70" s="22" t="s">
        <v>7710</v>
      </c>
      <c r="E70" s="22" t="s">
        <v>5747</v>
      </c>
      <c r="F70" s="24" t="s">
        <v>5748</v>
      </c>
      <c r="G70" s="26" t="s">
        <v>9055</v>
      </c>
      <c r="H70" s="24" t="s">
        <v>5751</v>
      </c>
      <c r="I70" s="22"/>
      <c r="J70" s="22" t="s">
        <v>85</v>
      </c>
      <c r="K70" s="24"/>
      <c r="L70" s="24"/>
      <c r="M70" s="25" t="s">
        <v>5749</v>
      </c>
      <c r="N70" s="22"/>
      <c r="O70" s="22" t="s">
        <v>5750</v>
      </c>
      <c r="P70" s="22" t="str">
        <f>HYPERLINK("https://ceds.ed.gov/cedselementdetails.aspx?termid=21627")</f>
        <v>https://ceds.ed.gov/cedselementdetails.aspx?termid=21627</v>
      </c>
      <c r="Q70" s="22">
        <v>62483</v>
      </c>
    </row>
    <row r="71" spans="1:17" ht="187.2" x14ac:dyDescent="0.3">
      <c r="A71" s="22" t="s">
        <v>7709</v>
      </c>
      <c r="B71" s="22" t="s">
        <v>9193</v>
      </c>
      <c r="C71" s="22" t="s">
        <v>7720</v>
      </c>
      <c r="D71" s="22" t="s">
        <v>7710</v>
      </c>
      <c r="E71" s="22" t="s">
        <v>3277</v>
      </c>
      <c r="F71" s="24" t="s">
        <v>3278</v>
      </c>
      <c r="G71" s="26" t="s">
        <v>8811</v>
      </c>
      <c r="H71" s="22" t="s">
        <v>109</v>
      </c>
      <c r="I71" s="22"/>
      <c r="J71" s="22"/>
      <c r="K71" s="24"/>
      <c r="L71" s="24"/>
      <c r="M71" s="25" t="s">
        <v>3279</v>
      </c>
      <c r="N71" s="22"/>
      <c r="O71" s="22" t="s">
        <v>3280</v>
      </c>
      <c r="P71" s="22" t="str">
        <f>HYPERLINK("https://ceds.ed.gov/cedselementdetails.aspx?termid=21829")</f>
        <v>https://ceds.ed.gov/cedselementdetails.aspx?termid=21829</v>
      </c>
      <c r="Q71" s="22">
        <v>60285</v>
      </c>
    </row>
    <row r="72" spans="1:17" ht="28.8" x14ac:dyDescent="0.3">
      <c r="A72" s="22" t="s">
        <v>7709</v>
      </c>
      <c r="B72" s="22" t="s">
        <v>9193</v>
      </c>
      <c r="C72" s="22" t="s">
        <v>7720</v>
      </c>
      <c r="D72" s="22" t="s">
        <v>7710</v>
      </c>
      <c r="E72" s="22" t="s">
        <v>3416</v>
      </c>
      <c r="F72" s="24" t="s">
        <v>3417</v>
      </c>
      <c r="G72" s="23" t="s">
        <v>32</v>
      </c>
      <c r="H72" s="24" t="s">
        <v>2063</v>
      </c>
      <c r="I72" s="22"/>
      <c r="J72" s="22" t="s">
        <v>1844</v>
      </c>
      <c r="K72" s="24"/>
      <c r="L72" s="24"/>
      <c r="M72" s="25" t="s">
        <v>3418</v>
      </c>
      <c r="N72" s="22"/>
      <c r="O72" s="22" t="s">
        <v>3419</v>
      </c>
      <c r="P72" s="22" t="str">
        <f>HYPERLINK("https://ceds.ed.gov/cedselementdetails.aspx?termid=21864")</f>
        <v>https://ceds.ed.gov/cedselementdetails.aspx?termid=21864</v>
      </c>
      <c r="Q72" s="22">
        <v>60315</v>
      </c>
    </row>
    <row r="73" spans="1:17" ht="28.8" x14ac:dyDescent="0.3">
      <c r="A73" s="22" t="s">
        <v>7709</v>
      </c>
      <c r="B73" s="22" t="s">
        <v>9193</v>
      </c>
      <c r="C73" s="22" t="s">
        <v>7720</v>
      </c>
      <c r="D73" s="22" t="s">
        <v>7710</v>
      </c>
      <c r="E73" s="22" t="s">
        <v>6754</v>
      </c>
      <c r="F73" s="24" t="s">
        <v>6755</v>
      </c>
      <c r="G73" s="23" t="s">
        <v>32</v>
      </c>
      <c r="H73" s="24" t="s">
        <v>2063</v>
      </c>
      <c r="I73" s="22" t="s">
        <v>172</v>
      </c>
      <c r="J73" s="22" t="s">
        <v>430</v>
      </c>
      <c r="K73" s="24" t="s">
        <v>8050</v>
      </c>
      <c r="L73" s="24"/>
      <c r="M73" s="25" t="s">
        <v>6756</v>
      </c>
      <c r="N73" s="22"/>
      <c r="O73" s="22" t="s">
        <v>6757</v>
      </c>
      <c r="P73" s="22" t="str">
        <f>HYPERLINK("https://ceds.ed.gov/cedselementdetails.aspx?termid=21986")</f>
        <v>https://ceds.ed.gov/cedselementdetails.aspx?termid=21986</v>
      </c>
      <c r="Q73" s="22">
        <v>59436</v>
      </c>
    </row>
    <row r="74" spans="1:17" ht="28.8" x14ac:dyDescent="0.3">
      <c r="A74" s="22" t="s">
        <v>7709</v>
      </c>
      <c r="B74" s="22" t="s">
        <v>9193</v>
      </c>
      <c r="C74" s="22" t="s">
        <v>7720</v>
      </c>
      <c r="D74" s="22" t="s">
        <v>7710</v>
      </c>
      <c r="E74" s="22" t="s">
        <v>6742</v>
      </c>
      <c r="F74" s="24" t="s">
        <v>6743</v>
      </c>
      <c r="G74" s="23" t="s">
        <v>32</v>
      </c>
      <c r="H74" s="24" t="s">
        <v>2063</v>
      </c>
      <c r="I74" s="22" t="s">
        <v>172</v>
      </c>
      <c r="J74" s="22" t="s">
        <v>430</v>
      </c>
      <c r="K74" s="24" t="s">
        <v>8050</v>
      </c>
      <c r="L74" s="24"/>
      <c r="M74" s="25" t="s">
        <v>6744</v>
      </c>
      <c r="N74" s="22"/>
      <c r="O74" s="22" t="s">
        <v>6745</v>
      </c>
      <c r="P74" s="22" t="str">
        <f>HYPERLINK("https://ceds.ed.gov/cedselementdetails.aspx?termid=21988")</f>
        <v>https://ceds.ed.gov/cedselementdetails.aspx?termid=21988</v>
      </c>
      <c r="Q74" s="22">
        <v>59437</v>
      </c>
    </row>
    <row r="75" spans="1:17" ht="409.6" x14ac:dyDescent="0.3">
      <c r="A75" s="22" t="s">
        <v>7709</v>
      </c>
      <c r="B75" s="22" t="s">
        <v>9193</v>
      </c>
      <c r="C75" s="22" t="s">
        <v>7720</v>
      </c>
      <c r="D75" s="22" t="s">
        <v>7710</v>
      </c>
      <c r="E75" s="22" t="s">
        <v>4097</v>
      </c>
      <c r="F75" s="24" t="s">
        <v>4098</v>
      </c>
      <c r="G75" s="26" t="s">
        <v>8904</v>
      </c>
      <c r="H75" s="24" t="s">
        <v>3452</v>
      </c>
      <c r="I75" s="22"/>
      <c r="J75" s="22"/>
      <c r="K75" s="24"/>
      <c r="L75" s="24"/>
      <c r="M75" s="25" t="s">
        <v>4099</v>
      </c>
      <c r="N75" s="22"/>
      <c r="O75" s="22" t="s">
        <v>4100</v>
      </c>
      <c r="P75" s="22" t="str">
        <f>HYPERLINK("https://ceds.ed.gov/cedselementdetails.aspx?termid=21866")</f>
        <v>https://ceds.ed.gov/cedselementdetails.aspx?termid=21866</v>
      </c>
      <c r="Q75" s="22">
        <v>60317</v>
      </c>
    </row>
    <row r="76" spans="1:17" ht="409.6" x14ac:dyDescent="0.3">
      <c r="A76" s="22" t="s">
        <v>7709</v>
      </c>
      <c r="B76" s="22" t="s">
        <v>9193</v>
      </c>
      <c r="C76" s="22" t="s">
        <v>7720</v>
      </c>
      <c r="D76" s="22" t="s">
        <v>7710</v>
      </c>
      <c r="E76" s="22" t="s">
        <v>5777</v>
      </c>
      <c r="F76" s="24" t="s">
        <v>5778</v>
      </c>
      <c r="G76" s="26" t="s">
        <v>8904</v>
      </c>
      <c r="H76" s="24" t="s">
        <v>3452</v>
      </c>
      <c r="I76" s="22"/>
      <c r="J76" s="22"/>
      <c r="K76" s="24"/>
      <c r="L76" s="24"/>
      <c r="M76" s="25" t="s">
        <v>5779</v>
      </c>
      <c r="N76" s="22"/>
      <c r="O76" s="22" t="s">
        <v>5780</v>
      </c>
      <c r="P76" s="22" t="str">
        <f>HYPERLINK("https://ceds.ed.gov/cedselementdetails.aspx?termid=21867")</f>
        <v>https://ceds.ed.gov/cedselementdetails.aspx?termid=21867</v>
      </c>
      <c r="Q76" s="22">
        <v>60318</v>
      </c>
    </row>
    <row r="77" spans="1:17" ht="57.6" x14ac:dyDescent="0.3">
      <c r="A77" s="22" t="s">
        <v>7709</v>
      </c>
      <c r="B77" s="22" t="s">
        <v>9193</v>
      </c>
      <c r="C77" s="22" t="s">
        <v>7720</v>
      </c>
      <c r="D77" s="22" t="s">
        <v>7710</v>
      </c>
      <c r="E77" s="22" t="s">
        <v>3138</v>
      </c>
      <c r="F77" s="24" t="s">
        <v>3139</v>
      </c>
      <c r="G77" s="26" t="s">
        <v>8599</v>
      </c>
      <c r="H77" s="22" t="s">
        <v>207</v>
      </c>
      <c r="I77" s="22"/>
      <c r="J77" s="22"/>
      <c r="K77" s="24"/>
      <c r="L77" s="24"/>
      <c r="M77" s="25" t="s">
        <v>3140</v>
      </c>
      <c r="N77" s="22"/>
      <c r="O77" s="22" t="s">
        <v>3141</v>
      </c>
      <c r="P77" s="22" t="str">
        <f>HYPERLINK("https://ceds.ed.gov/cedselementdetails.aspx?termid=21868")</f>
        <v>https://ceds.ed.gov/cedselementdetails.aspx?termid=21868</v>
      </c>
      <c r="Q77" s="22">
        <v>60319</v>
      </c>
    </row>
    <row r="78" spans="1:17" ht="28.8" x14ac:dyDescent="0.3">
      <c r="A78" s="22" t="s">
        <v>7709</v>
      </c>
      <c r="B78" s="22" t="s">
        <v>9193</v>
      </c>
      <c r="C78" s="22" t="s">
        <v>7720</v>
      </c>
      <c r="D78" s="22" t="s">
        <v>7710</v>
      </c>
      <c r="E78" s="22" t="s">
        <v>3380</v>
      </c>
      <c r="F78" s="24" t="s">
        <v>3381</v>
      </c>
      <c r="G78" s="23" t="s">
        <v>32</v>
      </c>
      <c r="H78" s="24" t="s">
        <v>2063</v>
      </c>
      <c r="I78" s="22"/>
      <c r="J78" s="22" t="s">
        <v>3382</v>
      </c>
      <c r="K78" s="24"/>
      <c r="L78" s="24"/>
      <c r="M78" s="25" t="s">
        <v>3383</v>
      </c>
      <c r="N78" s="22"/>
      <c r="O78" s="22" t="s">
        <v>3384</v>
      </c>
      <c r="P78" s="22" t="str">
        <f>HYPERLINK("https://ceds.ed.gov/cedselementdetails.aspx?termid=21824")</f>
        <v>https://ceds.ed.gov/cedselementdetails.aspx?termid=21824</v>
      </c>
      <c r="Q78" s="22">
        <v>59981</v>
      </c>
    </row>
    <row r="79" spans="1:17" ht="115.2" x14ac:dyDescent="0.3">
      <c r="A79" s="22" t="s">
        <v>7709</v>
      </c>
      <c r="B79" s="22" t="s">
        <v>9193</v>
      </c>
      <c r="C79" s="22" t="s">
        <v>7720</v>
      </c>
      <c r="D79" s="22" t="s">
        <v>7710</v>
      </c>
      <c r="E79" s="22" t="s">
        <v>2127</v>
      </c>
      <c r="F79" s="24" t="s">
        <v>2128</v>
      </c>
      <c r="G79" s="26" t="s">
        <v>8730</v>
      </c>
      <c r="H79" s="22"/>
      <c r="I79" s="22"/>
      <c r="J79" s="22"/>
      <c r="K79" s="24"/>
      <c r="L79" s="24"/>
      <c r="M79" s="25" t="s">
        <v>2129</v>
      </c>
      <c r="N79" s="22"/>
      <c r="O79" s="22" t="s">
        <v>2130</v>
      </c>
      <c r="P79" s="22" t="str">
        <f>HYPERLINK("https://ceds.ed.gov/cedselementdetails.aspx?termid=22614")</f>
        <v>https://ceds.ed.gov/cedselementdetails.aspx?termid=22614</v>
      </c>
      <c r="Q79" s="22">
        <v>62129</v>
      </c>
    </row>
    <row r="80" spans="1:17" ht="43.2" x14ac:dyDescent="0.3">
      <c r="A80" s="22" t="s">
        <v>7709</v>
      </c>
      <c r="B80" s="22" t="s">
        <v>9193</v>
      </c>
      <c r="C80" s="22" t="s">
        <v>7720</v>
      </c>
      <c r="D80" s="22" t="s">
        <v>7710</v>
      </c>
      <c r="E80" s="22" t="s">
        <v>4622</v>
      </c>
      <c r="F80" s="24" t="s">
        <v>4623</v>
      </c>
      <c r="G80" s="26" t="s">
        <v>22</v>
      </c>
      <c r="H80" s="22"/>
      <c r="I80" s="22"/>
      <c r="J80" s="22"/>
      <c r="K80" s="24"/>
      <c r="L80" s="24"/>
      <c r="M80" s="25" t="s">
        <v>4624</v>
      </c>
      <c r="N80" s="22"/>
      <c r="O80" s="22" t="s">
        <v>4625</v>
      </c>
      <c r="P80" s="22" t="str">
        <f>HYPERLINK("https://ceds.ed.gov/cedselementdetails.aspx?termid=22615")</f>
        <v>https://ceds.ed.gov/cedselementdetails.aspx?termid=22615</v>
      </c>
      <c r="Q80" s="22">
        <v>62138</v>
      </c>
    </row>
    <row r="81" spans="1:17" ht="57.6" x14ac:dyDescent="0.3">
      <c r="A81" s="22" t="s">
        <v>7709</v>
      </c>
      <c r="B81" s="22" t="s">
        <v>9193</v>
      </c>
      <c r="C81" s="22" t="s">
        <v>7720</v>
      </c>
      <c r="D81" s="22" t="s">
        <v>7741</v>
      </c>
      <c r="E81" s="22" t="s">
        <v>227</v>
      </c>
      <c r="F81" s="24" t="s">
        <v>228</v>
      </c>
      <c r="G81" s="26" t="s">
        <v>8396</v>
      </c>
      <c r="H81" s="22"/>
      <c r="I81" s="22" t="s">
        <v>172</v>
      </c>
      <c r="J81" s="22"/>
      <c r="K81" s="24" t="s">
        <v>7946</v>
      </c>
      <c r="L81" s="24"/>
      <c r="M81" s="25" t="s">
        <v>230</v>
      </c>
      <c r="N81" s="22"/>
      <c r="O81" s="22" t="s">
        <v>231</v>
      </c>
      <c r="P81" s="22" t="str">
        <f>HYPERLINK("https://ceds.ed.gov/cedselementdetails.aspx?termid=21012")</f>
        <v>https://ceds.ed.gov/cedselementdetails.aspx?termid=21012</v>
      </c>
      <c r="Q81" s="22">
        <v>63824</v>
      </c>
    </row>
    <row r="82" spans="1:17" ht="28.8" x14ac:dyDescent="0.3">
      <c r="A82" s="22" t="s">
        <v>7709</v>
      </c>
      <c r="B82" s="22" t="s">
        <v>9193</v>
      </c>
      <c r="C82" s="22" t="s">
        <v>7721</v>
      </c>
      <c r="D82" s="22" t="s">
        <v>7710</v>
      </c>
      <c r="E82" s="22" t="s">
        <v>5663</v>
      </c>
      <c r="F82" s="24" t="s">
        <v>5664</v>
      </c>
      <c r="G82" s="23" t="s">
        <v>32</v>
      </c>
      <c r="H82" s="24" t="s">
        <v>2487</v>
      </c>
      <c r="I82" s="22"/>
      <c r="J82" s="22" t="s">
        <v>118</v>
      </c>
      <c r="K82" s="24"/>
      <c r="L82" s="24"/>
      <c r="M82" s="25" t="s">
        <v>5665</v>
      </c>
      <c r="N82" s="22"/>
      <c r="O82" s="22" t="s">
        <v>5666</v>
      </c>
      <c r="P82" s="22" t="str">
        <f>HYPERLINK("https://ceds.ed.gov/cedselementdetails.aspx?termid=21350")</f>
        <v>https://ceds.ed.gov/cedselementdetails.aspx?termid=21350</v>
      </c>
      <c r="Q82" s="22">
        <v>58714</v>
      </c>
    </row>
    <row r="83" spans="1:17" ht="100.8" x14ac:dyDescent="0.3">
      <c r="A83" s="22" t="s">
        <v>7709</v>
      </c>
      <c r="B83" s="22" t="s">
        <v>9193</v>
      </c>
      <c r="C83" s="22" t="s">
        <v>7721</v>
      </c>
      <c r="D83" s="22" t="s">
        <v>7710</v>
      </c>
      <c r="E83" s="22" t="s">
        <v>6700</v>
      </c>
      <c r="F83" s="24" t="s">
        <v>6701</v>
      </c>
      <c r="G83" s="26" t="s">
        <v>9139</v>
      </c>
      <c r="H83" s="24" t="s">
        <v>3059</v>
      </c>
      <c r="I83" s="22"/>
      <c r="J83" s="22"/>
      <c r="K83" s="24"/>
      <c r="L83" s="24"/>
      <c r="M83" s="25" t="s">
        <v>6702</v>
      </c>
      <c r="N83" s="22"/>
      <c r="O83" s="22" t="s">
        <v>6703</v>
      </c>
      <c r="P83" s="22" t="str">
        <f>HYPERLINK("https://ceds.ed.gov/cedselementdetails.aspx?termid=21352")</f>
        <v>https://ceds.ed.gov/cedselementdetails.aspx?termid=21352</v>
      </c>
      <c r="Q83" s="22">
        <v>58715</v>
      </c>
    </row>
    <row r="84" spans="1:17" ht="57.6" x14ac:dyDescent="0.3">
      <c r="A84" s="22" t="s">
        <v>7709</v>
      </c>
      <c r="B84" s="22" t="s">
        <v>9193</v>
      </c>
      <c r="C84" s="22" t="s">
        <v>7721</v>
      </c>
      <c r="D84" s="22" t="s">
        <v>7710</v>
      </c>
      <c r="E84" s="22" t="s">
        <v>4376</v>
      </c>
      <c r="F84" s="24" t="s">
        <v>4377</v>
      </c>
      <c r="G84" s="23" t="s">
        <v>32</v>
      </c>
      <c r="H84" s="24" t="s">
        <v>3059</v>
      </c>
      <c r="I84" s="22"/>
      <c r="J84" s="22" t="s">
        <v>1518</v>
      </c>
      <c r="K84" s="24"/>
      <c r="L84" s="24"/>
      <c r="M84" s="25" t="s">
        <v>4378</v>
      </c>
      <c r="N84" s="22"/>
      <c r="O84" s="22" t="s">
        <v>4379</v>
      </c>
      <c r="P84" s="22" t="str">
        <f>HYPERLINK("https://ceds.ed.gov/cedselementdetails.aspx?termid=21353")</f>
        <v>https://ceds.ed.gov/cedselementdetails.aspx?termid=21353</v>
      </c>
      <c r="Q84" s="22">
        <v>58716</v>
      </c>
    </row>
    <row r="85" spans="1:17" ht="57.6" x14ac:dyDescent="0.3">
      <c r="A85" s="22" t="s">
        <v>7709</v>
      </c>
      <c r="B85" s="22" t="s">
        <v>9193</v>
      </c>
      <c r="C85" s="22" t="s">
        <v>7721</v>
      </c>
      <c r="D85" s="22" t="s">
        <v>7710</v>
      </c>
      <c r="E85" s="22" t="s">
        <v>3055</v>
      </c>
      <c r="F85" s="24" t="s">
        <v>3056</v>
      </c>
      <c r="G85" s="23" t="s">
        <v>32</v>
      </c>
      <c r="H85" s="24" t="s">
        <v>3059</v>
      </c>
      <c r="I85" s="22"/>
      <c r="J85" s="22" t="s">
        <v>317</v>
      </c>
      <c r="K85" s="24"/>
      <c r="L85" s="24"/>
      <c r="M85" s="25" t="s">
        <v>3057</v>
      </c>
      <c r="N85" s="22"/>
      <c r="O85" s="22" t="s">
        <v>3058</v>
      </c>
      <c r="P85" s="22" t="str">
        <f>HYPERLINK("https://ceds.ed.gov/cedselementdetails.aspx?termid=21354")</f>
        <v>https://ceds.ed.gov/cedselementdetails.aspx?termid=21354</v>
      </c>
      <c r="Q85" s="22">
        <v>58717</v>
      </c>
    </row>
    <row r="86" spans="1:17" ht="115.2" x14ac:dyDescent="0.3">
      <c r="A86" s="22" t="s">
        <v>7709</v>
      </c>
      <c r="B86" s="22" t="s">
        <v>9193</v>
      </c>
      <c r="C86" s="22" t="s">
        <v>7721</v>
      </c>
      <c r="D86" s="22" t="s">
        <v>7710</v>
      </c>
      <c r="E86" s="22" t="s">
        <v>3289</v>
      </c>
      <c r="F86" s="24" t="s">
        <v>8085</v>
      </c>
      <c r="G86" s="26" t="s">
        <v>8813</v>
      </c>
      <c r="H86" s="24" t="s">
        <v>3059</v>
      </c>
      <c r="I86" s="22"/>
      <c r="J86" s="22"/>
      <c r="K86" s="24"/>
      <c r="L86" s="24"/>
      <c r="M86" s="25" t="s">
        <v>3290</v>
      </c>
      <c r="N86" s="22"/>
      <c r="O86" s="22" t="s">
        <v>3291</v>
      </c>
      <c r="P86" s="22" t="str">
        <f>HYPERLINK("https://ceds.ed.gov/cedselementdetails.aspx?termid=21355")</f>
        <v>https://ceds.ed.gov/cedselementdetails.aspx?termid=21355</v>
      </c>
      <c r="Q86" s="22">
        <v>58718</v>
      </c>
    </row>
    <row r="87" spans="1:17" ht="43.2" x14ac:dyDescent="0.3">
      <c r="A87" s="22" t="s">
        <v>7709</v>
      </c>
      <c r="B87" s="22" t="s">
        <v>9193</v>
      </c>
      <c r="C87" s="22" t="s">
        <v>7721</v>
      </c>
      <c r="D87" s="22" t="s">
        <v>7710</v>
      </c>
      <c r="E87" s="22" t="s">
        <v>5591</v>
      </c>
      <c r="F87" s="24" t="s">
        <v>5592</v>
      </c>
      <c r="G87" s="23" t="s">
        <v>32</v>
      </c>
      <c r="H87" s="22" t="s">
        <v>109</v>
      </c>
      <c r="I87" s="22"/>
      <c r="J87" s="22" t="s">
        <v>317</v>
      </c>
      <c r="K87" s="24"/>
      <c r="L87" s="24"/>
      <c r="M87" s="25" t="s">
        <v>5593</v>
      </c>
      <c r="N87" s="22"/>
      <c r="O87" s="22" t="s">
        <v>5594</v>
      </c>
      <c r="P87" s="22" t="str">
        <f>HYPERLINK("https://ceds.ed.gov/cedselementdetails.aspx?termid=21844")</f>
        <v>https://ceds.ed.gov/cedselementdetails.aspx?termid=21844</v>
      </c>
      <c r="Q87" s="22">
        <v>60298</v>
      </c>
    </row>
    <row r="88" spans="1:17" ht="57.6" x14ac:dyDescent="0.3">
      <c r="A88" s="22" t="s">
        <v>7709</v>
      </c>
      <c r="B88" s="22" t="s">
        <v>9193</v>
      </c>
      <c r="C88" s="22" t="s">
        <v>7721</v>
      </c>
      <c r="D88" s="22" t="s">
        <v>7710</v>
      </c>
      <c r="E88" s="22" t="s">
        <v>3439</v>
      </c>
      <c r="F88" s="24" t="s">
        <v>8100</v>
      </c>
      <c r="G88" s="23" t="s">
        <v>32</v>
      </c>
      <c r="H88" s="24" t="s">
        <v>3363</v>
      </c>
      <c r="I88" s="22"/>
      <c r="J88" s="22" t="s">
        <v>317</v>
      </c>
      <c r="K88" s="24"/>
      <c r="L88" s="24"/>
      <c r="M88" s="25" t="s">
        <v>3440</v>
      </c>
      <c r="N88" s="22"/>
      <c r="O88" s="22" t="s">
        <v>3441</v>
      </c>
      <c r="P88" s="22" t="str">
        <f>HYPERLINK("https://ceds.ed.gov/cedselementdetails.aspx?termid=21626")</f>
        <v>https://ceds.ed.gov/cedselementdetails.aspx?termid=21626</v>
      </c>
      <c r="Q88" s="22">
        <v>58723</v>
      </c>
    </row>
    <row r="89" spans="1:17" ht="57.6" x14ac:dyDescent="0.3">
      <c r="A89" s="22" t="s">
        <v>7709</v>
      </c>
      <c r="B89" s="22" t="s">
        <v>9193</v>
      </c>
      <c r="C89" s="22" t="s">
        <v>7721</v>
      </c>
      <c r="D89" s="22" t="s">
        <v>7710</v>
      </c>
      <c r="E89" s="22" t="s">
        <v>3360</v>
      </c>
      <c r="F89" s="24" t="s">
        <v>8095</v>
      </c>
      <c r="G89" s="23" t="s">
        <v>32</v>
      </c>
      <c r="H89" s="24" t="s">
        <v>3363</v>
      </c>
      <c r="I89" s="22"/>
      <c r="J89" s="22" t="s">
        <v>317</v>
      </c>
      <c r="K89" s="24"/>
      <c r="L89" s="24"/>
      <c r="M89" s="25" t="s">
        <v>3361</v>
      </c>
      <c r="N89" s="22"/>
      <c r="O89" s="22" t="s">
        <v>3362</v>
      </c>
      <c r="P89" s="22" t="str">
        <f>HYPERLINK("https://ceds.ed.gov/cedselementdetails.aspx?termid=22189")</f>
        <v>https://ceds.ed.gov/cedselementdetails.aspx?termid=22189</v>
      </c>
      <c r="Q89" s="22">
        <v>59630</v>
      </c>
    </row>
    <row r="90" spans="1:17" ht="115.2" x14ac:dyDescent="0.3">
      <c r="A90" s="22" t="s">
        <v>7709</v>
      </c>
      <c r="B90" s="22" t="s">
        <v>9193</v>
      </c>
      <c r="C90" s="22" t="s">
        <v>7721</v>
      </c>
      <c r="D90" s="22" t="s">
        <v>7710</v>
      </c>
      <c r="E90" s="22" t="s">
        <v>6806</v>
      </c>
      <c r="F90" s="24" t="s">
        <v>6807</v>
      </c>
      <c r="G90" s="26" t="s">
        <v>9145</v>
      </c>
      <c r="H90" s="22" t="s">
        <v>109</v>
      </c>
      <c r="I90" s="22"/>
      <c r="J90" s="22"/>
      <c r="K90" s="24"/>
      <c r="L90" s="24"/>
      <c r="M90" s="25" t="s">
        <v>6808</v>
      </c>
      <c r="N90" s="22"/>
      <c r="O90" s="22" t="s">
        <v>6809</v>
      </c>
      <c r="P90" s="22" t="str">
        <f>HYPERLINK("https://ceds.ed.gov/cedselementdetails.aspx?termid=21852")</f>
        <v>https://ceds.ed.gov/cedselementdetails.aspx?termid=21852</v>
      </c>
      <c r="Q90" s="22">
        <v>60305</v>
      </c>
    </row>
    <row r="91" spans="1:17" ht="244.8" x14ac:dyDescent="0.3">
      <c r="A91" s="22" t="s">
        <v>7709</v>
      </c>
      <c r="B91" s="22" t="s">
        <v>9193</v>
      </c>
      <c r="C91" s="22" t="s">
        <v>7721</v>
      </c>
      <c r="D91" s="22" t="s">
        <v>7710</v>
      </c>
      <c r="E91" s="22" t="s">
        <v>3447</v>
      </c>
      <c r="F91" s="24" t="s">
        <v>3448</v>
      </c>
      <c r="G91" s="26" t="s">
        <v>8834</v>
      </c>
      <c r="H91" s="24" t="s">
        <v>3452</v>
      </c>
      <c r="I91" s="22"/>
      <c r="J91" s="22"/>
      <c r="K91" s="24"/>
      <c r="L91" s="24"/>
      <c r="M91" s="25" t="s">
        <v>3449</v>
      </c>
      <c r="N91" s="22" t="s">
        <v>3450</v>
      </c>
      <c r="O91" s="22" t="s">
        <v>3451</v>
      </c>
      <c r="P91" s="22" t="str">
        <f>HYPERLINK("https://ceds.ed.gov/cedselementdetails.aspx?termid=21862")</f>
        <v>https://ceds.ed.gov/cedselementdetails.aspx?termid=21862</v>
      </c>
      <c r="Q91" s="22">
        <v>60313</v>
      </c>
    </row>
    <row r="92" spans="1:17" ht="28.8" x14ac:dyDescent="0.3">
      <c r="A92" s="22" t="s">
        <v>7709</v>
      </c>
      <c r="B92" s="22" t="s">
        <v>9193</v>
      </c>
      <c r="C92" s="22" t="s">
        <v>7721</v>
      </c>
      <c r="D92" s="22" t="s">
        <v>7741</v>
      </c>
      <c r="E92" s="22" t="s">
        <v>7947</v>
      </c>
      <c r="F92" s="24" t="s">
        <v>7948</v>
      </c>
      <c r="G92" s="23" t="s">
        <v>32</v>
      </c>
      <c r="H92" s="22"/>
      <c r="I92" s="22" t="s">
        <v>167</v>
      </c>
      <c r="J92" s="22" t="s">
        <v>148</v>
      </c>
      <c r="K92" s="24" t="s">
        <v>7949</v>
      </c>
      <c r="L92" s="24"/>
      <c r="M92" s="25" t="s">
        <v>8351</v>
      </c>
      <c r="N92" s="22"/>
      <c r="O92" s="22" t="s">
        <v>7950</v>
      </c>
      <c r="P92" s="22" t="str">
        <f>HYPERLINK("https://ceds.ed.gov/cedselementdetails.aspx?termid=22972")</f>
        <v>https://ceds.ed.gov/cedselementdetails.aspx?termid=22972</v>
      </c>
      <c r="Q92" s="22">
        <v>63775</v>
      </c>
    </row>
    <row r="93" spans="1:17" ht="43.2" x14ac:dyDescent="0.3">
      <c r="A93" s="22" t="s">
        <v>7709</v>
      </c>
      <c r="B93" s="22" t="s">
        <v>9193</v>
      </c>
      <c r="C93" s="22" t="s">
        <v>7721</v>
      </c>
      <c r="D93" s="22" t="s">
        <v>7741</v>
      </c>
      <c r="E93" s="22" t="s">
        <v>7951</v>
      </c>
      <c r="F93" s="24" t="s">
        <v>7952</v>
      </c>
      <c r="G93" s="26" t="s">
        <v>8376</v>
      </c>
      <c r="H93" s="22"/>
      <c r="I93" s="22" t="s">
        <v>167</v>
      </c>
      <c r="J93" s="22" t="s">
        <v>2</v>
      </c>
      <c r="K93" s="24" t="s">
        <v>7949</v>
      </c>
      <c r="L93" s="24"/>
      <c r="M93" s="25" t="s">
        <v>8352</v>
      </c>
      <c r="N93" s="22"/>
      <c r="O93" s="22" t="s">
        <v>7953</v>
      </c>
      <c r="P93" s="22" t="str">
        <f>HYPERLINK("https://ceds.ed.gov/cedselementdetails.aspx?termid=22973")</f>
        <v>https://ceds.ed.gov/cedselementdetails.aspx?termid=22973</v>
      </c>
      <c r="Q93" s="22">
        <v>63776</v>
      </c>
    </row>
    <row r="94" spans="1:17" ht="100.8" x14ac:dyDescent="0.3">
      <c r="A94" s="22" t="s">
        <v>7709</v>
      </c>
      <c r="B94" s="22" t="s">
        <v>9193</v>
      </c>
      <c r="C94" s="22" t="s">
        <v>7721</v>
      </c>
      <c r="D94" s="22" t="s">
        <v>7741</v>
      </c>
      <c r="E94" s="22" t="s">
        <v>2499</v>
      </c>
      <c r="F94" s="24" t="s">
        <v>8054</v>
      </c>
      <c r="G94" s="26" t="s">
        <v>8417</v>
      </c>
      <c r="H94" s="24" t="s">
        <v>1965</v>
      </c>
      <c r="I94" s="22" t="s">
        <v>172</v>
      </c>
      <c r="J94" s="22"/>
      <c r="K94" s="24" t="s">
        <v>7946</v>
      </c>
      <c r="L94" s="24"/>
      <c r="M94" s="25" t="s">
        <v>2500</v>
      </c>
      <c r="N94" s="22"/>
      <c r="O94" s="22" t="s">
        <v>2501</v>
      </c>
      <c r="P94" s="22" t="str">
        <f>HYPERLINK("https://ceds.ed.gov/cedselementdetails.aspx?termid=21048")</f>
        <v>https://ceds.ed.gov/cedselementdetails.aspx?termid=21048</v>
      </c>
      <c r="Q94" s="22">
        <v>63777</v>
      </c>
    </row>
    <row r="95" spans="1:17" ht="28.8" x14ac:dyDescent="0.3">
      <c r="A95" s="22" t="s">
        <v>7709</v>
      </c>
      <c r="B95" s="22" t="s">
        <v>9193</v>
      </c>
      <c r="C95" s="22" t="s">
        <v>7721</v>
      </c>
      <c r="D95" s="22" t="s">
        <v>7741</v>
      </c>
      <c r="E95" s="22" t="s">
        <v>8086</v>
      </c>
      <c r="F95" s="24" t="s">
        <v>8087</v>
      </c>
      <c r="G95" s="23" t="s">
        <v>32</v>
      </c>
      <c r="H95" s="22"/>
      <c r="I95" s="22" t="s">
        <v>167</v>
      </c>
      <c r="J95" s="22" t="s">
        <v>148</v>
      </c>
      <c r="K95" s="24" t="s">
        <v>7949</v>
      </c>
      <c r="L95" s="24"/>
      <c r="M95" s="25" t="s">
        <v>8355</v>
      </c>
      <c r="N95" s="22"/>
      <c r="O95" s="22" t="s">
        <v>8088</v>
      </c>
      <c r="P95" s="22" t="str">
        <f>HYPERLINK("https://ceds.ed.gov/cedselementdetails.aspx?termid=22976")</f>
        <v>https://ceds.ed.gov/cedselementdetails.aspx?termid=22976</v>
      </c>
      <c r="Q95" s="22">
        <v>63778</v>
      </c>
    </row>
    <row r="96" spans="1:17" ht="28.8" x14ac:dyDescent="0.3">
      <c r="A96" s="22" t="s">
        <v>7709</v>
      </c>
      <c r="B96" s="22" t="s">
        <v>9193</v>
      </c>
      <c r="C96" s="22" t="s">
        <v>7721</v>
      </c>
      <c r="D96" s="22" t="s">
        <v>7741</v>
      </c>
      <c r="E96" s="22" t="s">
        <v>8089</v>
      </c>
      <c r="F96" s="24" t="s">
        <v>8090</v>
      </c>
      <c r="G96" s="23" t="s">
        <v>32</v>
      </c>
      <c r="H96" s="22"/>
      <c r="I96" s="22" t="s">
        <v>167</v>
      </c>
      <c r="J96" s="22" t="s">
        <v>148</v>
      </c>
      <c r="K96" s="24" t="s">
        <v>7949</v>
      </c>
      <c r="L96" s="24"/>
      <c r="M96" s="25" t="s">
        <v>8356</v>
      </c>
      <c r="N96" s="22"/>
      <c r="O96" s="22" t="s">
        <v>8091</v>
      </c>
      <c r="P96" s="22" t="str">
        <f>HYPERLINK("https://ceds.ed.gov/cedselementdetails.aspx?termid=22977")</f>
        <v>https://ceds.ed.gov/cedselementdetails.aspx?termid=22977</v>
      </c>
      <c r="Q96" s="22">
        <v>63779</v>
      </c>
    </row>
    <row r="97" spans="1:17" ht="43.2" x14ac:dyDescent="0.3">
      <c r="A97" s="22" t="s">
        <v>7709</v>
      </c>
      <c r="B97" s="22" t="s">
        <v>9193</v>
      </c>
      <c r="C97" s="22" t="s">
        <v>7721</v>
      </c>
      <c r="D97" s="22" t="s">
        <v>7741</v>
      </c>
      <c r="E97" s="22" t="s">
        <v>8109</v>
      </c>
      <c r="F97" s="24" t="s">
        <v>8110</v>
      </c>
      <c r="G97" s="23" t="s">
        <v>32</v>
      </c>
      <c r="H97" s="22"/>
      <c r="I97" s="22" t="s">
        <v>167</v>
      </c>
      <c r="J97" s="22" t="s">
        <v>1699</v>
      </c>
      <c r="K97" s="24" t="s">
        <v>7949</v>
      </c>
      <c r="L97" s="24" t="s">
        <v>8111</v>
      </c>
      <c r="M97" s="25" t="s">
        <v>8358</v>
      </c>
      <c r="N97" s="22"/>
      <c r="O97" s="22" t="s">
        <v>8112</v>
      </c>
      <c r="P97" s="22" t="str">
        <f>HYPERLINK("https://ceds.ed.gov/cedselementdetails.aspx?termid=22979")</f>
        <v>https://ceds.ed.gov/cedselementdetails.aspx?termid=22979</v>
      </c>
      <c r="Q97" s="22">
        <v>63780</v>
      </c>
    </row>
    <row r="98" spans="1:17" ht="172.8" x14ac:dyDescent="0.3">
      <c r="A98" s="22" t="s">
        <v>7709</v>
      </c>
      <c r="B98" s="22" t="s">
        <v>9193</v>
      </c>
      <c r="C98" s="22" t="s">
        <v>7721</v>
      </c>
      <c r="D98" s="22" t="s">
        <v>7741</v>
      </c>
      <c r="E98" s="22" t="s">
        <v>3633</v>
      </c>
      <c r="F98" s="24" t="s">
        <v>3634</v>
      </c>
      <c r="G98" s="23" t="s">
        <v>32</v>
      </c>
      <c r="H98" s="22"/>
      <c r="I98" s="22" t="s">
        <v>172</v>
      </c>
      <c r="J98" s="22" t="s">
        <v>132</v>
      </c>
      <c r="K98" s="24" t="s">
        <v>7946</v>
      </c>
      <c r="L98" s="24" t="s">
        <v>7945</v>
      </c>
      <c r="M98" s="25" t="s">
        <v>3635</v>
      </c>
      <c r="N98" s="22"/>
      <c r="O98" s="22" t="s">
        <v>3636</v>
      </c>
      <c r="P98" s="22" t="str">
        <f>HYPERLINK("https://ceds.ed.gov/cedselementdetails.aspx?termid=21495")</f>
        <v>https://ceds.ed.gov/cedselementdetails.aspx?termid=21495</v>
      </c>
      <c r="Q98" s="22">
        <v>63781</v>
      </c>
    </row>
    <row r="99" spans="1:17" ht="43.2" x14ac:dyDescent="0.3">
      <c r="A99" s="22" t="s">
        <v>7709</v>
      </c>
      <c r="B99" s="22" t="s">
        <v>9193</v>
      </c>
      <c r="C99" s="22" t="s">
        <v>7721</v>
      </c>
      <c r="D99" s="22" t="s">
        <v>7741</v>
      </c>
      <c r="E99" s="22" t="s">
        <v>4842</v>
      </c>
      <c r="F99" s="24" t="s">
        <v>4843</v>
      </c>
      <c r="G99" s="26" t="s">
        <v>8463</v>
      </c>
      <c r="H99" s="22" t="s">
        <v>226</v>
      </c>
      <c r="I99" s="22" t="s">
        <v>172</v>
      </c>
      <c r="J99" s="22"/>
      <c r="K99" s="24" t="s">
        <v>7946</v>
      </c>
      <c r="L99" s="24"/>
      <c r="M99" s="25" t="s">
        <v>4844</v>
      </c>
      <c r="N99" s="22"/>
      <c r="O99" s="22" t="s">
        <v>4845</v>
      </c>
      <c r="P99" s="22" t="str">
        <f>HYPERLINK("https://ceds.ed.gov/cedselementdetails.aspx?termid=21580")</f>
        <v>https://ceds.ed.gov/cedselementdetails.aspx?termid=21580</v>
      </c>
      <c r="Q99" s="22">
        <v>63782</v>
      </c>
    </row>
    <row r="100" spans="1:17" ht="129.6" x14ac:dyDescent="0.3">
      <c r="A100" s="22" t="s">
        <v>7709</v>
      </c>
      <c r="B100" s="22" t="s">
        <v>9193</v>
      </c>
      <c r="C100" s="22" t="s">
        <v>7721</v>
      </c>
      <c r="D100" s="22" t="s">
        <v>7741</v>
      </c>
      <c r="E100" s="22" t="s">
        <v>5353</v>
      </c>
      <c r="F100" s="24" t="s">
        <v>5354</v>
      </c>
      <c r="G100" s="26" t="s">
        <v>8474</v>
      </c>
      <c r="H100" s="22" t="s">
        <v>226</v>
      </c>
      <c r="I100" s="22" t="s">
        <v>172</v>
      </c>
      <c r="J100" s="22"/>
      <c r="K100" s="24" t="s">
        <v>7946</v>
      </c>
      <c r="L100" s="24"/>
      <c r="M100" s="25" t="s">
        <v>5356</v>
      </c>
      <c r="N100" s="22" t="s">
        <v>5357</v>
      </c>
      <c r="O100" s="22" t="s">
        <v>5358</v>
      </c>
      <c r="P100" s="22" t="str">
        <f>HYPERLINK("https://ceds.ed.gov/cedselementdetails.aspx?termid=21174")</f>
        <v>https://ceds.ed.gov/cedselementdetails.aspx?termid=21174</v>
      </c>
      <c r="Q100" s="22">
        <v>63783</v>
      </c>
    </row>
    <row r="101" spans="1:17" ht="172.8" x14ac:dyDescent="0.3">
      <c r="A101" s="22" t="s">
        <v>7709</v>
      </c>
      <c r="B101" s="22" t="s">
        <v>9193</v>
      </c>
      <c r="C101" s="22" t="s">
        <v>7721</v>
      </c>
      <c r="D101" s="22" t="s">
        <v>7741</v>
      </c>
      <c r="E101" s="22" t="s">
        <v>5369</v>
      </c>
      <c r="F101" s="24" t="s">
        <v>8249</v>
      </c>
      <c r="G101" s="26" t="s">
        <v>8476</v>
      </c>
      <c r="H101" s="22" t="s">
        <v>226</v>
      </c>
      <c r="I101" s="22" t="s">
        <v>172</v>
      </c>
      <c r="J101" s="22"/>
      <c r="K101" s="24" t="s">
        <v>7946</v>
      </c>
      <c r="L101" s="24" t="s">
        <v>8250</v>
      </c>
      <c r="M101" s="25" t="s">
        <v>5370</v>
      </c>
      <c r="N101" s="22"/>
      <c r="O101" s="22" t="s">
        <v>5371</v>
      </c>
      <c r="P101" s="22" t="str">
        <f>HYPERLINK("https://ceds.ed.gov/cedselementdetails.aspx?termid=21528")</f>
        <v>https://ceds.ed.gov/cedselementdetails.aspx?termid=21528</v>
      </c>
      <c r="Q101" s="22">
        <v>63784</v>
      </c>
    </row>
    <row r="102" spans="1:17" ht="115.2" x14ac:dyDescent="0.3">
      <c r="A102" s="22" t="s">
        <v>7709</v>
      </c>
      <c r="B102" s="22" t="s">
        <v>9193</v>
      </c>
      <c r="C102" s="22" t="s">
        <v>7721</v>
      </c>
      <c r="D102" s="22" t="s">
        <v>7741</v>
      </c>
      <c r="E102" s="22" t="s">
        <v>5927</v>
      </c>
      <c r="F102" s="24" t="s">
        <v>5928</v>
      </c>
      <c r="G102" s="26" t="s">
        <v>8500</v>
      </c>
      <c r="H102" s="24" t="s">
        <v>5932</v>
      </c>
      <c r="I102" s="22" t="s">
        <v>172</v>
      </c>
      <c r="J102" s="22"/>
      <c r="K102" s="24" t="s">
        <v>7946</v>
      </c>
      <c r="L102" s="24" t="s">
        <v>5929</v>
      </c>
      <c r="M102" s="25" t="s">
        <v>5930</v>
      </c>
      <c r="N102" s="22"/>
      <c r="O102" s="22" t="s">
        <v>5931</v>
      </c>
      <c r="P102" s="22" t="str">
        <f>HYPERLINK("https://ceds.ed.gov/cedselementdetails.aspx?termid=21705")</f>
        <v>https://ceds.ed.gov/cedselementdetails.aspx?termid=21705</v>
      </c>
      <c r="Q102" s="22">
        <v>63785</v>
      </c>
    </row>
    <row r="103" spans="1:17" ht="409.6" x14ac:dyDescent="0.3">
      <c r="A103" s="22" t="s">
        <v>7709</v>
      </c>
      <c r="B103" s="22" t="s">
        <v>9193</v>
      </c>
      <c r="C103" s="22" t="s">
        <v>7721</v>
      </c>
      <c r="D103" s="22" t="s">
        <v>7741</v>
      </c>
      <c r="E103" s="22" t="s">
        <v>6230</v>
      </c>
      <c r="F103" s="24" t="s">
        <v>6231</v>
      </c>
      <c r="G103" s="26" t="s">
        <v>8506</v>
      </c>
      <c r="H103" s="24" t="s">
        <v>64</v>
      </c>
      <c r="I103" s="22" t="s">
        <v>172</v>
      </c>
      <c r="J103" s="22"/>
      <c r="K103" s="24" t="s">
        <v>8285</v>
      </c>
      <c r="L103" s="24"/>
      <c r="M103" s="25" t="s">
        <v>6232</v>
      </c>
      <c r="N103" s="22"/>
      <c r="O103" s="22" t="s">
        <v>6233</v>
      </c>
      <c r="P103" s="22" t="str">
        <f>HYPERLINK("https://ceds.ed.gov/cedselementdetails.aspx?termid=21225")</f>
        <v>https://ceds.ed.gov/cedselementdetails.aspx?termid=21225</v>
      </c>
      <c r="Q103" s="22">
        <v>63786</v>
      </c>
    </row>
    <row r="104" spans="1:17" ht="187.2" x14ac:dyDescent="0.3">
      <c r="A104" s="22" t="s">
        <v>7709</v>
      </c>
      <c r="B104" s="22" t="s">
        <v>9193</v>
      </c>
      <c r="C104" s="22" t="s">
        <v>7721</v>
      </c>
      <c r="D104" s="22" t="s">
        <v>7741</v>
      </c>
      <c r="E104" s="22" t="s">
        <v>6652</v>
      </c>
      <c r="F104" s="24" t="s">
        <v>6653</v>
      </c>
      <c r="G104" s="26" t="s">
        <v>8523</v>
      </c>
      <c r="H104" s="22"/>
      <c r="I104" s="22" t="s">
        <v>172</v>
      </c>
      <c r="J104" s="22"/>
      <c r="K104" s="24" t="s">
        <v>7946</v>
      </c>
      <c r="L104" s="24"/>
      <c r="M104" s="25" t="s">
        <v>6654</v>
      </c>
      <c r="N104" s="22"/>
      <c r="O104" s="22" t="s">
        <v>6655</v>
      </c>
      <c r="P104" s="22" t="str">
        <f>HYPERLINK("https://ceds.ed.gov/cedselementdetails.aspx?termid=21241")</f>
        <v>https://ceds.ed.gov/cedselementdetails.aspx?termid=21241</v>
      </c>
      <c r="Q104" s="22">
        <v>63787</v>
      </c>
    </row>
    <row r="105" spans="1:17" ht="129.6" x14ac:dyDescent="0.3">
      <c r="A105" s="22" t="s">
        <v>7709</v>
      </c>
      <c r="B105" s="22" t="s">
        <v>9193</v>
      </c>
      <c r="C105" s="22" t="s">
        <v>7721</v>
      </c>
      <c r="D105" s="22" t="s">
        <v>7741</v>
      </c>
      <c r="E105" s="22" t="s">
        <v>6656</v>
      </c>
      <c r="F105" s="24" t="s">
        <v>6657</v>
      </c>
      <c r="G105" s="26" t="s">
        <v>8524</v>
      </c>
      <c r="H105" s="22" t="s">
        <v>226</v>
      </c>
      <c r="I105" s="22" t="s">
        <v>172</v>
      </c>
      <c r="J105" s="22"/>
      <c r="K105" s="24" t="s">
        <v>7946</v>
      </c>
      <c r="L105" s="24"/>
      <c r="M105" s="25" t="s">
        <v>6658</v>
      </c>
      <c r="N105" s="22"/>
      <c r="O105" s="22" t="s">
        <v>6659</v>
      </c>
      <c r="P105" s="22" t="str">
        <f>HYPERLINK("https://ceds.ed.gov/cedselementdetails.aspx?termid=21524")</f>
        <v>https://ceds.ed.gov/cedselementdetails.aspx?termid=21524</v>
      </c>
      <c r="Q105" s="22">
        <v>63788</v>
      </c>
    </row>
    <row r="106" spans="1:17" ht="115.2" x14ac:dyDescent="0.3">
      <c r="A106" s="22" t="s">
        <v>7709</v>
      </c>
      <c r="B106" s="22" t="s">
        <v>9193</v>
      </c>
      <c r="C106" s="22" t="s">
        <v>7721</v>
      </c>
      <c r="D106" s="22" t="s">
        <v>7741</v>
      </c>
      <c r="E106" s="22" t="s">
        <v>7335</v>
      </c>
      <c r="F106" s="24" t="s">
        <v>8347</v>
      </c>
      <c r="G106" s="26" t="s">
        <v>22</v>
      </c>
      <c r="H106" s="22"/>
      <c r="I106" s="22" t="s">
        <v>172</v>
      </c>
      <c r="J106" s="22"/>
      <c r="K106" s="24" t="s">
        <v>8348</v>
      </c>
      <c r="L106" s="24"/>
      <c r="M106" s="25" t="s">
        <v>7336</v>
      </c>
      <c r="N106" s="22"/>
      <c r="O106" s="22" t="s">
        <v>7337</v>
      </c>
      <c r="P106" s="22" t="str">
        <f>HYPERLINK("https://ceds.ed.gov/cedselementdetails.aspx?termid=22167")</f>
        <v>https://ceds.ed.gov/cedselementdetails.aspx?termid=22167</v>
      </c>
      <c r="Q106" s="22">
        <v>63789</v>
      </c>
    </row>
    <row r="107" spans="1:17" ht="86.4" x14ac:dyDescent="0.3">
      <c r="A107" s="22" t="s">
        <v>7709</v>
      </c>
      <c r="B107" s="22" t="s">
        <v>9193</v>
      </c>
      <c r="C107" s="22" t="s">
        <v>7721</v>
      </c>
      <c r="D107" s="22" t="s">
        <v>7741</v>
      </c>
      <c r="E107" s="22" t="s">
        <v>7338</v>
      </c>
      <c r="F107" s="24" t="s">
        <v>8349</v>
      </c>
      <c r="G107" s="26" t="s">
        <v>8557</v>
      </c>
      <c r="H107" s="22"/>
      <c r="I107" s="22" t="s">
        <v>172</v>
      </c>
      <c r="J107" s="22"/>
      <c r="K107" s="24" t="s">
        <v>8348</v>
      </c>
      <c r="L107" s="24"/>
      <c r="M107" s="25" t="s">
        <v>7339</v>
      </c>
      <c r="N107" s="22"/>
      <c r="O107" s="22" t="s">
        <v>7340</v>
      </c>
      <c r="P107" s="22" t="str">
        <f>HYPERLINK("https://ceds.ed.gov/cedselementdetails.aspx?termid=22747")</f>
        <v>https://ceds.ed.gov/cedselementdetails.aspx?termid=22747</v>
      </c>
      <c r="Q107" s="22">
        <v>63790</v>
      </c>
    </row>
    <row r="108" spans="1:17" ht="28.8" x14ac:dyDescent="0.3">
      <c r="A108" s="22" t="s">
        <v>7709</v>
      </c>
      <c r="B108" s="22" t="s">
        <v>9193</v>
      </c>
      <c r="C108" s="22" t="s">
        <v>7721</v>
      </c>
      <c r="D108" s="22" t="s">
        <v>7741</v>
      </c>
      <c r="E108" s="22" t="s">
        <v>7370</v>
      </c>
      <c r="F108" s="24" t="s">
        <v>7371</v>
      </c>
      <c r="G108" s="23" t="s">
        <v>32</v>
      </c>
      <c r="H108" s="22" t="s">
        <v>226</v>
      </c>
      <c r="I108" s="22" t="s">
        <v>172</v>
      </c>
      <c r="J108" s="22" t="s">
        <v>113</v>
      </c>
      <c r="K108" s="24" t="s">
        <v>7946</v>
      </c>
      <c r="L108" s="24"/>
      <c r="M108" s="25" t="s">
        <v>7372</v>
      </c>
      <c r="N108" s="22"/>
      <c r="O108" s="22" t="s">
        <v>7373</v>
      </c>
      <c r="P108" s="22" t="str">
        <f>HYPERLINK("https://ceds.ed.gov/cedselementdetails.aspx?termid=21300")</f>
        <v>https://ceds.ed.gov/cedselementdetails.aspx?termid=21300</v>
      </c>
      <c r="Q108" s="22">
        <v>63791</v>
      </c>
    </row>
    <row r="109" spans="1:17" ht="28.8" x14ac:dyDescent="0.3">
      <c r="A109" s="22" t="s">
        <v>7709</v>
      </c>
      <c r="B109" s="22" t="s">
        <v>9193</v>
      </c>
      <c r="C109" s="22" t="s">
        <v>7722</v>
      </c>
      <c r="D109" s="22" t="s">
        <v>7710</v>
      </c>
      <c r="E109" s="22" t="s">
        <v>6787</v>
      </c>
      <c r="F109" s="24" t="s">
        <v>8316</v>
      </c>
      <c r="G109" s="23" t="s">
        <v>32</v>
      </c>
      <c r="H109" s="24" t="s">
        <v>2487</v>
      </c>
      <c r="I109" s="22"/>
      <c r="J109" s="22" t="s">
        <v>157</v>
      </c>
      <c r="K109" s="24"/>
      <c r="L109" s="24"/>
      <c r="M109" s="25" t="s">
        <v>6788</v>
      </c>
      <c r="N109" s="22"/>
      <c r="O109" s="22" t="s">
        <v>6789</v>
      </c>
      <c r="P109" s="22" t="str">
        <f>HYPERLINK("https://ceds.ed.gov/cedselementdetails.aspx?termid=21625")</f>
        <v>https://ceds.ed.gov/cedselementdetails.aspx?termid=21625</v>
      </c>
      <c r="Q109" s="22">
        <v>58722</v>
      </c>
    </row>
    <row r="110" spans="1:17" ht="115.2" x14ac:dyDescent="0.3">
      <c r="A110" s="22" t="s">
        <v>7709</v>
      </c>
      <c r="B110" s="22" t="s">
        <v>9193</v>
      </c>
      <c r="C110" s="22" t="s">
        <v>7722</v>
      </c>
      <c r="D110" s="22" t="s">
        <v>7741</v>
      </c>
      <c r="E110" s="22" t="s">
        <v>5544</v>
      </c>
      <c r="F110" s="24" t="s">
        <v>5545</v>
      </c>
      <c r="G110" s="26" t="s">
        <v>8480</v>
      </c>
      <c r="H110" s="22"/>
      <c r="I110" s="22" t="s">
        <v>172</v>
      </c>
      <c r="J110" s="22"/>
      <c r="K110" s="24" t="s">
        <v>7946</v>
      </c>
      <c r="L110" s="24"/>
      <c r="M110" s="25" t="s">
        <v>5546</v>
      </c>
      <c r="N110" s="22"/>
      <c r="O110" s="22" t="s">
        <v>5547</v>
      </c>
      <c r="P110" s="22" t="str">
        <f>HYPERLINK("https://ceds.ed.gov/cedselementdetails.aspx?termid=22748")</f>
        <v>https://ceds.ed.gov/cedselementdetails.aspx?termid=22748</v>
      </c>
      <c r="Q110" s="22">
        <v>63825</v>
      </c>
    </row>
    <row r="111" spans="1:17" ht="86.4" x14ac:dyDescent="0.3">
      <c r="A111" s="22" t="s">
        <v>7709</v>
      </c>
      <c r="B111" s="22" t="s">
        <v>9193</v>
      </c>
      <c r="C111" s="22" t="s">
        <v>7722</v>
      </c>
      <c r="D111" s="22" t="s">
        <v>7741</v>
      </c>
      <c r="E111" s="22" t="s">
        <v>8312</v>
      </c>
      <c r="F111" s="24" t="s">
        <v>8313</v>
      </c>
      <c r="G111" s="23" t="s">
        <v>32</v>
      </c>
      <c r="H111" s="22"/>
      <c r="I111" s="22" t="s">
        <v>172</v>
      </c>
      <c r="J111" s="22" t="s">
        <v>85</v>
      </c>
      <c r="K111" s="24" t="s">
        <v>8314</v>
      </c>
      <c r="L111" s="24" t="s">
        <v>6772</v>
      </c>
      <c r="M111" s="25" t="s">
        <v>6773</v>
      </c>
      <c r="N111" s="22"/>
      <c r="O111" s="22" t="s">
        <v>8315</v>
      </c>
      <c r="P111" s="22" t="str">
        <f>HYPERLINK("https://ceds.ed.gov/cedselementdetails.aspx?termid=22459")</f>
        <v>https://ceds.ed.gov/cedselementdetails.aspx?termid=22459</v>
      </c>
      <c r="Q111" s="22">
        <v>63826</v>
      </c>
    </row>
    <row r="112" spans="1:17" ht="72" x14ac:dyDescent="0.3">
      <c r="A112" s="22" t="s">
        <v>7709</v>
      </c>
      <c r="B112" s="22" t="s">
        <v>9193</v>
      </c>
      <c r="C112" s="22" t="s">
        <v>7722</v>
      </c>
      <c r="D112" s="22" t="s">
        <v>7741</v>
      </c>
      <c r="E112" s="22" t="s">
        <v>6996</v>
      </c>
      <c r="F112" s="24" t="s">
        <v>6997</v>
      </c>
      <c r="G112" s="26" t="s">
        <v>8539</v>
      </c>
      <c r="H112" s="22" t="s">
        <v>226</v>
      </c>
      <c r="I112" s="22" t="s">
        <v>172</v>
      </c>
      <c r="J112" s="22"/>
      <c r="K112" s="24" t="s">
        <v>7946</v>
      </c>
      <c r="L112" s="24"/>
      <c r="M112" s="25" t="s">
        <v>6998</v>
      </c>
      <c r="N112" s="22"/>
      <c r="O112" s="22" t="s">
        <v>6999</v>
      </c>
      <c r="P112" s="22" t="str">
        <f>HYPERLINK("https://ceds.ed.gov/cedselementdetails.aspx?termid=21578")</f>
        <v>https://ceds.ed.gov/cedselementdetails.aspx?termid=21578</v>
      </c>
      <c r="Q112" s="22">
        <v>63827</v>
      </c>
    </row>
    <row r="113" spans="1:17" ht="409.6" x14ac:dyDescent="0.3">
      <c r="A113" s="22" t="s">
        <v>7709</v>
      </c>
      <c r="B113" s="22" t="s">
        <v>9193</v>
      </c>
      <c r="C113" s="22" t="s">
        <v>7722</v>
      </c>
      <c r="D113" s="22" t="s">
        <v>7741</v>
      </c>
      <c r="E113" s="22" t="s">
        <v>7048</v>
      </c>
      <c r="F113" s="24" t="s">
        <v>7049</v>
      </c>
      <c r="G113" s="26" t="s">
        <v>8542</v>
      </c>
      <c r="H113" s="22"/>
      <c r="I113" s="22" t="s">
        <v>172</v>
      </c>
      <c r="J113" s="22"/>
      <c r="K113" s="24" t="s">
        <v>7946</v>
      </c>
      <c r="L113" s="24" t="s">
        <v>7050</v>
      </c>
      <c r="M113" s="25" t="s">
        <v>7051</v>
      </c>
      <c r="N113" s="22"/>
      <c r="O113" s="22" t="s">
        <v>7052</v>
      </c>
      <c r="P113" s="22" t="str">
        <f>HYPERLINK("https://ceds.ed.gov/cedselementdetails.aspx?termid=21273")</f>
        <v>https://ceds.ed.gov/cedselementdetails.aspx?termid=21273</v>
      </c>
      <c r="Q113" s="22">
        <v>63828</v>
      </c>
    </row>
    <row r="114" spans="1:17" ht="72" x14ac:dyDescent="0.3">
      <c r="A114" s="22" t="s">
        <v>7709</v>
      </c>
      <c r="B114" s="22" t="s">
        <v>9193</v>
      </c>
      <c r="C114" s="22" t="s">
        <v>7722</v>
      </c>
      <c r="D114" s="22" t="s">
        <v>7741</v>
      </c>
      <c r="E114" s="22" t="s">
        <v>7200</v>
      </c>
      <c r="F114" s="24" t="s">
        <v>7201</v>
      </c>
      <c r="G114" s="26" t="s">
        <v>8552</v>
      </c>
      <c r="H114" s="22" t="s">
        <v>226</v>
      </c>
      <c r="I114" s="22" t="s">
        <v>172</v>
      </c>
      <c r="J114" s="22"/>
      <c r="K114" s="24" t="s">
        <v>7946</v>
      </c>
      <c r="L114" s="24"/>
      <c r="M114" s="25" t="s">
        <v>7203</v>
      </c>
      <c r="N114" s="22"/>
      <c r="O114" s="22" t="s">
        <v>7204</v>
      </c>
      <c r="P114" s="22" t="str">
        <f>HYPERLINK("https://ceds.ed.gov/cedselementdetails.aspx?termid=21284")</f>
        <v>https://ceds.ed.gov/cedselementdetails.aspx?termid=21284</v>
      </c>
      <c r="Q114" s="22">
        <v>63829</v>
      </c>
    </row>
    <row r="115" spans="1:17" ht="57.6" x14ac:dyDescent="0.3">
      <c r="A115" s="22" t="s">
        <v>7709</v>
      </c>
      <c r="B115" s="22" t="s">
        <v>9193</v>
      </c>
      <c r="C115" s="22" t="s">
        <v>7723</v>
      </c>
      <c r="D115" s="22" t="s">
        <v>7710</v>
      </c>
      <c r="E115" s="22" t="s">
        <v>3832</v>
      </c>
      <c r="F115" s="24" t="s">
        <v>3833</v>
      </c>
      <c r="G115" s="26" t="s">
        <v>8884</v>
      </c>
      <c r="H115" s="22" t="s">
        <v>109</v>
      </c>
      <c r="I115" s="22"/>
      <c r="J115" s="22"/>
      <c r="K115" s="24"/>
      <c r="L115" s="24"/>
      <c r="M115" s="25" t="s">
        <v>3834</v>
      </c>
      <c r="N115" s="22"/>
      <c r="O115" s="22" t="s">
        <v>3835</v>
      </c>
      <c r="P115" s="22" t="str">
        <f>HYPERLINK("https://ceds.ed.gov/cedselementdetails.aspx?termid=21834")</f>
        <v>https://ceds.ed.gov/cedselementdetails.aspx?termid=21834</v>
      </c>
      <c r="Q115" s="22">
        <v>60288</v>
      </c>
    </row>
    <row r="116" spans="1:17" ht="57.6" x14ac:dyDescent="0.3">
      <c r="A116" s="22" t="s">
        <v>7709</v>
      </c>
      <c r="B116" s="22" t="s">
        <v>9193</v>
      </c>
      <c r="C116" s="22" t="s">
        <v>7724</v>
      </c>
      <c r="D116" s="22" t="s">
        <v>7710</v>
      </c>
      <c r="E116" s="22" t="s">
        <v>3792</v>
      </c>
      <c r="F116" s="24" t="s">
        <v>3793</v>
      </c>
      <c r="G116" s="26" t="s">
        <v>8878</v>
      </c>
      <c r="H116" s="24" t="s">
        <v>3452</v>
      </c>
      <c r="I116" s="22"/>
      <c r="J116" s="22"/>
      <c r="K116" s="24"/>
      <c r="L116" s="24"/>
      <c r="M116" s="25" t="s">
        <v>3794</v>
      </c>
      <c r="N116" s="22"/>
      <c r="O116" s="22" t="s">
        <v>3795</v>
      </c>
      <c r="P116" s="22" t="str">
        <f>HYPERLINK("https://ceds.ed.gov/cedselementdetails.aspx?termid=21985")</f>
        <v>https://ceds.ed.gov/cedselementdetails.aspx?termid=21985</v>
      </c>
      <c r="Q116" s="22">
        <v>59435</v>
      </c>
    </row>
    <row r="117" spans="1:17" ht="28.8" x14ac:dyDescent="0.3">
      <c r="A117" s="22" t="s">
        <v>7709</v>
      </c>
      <c r="B117" s="22" t="s">
        <v>9193</v>
      </c>
      <c r="C117" s="22" t="s">
        <v>7724</v>
      </c>
      <c r="D117" s="22" t="s">
        <v>7710</v>
      </c>
      <c r="E117" s="22" t="s">
        <v>6983</v>
      </c>
      <c r="F117" s="24" t="s">
        <v>6984</v>
      </c>
      <c r="G117" s="23" t="s">
        <v>32</v>
      </c>
      <c r="H117" s="22" t="s">
        <v>109</v>
      </c>
      <c r="I117" s="22"/>
      <c r="J117" s="22" t="s">
        <v>317</v>
      </c>
      <c r="K117" s="24"/>
      <c r="L117" s="24"/>
      <c r="M117" s="25" t="s">
        <v>6985</v>
      </c>
      <c r="N117" s="22"/>
      <c r="O117" s="22" t="s">
        <v>6986</v>
      </c>
      <c r="P117" s="22" t="str">
        <f>HYPERLINK("https://ceds.ed.gov/cedselementdetails.aspx?termid=21865")</f>
        <v>https://ceds.ed.gov/cedselementdetails.aspx?termid=21865</v>
      </c>
      <c r="Q117" s="22">
        <v>60316</v>
      </c>
    </row>
    <row r="118" spans="1:17" ht="72" x14ac:dyDescent="0.3">
      <c r="A118" s="22" t="s">
        <v>7709</v>
      </c>
      <c r="B118" s="22" t="s">
        <v>9193</v>
      </c>
      <c r="C118" s="22" t="s">
        <v>7724</v>
      </c>
      <c r="D118" s="22" t="s">
        <v>7710</v>
      </c>
      <c r="E118" s="22" t="s">
        <v>3412</v>
      </c>
      <c r="F118" s="24" t="s">
        <v>3413</v>
      </c>
      <c r="G118" s="26" t="s">
        <v>8827</v>
      </c>
      <c r="H118" s="22" t="s">
        <v>109</v>
      </c>
      <c r="I118" s="22"/>
      <c r="J118" s="22"/>
      <c r="K118" s="24"/>
      <c r="L118" s="24"/>
      <c r="M118" s="25" t="s">
        <v>3414</v>
      </c>
      <c r="N118" s="22"/>
      <c r="O118" s="22" t="s">
        <v>3415</v>
      </c>
      <c r="P118" s="22" t="str">
        <f>HYPERLINK("https://ceds.ed.gov/cedselementdetails.aspx?termid=21828")</f>
        <v>https://ceds.ed.gov/cedselementdetails.aspx?termid=21828</v>
      </c>
      <c r="Q118" s="22">
        <v>60284</v>
      </c>
    </row>
    <row r="119" spans="1:17" ht="43.2" x14ac:dyDescent="0.3">
      <c r="A119" s="22" t="s">
        <v>7709</v>
      </c>
      <c r="B119" s="22" t="s">
        <v>9193</v>
      </c>
      <c r="C119" s="22" t="s">
        <v>7724</v>
      </c>
      <c r="D119" s="22" t="s">
        <v>7710</v>
      </c>
      <c r="E119" s="22" t="s">
        <v>4751</v>
      </c>
      <c r="F119" s="24" t="s">
        <v>4752</v>
      </c>
      <c r="G119" s="23" t="s">
        <v>32</v>
      </c>
      <c r="H119" s="24" t="s">
        <v>2487</v>
      </c>
      <c r="I119" s="22"/>
      <c r="J119" s="22" t="s">
        <v>118</v>
      </c>
      <c r="K119" s="24"/>
      <c r="L119" s="24"/>
      <c r="M119" s="25" t="s">
        <v>4753</v>
      </c>
      <c r="N119" s="22"/>
      <c r="O119" s="22" t="s">
        <v>4754</v>
      </c>
      <c r="P119" s="22" t="str">
        <f>HYPERLINK("https://ceds.ed.gov/cedselementdetails.aspx?termid=21347")</f>
        <v>https://ceds.ed.gov/cedselementdetails.aspx?termid=21347</v>
      </c>
      <c r="Q119" s="22">
        <v>58711</v>
      </c>
    </row>
    <row r="120" spans="1:17" ht="43.2" x14ac:dyDescent="0.3">
      <c r="A120" s="22" t="s">
        <v>7709</v>
      </c>
      <c r="B120" s="22" t="s">
        <v>9193</v>
      </c>
      <c r="C120" s="22" t="s">
        <v>7724</v>
      </c>
      <c r="D120" s="22" t="s">
        <v>7710</v>
      </c>
      <c r="E120" s="22" t="s">
        <v>2483</v>
      </c>
      <c r="F120" s="24" t="s">
        <v>2484</v>
      </c>
      <c r="G120" s="23" t="s">
        <v>32</v>
      </c>
      <c r="H120" s="24" t="s">
        <v>2487</v>
      </c>
      <c r="I120" s="22"/>
      <c r="J120" s="22" t="s">
        <v>118</v>
      </c>
      <c r="K120" s="24"/>
      <c r="L120" s="24"/>
      <c r="M120" s="25" t="s">
        <v>2485</v>
      </c>
      <c r="N120" s="22"/>
      <c r="O120" s="22" t="s">
        <v>2486</v>
      </c>
      <c r="P120" s="22" t="str">
        <f>HYPERLINK("https://ceds.ed.gov/cedselementdetails.aspx?termid=21348")</f>
        <v>https://ceds.ed.gov/cedselementdetails.aspx?termid=21348</v>
      </c>
      <c r="Q120" s="22">
        <v>58712</v>
      </c>
    </row>
    <row r="121" spans="1:17" ht="57.6" x14ac:dyDescent="0.3">
      <c r="A121" s="22" t="s">
        <v>7709</v>
      </c>
      <c r="B121" s="22" t="s">
        <v>9193</v>
      </c>
      <c r="C121" s="22" t="s">
        <v>7724</v>
      </c>
      <c r="D121" s="22" t="s">
        <v>7710</v>
      </c>
      <c r="E121" s="22" t="s">
        <v>5303</v>
      </c>
      <c r="F121" s="24" t="s">
        <v>5304</v>
      </c>
      <c r="G121" s="26" t="s">
        <v>8599</v>
      </c>
      <c r="H121" s="24" t="s">
        <v>2487</v>
      </c>
      <c r="I121" s="22"/>
      <c r="J121" s="22"/>
      <c r="K121" s="24"/>
      <c r="L121" s="24"/>
      <c r="M121" s="25" t="s">
        <v>5305</v>
      </c>
      <c r="N121" s="22"/>
      <c r="O121" s="22" t="s">
        <v>5306</v>
      </c>
      <c r="P121" s="22" t="str">
        <f>HYPERLINK("https://ceds.ed.gov/cedselementdetails.aspx?termid=21349")</f>
        <v>https://ceds.ed.gov/cedselementdetails.aspx?termid=21349</v>
      </c>
      <c r="Q121" s="22">
        <v>58713</v>
      </c>
    </row>
    <row r="122" spans="1:17" ht="28.8" x14ac:dyDescent="0.3">
      <c r="A122" s="22" t="s">
        <v>7709</v>
      </c>
      <c r="B122" s="22" t="s">
        <v>9193</v>
      </c>
      <c r="C122" s="22" t="s">
        <v>7724</v>
      </c>
      <c r="D122" s="22" t="s">
        <v>7710</v>
      </c>
      <c r="E122" s="22" t="s">
        <v>5620</v>
      </c>
      <c r="F122" s="24" t="s">
        <v>5621</v>
      </c>
      <c r="G122" s="23" t="s">
        <v>32</v>
      </c>
      <c r="H122" s="22" t="s">
        <v>109</v>
      </c>
      <c r="I122" s="22"/>
      <c r="J122" s="22" t="s">
        <v>317</v>
      </c>
      <c r="K122" s="24"/>
      <c r="L122" s="24"/>
      <c r="M122" s="25" t="s">
        <v>5622</v>
      </c>
      <c r="N122" s="22"/>
      <c r="O122" s="22" t="s">
        <v>5623</v>
      </c>
      <c r="P122" s="22" t="str">
        <f>HYPERLINK("https://ceds.ed.gov/cedselementdetails.aspx?termid=21835")</f>
        <v>https://ceds.ed.gov/cedselementdetails.aspx?termid=21835</v>
      </c>
      <c r="Q122" s="22">
        <v>60289</v>
      </c>
    </row>
    <row r="123" spans="1:17" ht="28.8" x14ac:dyDescent="0.3">
      <c r="A123" s="22" t="s">
        <v>7709</v>
      </c>
      <c r="B123" s="22" t="s">
        <v>9193</v>
      </c>
      <c r="C123" s="22" t="s">
        <v>7724</v>
      </c>
      <c r="D123" s="22" t="s">
        <v>7710</v>
      </c>
      <c r="E123" s="22" t="s">
        <v>5624</v>
      </c>
      <c r="F123" s="24" t="s">
        <v>5625</v>
      </c>
      <c r="G123" s="23" t="s">
        <v>32</v>
      </c>
      <c r="H123" s="22" t="s">
        <v>109</v>
      </c>
      <c r="I123" s="22"/>
      <c r="J123" s="22" t="s">
        <v>317</v>
      </c>
      <c r="K123" s="24"/>
      <c r="L123" s="24"/>
      <c r="M123" s="25" t="s">
        <v>5626</v>
      </c>
      <c r="N123" s="22"/>
      <c r="O123" s="22" t="s">
        <v>5627</v>
      </c>
      <c r="P123" s="22" t="str">
        <f>HYPERLINK("https://ceds.ed.gov/cedselementdetails.aspx?termid=21836")</f>
        <v>https://ceds.ed.gov/cedselementdetails.aspx?termid=21836</v>
      </c>
      <c r="Q123" s="22">
        <v>60290</v>
      </c>
    </row>
    <row r="124" spans="1:17" ht="43.2" x14ac:dyDescent="0.3">
      <c r="A124" s="22" t="s">
        <v>7709</v>
      </c>
      <c r="B124" s="22" t="s">
        <v>9193</v>
      </c>
      <c r="C124" s="22" t="s">
        <v>7724</v>
      </c>
      <c r="D124" s="22" t="s">
        <v>7710</v>
      </c>
      <c r="E124" s="22" t="s">
        <v>3408</v>
      </c>
      <c r="F124" s="24" t="s">
        <v>3409</v>
      </c>
      <c r="G124" s="26" t="s">
        <v>22</v>
      </c>
      <c r="H124" s="22" t="s">
        <v>109</v>
      </c>
      <c r="I124" s="22"/>
      <c r="J124" s="22"/>
      <c r="K124" s="24"/>
      <c r="L124" s="24"/>
      <c r="M124" s="25" t="s">
        <v>3410</v>
      </c>
      <c r="N124" s="22"/>
      <c r="O124" s="22" t="s">
        <v>3411</v>
      </c>
      <c r="P124" s="22" t="str">
        <f>HYPERLINK("https://ceds.ed.gov/cedselementdetails.aspx?termid=21837")</f>
        <v>https://ceds.ed.gov/cedselementdetails.aspx?termid=21837</v>
      </c>
      <c r="Q124" s="22">
        <v>60291</v>
      </c>
    </row>
    <row r="125" spans="1:17" ht="43.2" x14ac:dyDescent="0.3">
      <c r="A125" s="22" t="s">
        <v>7709</v>
      </c>
      <c r="B125" s="22" t="s">
        <v>9193</v>
      </c>
      <c r="C125" s="22" t="s">
        <v>7724</v>
      </c>
      <c r="D125" s="22" t="s">
        <v>7710</v>
      </c>
      <c r="E125" s="22" t="s">
        <v>3404</v>
      </c>
      <c r="F125" s="24" t="s">
        <v>3405</v>
      </c>
      <c r="G125" s="26" t="s">
        <v>22</v>
      </c>
      <c r="H125" s="22" t="s">
        <v>109</v>
      </c>
      <c r="I125" s="22"/>
      <c r="J125" s="22"/>
      <c r="K125" s="24"/>
      <c r="L125" s="24"/>
      <c r="M125" s="25" t="s">
        <v>3406</v>
      </c>
      <c r="N125" s="22"/>
      <c r="O125" s="22" t="s">
        <v>3407</v>
      </c>
      <c r="P125" s="22" t="str">
        <f>HYPERLINK("https://ceds.ed.gov/cedselementdetails.aspx?termid=21838")</f>
        <v>https://ceds.ed.gov/cedselementdetails.aspx?termid=21838</v>
      </c>
      <c r="Q125" s="22">
        <v>60292</v>
      </c>
    </row>
    <row r="126" spans="1:17" ht="28.8" x14ac:dyDescent="0.3">
      <c r="A126" s="22" t="s">
        <v>7709</v>
      </c>
      <c r="B126" s="22" t="s">
        <v>9193</v>
      </c>
      <c r="C126" s="22" t="s">
        <v>7724</v>
      </c>
      <c r="D126" s="22" t="s">
        <v>7741</v>
      </c>
      <c r="E126" s="22" t="s">
        <v>7947</v>
      </c>
      <c r="F126" s="24" t="s">
        <v>7948</v>
      </c>
      <c r="G126" s="23" t="s">
        <v>32</v>
      </c>
      <c r="H126" s="22"/>
      <c r="I126" s="22" t="s">
        <v>167</v>
      </c>
      <c r="J126" s="22" t="s">
        <v>148</v>
      </c>
      <c r="K126" s="24" t="s">
        <v>7949</v>
      </c>
      <c r="L126" s="24"/>
      <c r="M126" s="25" t="s">
        <v>8351</v>
      </c>
      <c r="N126" s="22"/>
      <c r="O126" s="22" t="s">
        <v>7950</v>
      </c>
      <c r="P126" s="22" t="str">
        <f>HYPERLINK("https://ceds.ed.gov/cedselementdetails.aspx?termid=22972")</f>
        <v>https://ceds.ed.gov/cedselementdetails.aspx?termid=22972</v>
      </c>
      <c r="Q126" s="22">
        <v>63822</v>
      </c>
    </row>
    <row r="127" spans="1:17" ht="43.2" x14ac:dyDescent="0.3">
      <c r="A127" s="22" t="s">
        <v>7709</v>
      </c>
      <c r="B127" s="22" t="s">
        <v>9193</v>
      </c>
      <c r="C127" s="22" t="s">
        <v>7724</v>
      </c>
      <c r="D127" s="22" t="s">
        <v>7741</v>
      </c>
      <c r="E127" s="22" t="s">
        <v>7951</v>
      </c>
      <c r="F127" s="24" t="s">
        <v>7952</v>
      </c>
      <c r="G127" s="26" t="s">
        <v>8376</v>
      </c>
      <c r="H127" s="22"/>
      <c r="I127" s="22" t="s">
        <v>167</v>
      </c>
      <c r="J127" s="22" t="s">
        <v>2</v>
      </c>
      <c r="K127" s="24" t="s">
        <v>7949</v>
      </c>
      <c r="L127" s="24"/>
      <c r="M127" s="25" t="s">
        <v>8352</v>
      </c>
      <c r="N127" s="22"/>
      <c r="O127" s="22" t="s">
        <v>7953</v>
      </c>
      <c r="P127" s="22" t="str">
        <f>HYPERLINK("https://ceds.ed.gov/cedselementdetails.aspx?termid=22973")</f>
        <v>https://ceds.ed.gov/cedselementdetails.aspx?termid=22973</v>
      </c>
      <c r="Q127" s="22">
        <v>63823</v>
      </c>
    </row>
    <row r="128" spans="1:17" ht="86.4" x14ac:dyDescent="0.3">
      <c r="A128" s="22" t="s">
        <v>7709</v>
      </c>
      <c r="B128" s="22" t="s">
        <v>9193</v>
      </c>
      <c r="C128" s="22" t="s">
        <v>7725</v>
      </c>
      <c r="D128" s="22" t="s">
        <v>7710</v>
      </c>
      <c r="E128" s="22" t="s">
        <v>6333</v>
      </c>
      <c r="F128" s="24" t="s">
        <v>6334</v>
      </c>
      <c r="G128" s="26" t="s">
        <v>9120</v>
      </c>
      <c r="H128" s="22" t="s">
        <v>6338</v>
      </c>
      <c r="I128" s="22"/>
      <c r="J128" s="22"/>
      <c r="K128" s="24"/>
      <c r="L128" s="24"/>
      <c r="M128" s="25" t="s">
        <v>6335</v>
      </c>
      <c r="N128" s="22" t="s">
        <v>6336</v>
      </c>
      <c r="O128" s="22" t="s">
        <v>6337</v>
      </c>
      <c r="P128" s="22" t="str">
        <f>HYPERLINK("https://ceds.ed.gov/cedselementdetails.aspx?termid=21356")</f>
        <v>https://ceds.ed.gov/cedselementdetails.aspx?termid=21356</v>
      </c>
      <c r="Q128" s="22">
        <v>58719</v>
      </c>
    </row>
    <row r="129" spans="1:17" ht="43.2" x14ac:dyDescent="0.3">
      <c r="A129" s="22" t="s">
        <v>7709</v>
      </c>
      <c r="B129" s="22" t="s">
        <v>9193</v>
      </c>
      <c r="C129" s="22" t="s">
        <v>7725</v>
      </c>
      <c r="D129" s="22" t="s">
        <v>7710</v>
      </c>
      <c r="E129" s="22" t="s">
        <v>6339</v>
      </c>
      <c r="F129" s="24" t="s">
        <v>6340</v>
      </c>
      <c r="G129" s="23" t="s">
        <v>32</v>
      </c>
      <c r="H129" s="22" t="s">
        <v>6338</v>
      </c>
      <c r="I129" s="22"/>
      <c r="J129" s="22" t="s">
        <v>1339</v>
      </c>
      <c r="K129" s="24"/>
      <c r="L129" s="24"/>
      <c r="M129" s="25" t="s">
        <v>6341</v>
      </c>
      <c r="N129" s="22" t="s">
        <v>6342</v>
      </c>
      <c r="O129" s="22" t="s">
        <v>6343</v>
      </c>
      <c r="P129" s="22" t="str">
        <f>HYPERLINK("https://ceds.ed.gov/cedselementdetails.aspx?termid=21357")</f>
        <v>https://ceds.ed.gov/cedselementdetails.aspx?termid=21357</v>
      </c>
      <c r="Q129" s="22">
        <v>58720</v>
      </c>
    </row>
    <row r="130" spans="1:17" ht="28.8" x14ac:dyDescent="0.3">
      <c r="A130" s="22" t="s">
        <v>7709</v>
      </c>
      <c r="B130" s="22" t="s">
        <v>9193</v>
      </c>
      <c r="C130" s="22" t="s">
        <v>7725</v>
      </c>
      <c r="D130" s="22" t="s">
        <v>7710</v>
      </c>
      <c r="E130" s="22" t="s">
        <v>6323</v>
      </c>
      <c r="F130" s="24" t="s">
        <v>6324</v>
      </c>
      <c r="G130" s="23" t="s">
        <v>32</v>
      </c>
      <c r="H130" s="22" t="s">
        <v>109</v>
      </c>
      <c r="I130" s="22"/>
      <c r="J130" s="22" t="s">
        <v>118</v>
      </c>
      <c r="K130" s="24"/>
      <c r="L130" s="24"/>
      <c r="M130" s="25" t="s">
        <v>6325</v>
      </c>
      <c r="N130" s="22" t="s">
        <v>6326</v>
      </c>
      <c r="O130" s="22" t="s">
        <v>6327</v>
      </c>
      <c r="P130" s="22" t="str">
        <f>HYPERLINK("https://ceds.ed.gov/cedselementdetails.aspx?termid=21830")</f>
        <v>https://ceds.ed.gov/cedselementdetails.aspx?termid=21830</v>
      </c>
      <c r="Q130" s="22">
        <v>60286</v>
      </c>
    </row>
    <row r="131" spans="1:17" ht="28.8" x14ac:dyDescent="0.3">
      <c r="A131" s="22" t="s">
        <v>7709</v>
      </c>
      <c r="B131" s="22" t="s">
        <v>9193</v>
      </c>
      <c r="C131" s="22" t="s">
        <v>7725</v>
      </c>
      <c r="D131" s="22" t="s">
        <v>7710</v>
      </c>
      <c r="E131" s="22" t="s">
        <v>6328</v>
      </c>
      <c r="F131" s="24" t="s">
        <v>6329</v>
      </c>
      <c r="G131" s="23" t="s">
        <v>32</v>
      </c>
      <c r="H131" s="22" t="s">
        <v>109</v>
      </c>
      <c r="I131" s="22"/>
      <c r="J131" s="22" t="s">
        <v>118</v>
      </c>
      <c r="K131" s="24"/>
      <c r="L131" s="24"/>
      <c r="M131" s="25" t="s">
        <v>6330</v>
      </c>
      <c r="N131" s="22" t="s">
        <v>6331</v>
      </c>
      <c r="O131" s="22" t="s">
        <v>6332</v>
      </c>
      <c r="P131" s="22" t="str">
        <f>HYPERLINK("https://ceds.ed.gov/cedselementdetails.aspx?termid=21831")</f>
        <v>https://ceds.ed.gov/cedselementdetails.aspx?termid=21831</v>
      </c>
      <c r="Q131" s="22">
        <v>60287</v>
      </c>
    </row>
    <row r="132" spans="1:17" ht="28.8" x14ac:dyDescent="0.3">
      <c r="A132" s="22" t="s">
        <v>7709</v>
      </c>
      <c r="B132" s="22" t="s">
        <v>9193</v>
      </c>
      <c r="C132" s="22" t="s">
        <v>7725</v>
      </c>
      <c r="D132" s="22" t="s">
        <v>7710</v>
      </c>
      <c r="E132" s="22" t="s">
        <v>5639</v>
      </c>
      <c r="F132" s="24" t="s">
        <v>5640</v>
      </c>
      <c r="G132" s="23" t="s">
        <v>32</v>
      </c>
      <c r="H132" s="22" t="s">
        <v>109</v>
      </c>
      <c r="I132" s="22"/>
      <c r="J132" s="22" t="s">
        <v>317</v>
      </c>
      <c r="K132" s="24"/>
      <c r="L132" s="24"/>
      <c r="M132" s="25" t="s">
        <v>5641</v>
      </c>
      <c r="N132" s="22" t="s">
        <v>5642</v>
      </c>
      <c r="O132" s="22" t="s">
        <v>5643</v>
      </c>
      <c r="P132" s="22" t="str">
        <f>HYPERLINK("https://ceds.ed.gov/cedselementdetails.aspx?termid=21843")</f>
        <v>https://ceds.ed.gov/cedselementdetails.aspx?termid=21843</v>
      </c>
      <c r="Q132" s="22">
        <v>60297</v>
      </c>
    </row>
    <row r="133" spans="1:17" x14ac:dyDescent="0.3">
      <c r="A133" s="22" t="s">
        <v>7709</v>
      </c>
      <c r="B133" s="22" t="s">
        <v>9193</v>
      </c>
      <c r="C133" s="22" t="s">
        <v>7726</v>
      </c>
      <c r="D133" s="22" t="s">
        <v>7710</v>
      </c>
      <c r="E133" s="22" t="s">
        <v>5509</v>
      </c>
      <c r="F133" s="24" t="s">
        <v>5510</v>
      </c>
      <c r="G133" s="23" t="s">
        <v>32</v>
      </c>
      <c r="H133" s="22"/>
      <c r="I133" s="22"/>
      <c r="J133" s="22" t="s">
        <v>118</v>
      </c>
      <c r="K133" s="24"/>
      <c r="L133" s="24"/>
      <c r="M133" s="25" t="s">
        <v>5511</v>
      </c>
      <c r="N133" s="22"/>
      <c r="O133" s="22" t="s">
        <v>5512</v>
      </c>
      <c r="P133" s="22" t="str">
        <f>HYPERLINK("https://ceds.ed.gov/cedselementdetails.aspx?termid=22297")</f>
        <v>https://ceds.ed.gov/cedselementdetails.aspx?termid=22297</v>
      </c>
      <c r="Q133" s="22">
        <v>61137</v>
      </c>
    </row>
    <row r="134" spans="1:17" ht="57.6" x14ac:dyDescent="0.3">
      <c r="A134" s="22" t="s">
        <v>7709</v>
      </c>
      <c r="B134" s="22" t="s">
        <v>9193</v>
      </c>
      <c r="C134" s="22" t="s">
        <v>7726</v>
      </c>
      <c r="D134" s="22" t="s">
        <v>7710</v>
      </c>
      <c r="E134" s="22" t="s">
        <v>5505</v>
      </c>
      <c r="F134" s="24" t="s">
        <v>5506</v>
      </c>
      <c r="G134" s="23" t="s">
        <v>32</v>
      </c>
      <c r="H134" s="22"/>
      <c r="I134" s="22"/>
      <c r="J134" s="22" t="s">
        <v>118</v>
      </c>
      <c r="K134" s="24"/>
      <c r="L134" s="24" t="s">
        <v>143</v>
      </c>
      <c r="M134" s="25" t="s">
        <v>5507</v>
      </c>
      <c r="N134" s="22"/>
      <c r="O134" s="22" t="s">
        <v>5508</v>
      </c>
      <c r="P134" s="22" t="str">
        <f>HYPERLINK("https://ceds.ed.gov/cedselementdetails.aspx?termid=22298")</f>
        <v>https://ceds.ed.gov/cedselementdetails.aspx?termid=22298</v>
      </c>
      <c r="Q134" s="22">
        <v>61138</v>
      </c>
    </row>
    <row r="135" spans="1:17" ht="43.2" x14ac:dyDescent="0.3">
      <c r="A135" s="22" t="s">
        <v>7709</v>
      </c>
      <c r="B135" s="22" t="s">
        <v>9193</v>
      </c>
      <c r="C135" s="22" t="s">
        <v>7726</v>
      </c>
      <c r="D135" s="22" t="s">
        <v>7710</v>
      </c>
      <c r="E135" s="22" t="s">
        <v>5691</v>
      </c>
      <c r="F135" s="24" t="s">
        <v>5692</v>
      </c>
      <c r="G135" s="26" t="s">
        <v>9051</v>
      </c>
      <c r="H135" s="22"/>
      <c r="I135" s="22"/>
      <c r="J135" s="22"/>
      <c r="K135" s="24"/>
      <c r="L135" s="24"/>
      <c r="M135" s="25" t="s">
        <v>5693</v>
      </c>
      <c r="N135" s="22"/>
      <c r="O135" s="22" t="s">
        <v>5694</v>
      </c>
      <c r="P135" s="22" t="str">
        <f>HYPERLINK("https://ceds.ed.gov/cedselementdetails.aspx?termid=22296")</f>
        <v>https://ceds.ed.gov/cedselementdetails.aspx?termid=22296</v>
      </c>
      <c r="Q135" s="22">
        <v>61136</v>
      </c>
    </row>
    <row r="136" spans="1:17" ht="28.8" x14ac:dyDescent="0.3">
      <c r="A136" s="22" t="s">
        <v>7709</v>
      </c>
      <c r="B136" s="22" t="s">
        <v>9193</v>
      </c>
      <c r="C136" s="22" t="s">
        <v>7726</v>
      </c>
      <c r="D136" s="22" t="s">
        <v>7710</v>
      </c>
      <c r="E136" s="22" t="s">
        <v>5720</v>
      </c>
      <c r="F136" s="24" t="s">
        <v>5721</v>
      </c>
      <c r="G136" s="23" t="s">
        <v>32</v>
      </c>
      <c r="H136" s="22"/>
      <c r="I136" s="22"/>
      <c r="J136" s="22" t="s">
        <v>113</v>
      </c>
      <c r="K136" s="24"/>
      <c r="L136" s="24"/>
      <c r="M136" s="25" t="s">
        <v>5722</v>
      </c>
      <c r="N136" s="22"/>
      <c r="O136" s="22" t="s">
        <v>5723</v>
      </c>
      <c r="P136" s="22" t="str">
        <f>HYPERLINK("https://ceds.ed.gov/cedselementdetails.aspx?termid=22300")</f>
        <v>https://ceds.ed.gov/cedselementdetails.aspx?termid=22300</v>
      </c>
      <c r="Q136" s="22">
        <v>61140</v>
      </c>
    </row>
    <row r="137" spans="1:17" ht="86.4" x14ac:dyDescent="0.3">
      <c r="A137" s="22" t="s">
        <v>7709</v>
      </c>
      <c r="B137" s="22" t="s">
        <v>9193</v>
      </c>
      <c r="C137" s="22" t="s">
        <v>7726</v>
      </c>
      <c r="D137" s="22" t="s">
        <v>7710</v>
      </c>
      <c r="E137" s="22" t="s">
        <v>6283</v>
      </c>
      <c r="F137" s="24" t="s">
        <v>6284</v>
      </c>
      <c r="G137" s="26" t="s">
        <v>9118</v>
      </c>
      <c r="H137" s="22"/>
      <c r="I137" s="22"/>
      <c r="J137" s="22"/>
      <c r="K137" s="24"/>
      <c r="L137" s="24"/>
      <c r="M137" s="25" t="s">
        <v>6285</v>
      </c>
      <c r="N137" s="22"/>
      <c r="O137" s="22" t="s">
        <v>6286</v>
      </c>
      <c r="P137" s="22" t="str">
        <f>HYPERLINK("https://ceds.ed.gov/cedselementdetails.aspx?termid=22299")</f>
        <v>https://ceds.ed.gov/cedselementdetails.aspx?termid=22299</v>
      </c>
      <c r="Q137" s="22">
        <v>61139</v>
      </c>
    </row>
    <row r="138" spans="1:17" ht="129.6" x14ac:dyDescent="0.3">
      <c r="A138" s="22" t="s">
        <v>7709</v>
      </c>
      <c r="B138" s="22" t="s">
        <v>9193</v>
      </c>
      <c r="C138" s="22" t="s">
        <v>7727</v>
      </c>
      <c r="D138" s="22" t="s">
        <v>7710</v>
      </c>
      <c r="E138" s="22" t="s">
        <v>104</v>
      </c>
      <c r="F138" s="24" t="s">
        <v>105</v>
      </c>
      <c r="G138" s="26" t="s">
        <v>8569</v>
      </c>
      <c r="H138" s="22" t="s">
        <v>109</v>
      </c>
      <c r="I138" s="22"/>
      <c r="J138" s="22"/>
      <c r="K138" s="24"/>
      <c r="L138" s="24" t="s">
        <v>106</v>
      </c>
      <c r="M138" s="25" t="s">
        <v>107</v>
      </c>
      <c r="N138" s="22"/>
      <c r="O138" s="22" t="s">
        <v>108</v>
      </c>
      <c r="P138" s="22" t="str">
        <f>HYPERLINK("https://ceds.ed.gov/cedselementdetails.aspx?termid=21983")</f>
        <v>https://ceds.ed.gov/cedselementdetails.aspx?termid=21983</v>
      </c>
      <c r="Q138" s="22">
        <v>59510</v>
      </c>
    </row>
    <row r="139" spans="1:17" ht="28.8" x14ac:dyDescent="0.3">
      <c r="A139" s="22" t="s">
        <v>7709</v>
      </c>
      <c r="B139" s="22" t="s">
        <v>9193</v>
      </c>
      <c r="C139" s="22" t="s">
        <v>7727</v>
      </c>
      <c r="D139" s="22" t="s">
        <v>7710</v>
      </c>
      <c r="E139" s="22" t="s">
        <v>116</v>
      </c>
      <c r="F139" s="24" t="s">
        <v>117</v>
      </c>
      <c r="G139" s="23" t="s">
        <v>32</v>
      </c>
      <c r="H139" s="22" t="s">
        <v>109</v>
      </c>
      <c r="I139" s="22"/>
      <c r="J139" s="22" t="s">
        <v>118</v>
      </c>
      <c r="K139" s="24"/>
      <c r="L139" s="24"/>
      <c r="M139" s="25" t="s">
        <v>119</v>
      </c>
      <c r="N139" s="22"/>
      <c r="O139" s="22" t="s">
        <v>120</v>
      </c>
      <c r="P139" s="22" t="str">
        <f>HYPERLINK("https://ceds.ed.gov/cedselementdetails.aspx?termid=21840")</f>
        <v>https://ceds.ed.gov/cedselementdetails.aspx?termid=21840</v>
      </c>
      <c r="Q139" s="22">
        <v>60294</v>
      </c>
    </row>
    <row r="140" spans="1:17" ht="28.8" x14ac:dyDescent="0.3">
      <c r="A140" s="22" t="s">
        <v>7709</v>
      </c>
      <c r="B140" s="22" t="s">
        <v>9193</v>
      </c>
      <c r="C140" s="22" t="s">
        <v>7727</v>
      </c>
      <c r="D140" s="22" t="s">
        <v>7710</v>
      </c>
      <c r="E140" s="22" t="s">
        <v>121</v>
      </c>
      <c r="F140" s="24" t="s">
        <v>122</v>
      </c>
      <c r="G140" s="23" t="s">
        <v>32</v>
      </c>
      <c r="H140" s="22" t="s">
        <v>109</v>
      </c>
      <c r="I140" s="22"/>
      <c r="J140" s="22" t="s">
        <v>118</v>
      </c>
      <c r="K140" s="24"/>
      <c r="L140" s="24"/>
      <c r="M140" s="25" t="s">
        <v>123</v>
      </c>
      <c r="N140" s="22"/>
      <c r="O140" s="22" t="s">
        <v>124</v>
      </c>
      <c r="P140" s="22" t="str">
        <f>HYPERLINK("https://ceds.ed.gov/cedselementdetails.aspx?termid=21841")</f>
        <v>https://ceds.ed.gov/cedselementdetails.aspx?termid=21841</v>
      </c>
      <c r="Q140" s="22">
        <v>60295</v>
      </c>
    </row>
    <row r="141" spans="1:17" ht="43.2" x14ac:dyDescent="0.3">
      <c r="A141" s="22" t="s">
        <v>7709</v>
      </c>
      <c r="B141" s="22" t="s">
        <v>9193</v>
      </c>
      <c r="C141" s="22" t="s">
        <v>7727</v>
      </c>
      <c r="D141" s="22" t="s">
        <v>7710</v>
      </c>
      <c r="E141" s="22" t="s">
        <v>5711</v>
      </c>
      <c r="F141" s="24" t="s">
        <v>5712</v>
      </c>
      <c r="G141" s="23" t="s">
        <v>32</v>
      </c>
      <c r="H141" s="22"/>
      <c r="I141" s="22"/>
      <c r="J141" s="22" t="s">
        <v>118</v>
      </c>
      <c r="K141" s="24"/>
      <c r="L141" s="24"/>
      <c r="M141" s="25" t="s">
        <v>5713</v>
      </c>
      <c r="N141" s="22"/>
      <c r="O141" s="22" t="s">
        <v>5714</v>
      </c>
      <c r="P141" s="22" t="str">
        <f>HYPERLINK("https://ceds.ed.gov/cedselementdetails.aspx?termid=22388")</f>
        <v>https://ceds.ed.gov/cedselementdetails.aspx?termid=22388</v>
      </c>
      <c r="Q141" s="22">
        <v>61301</v>
      </c>
    </row>
    <row r="142" spans="1:17" ht="28.8" x14ac:dyDescent="0.3">
      <c r="A142" s="22" t="s">
        <v>7709</v>
      </c>
      <c r="B142" s="22" t="s">
        <v>9193</v>
      </c>
      <c r="C142" s="22" t="s">
        <v>7728</v>
      </c>
      <c r="D142" s="22" t="s">
        <v>7710</v>
      </c>
      <c r="E142" s="22" t="s">
        <v>6303</v>
      </c>
      <c r="F142" s="24" t="s">
        <v>6304</v>
      </c>
      <c r="G142" s="23" t="s">
        <v>32</v>
      </c>
      <c r="H142" s="22"/>
      <c r="I142" s="22"/>
      <c r="J142" s="22" t="s">
        <v>85</v>
      </c>
      <c r="K142" s="24"/>
      <c r="L142" s="24"/>
      <c r="M142" s="25" t="s">
        <v>6305</v>
      </c>
      <c r="N142" s="22"/>
      <c r="O142" s="22" t="s">
        <v>6306</v>
      </c>
      <c r="P142" s="22" t="str">
        <f>HYPERLINK("https://ceds.ed.gov/cedselementdetails.aspx?termid=22433")</f>
        <v>https://ceds.ed.gov/cedselementdetails.aspx?termid=22433</v>
      </c>
      <c r="Q142" s="22">
        <v>61368</v>
      </c>
    </row>
    <row r="143" spans="1:17" ht="28.8" x14ac:dyDescent="0.3">
      <c r="A143" s="22" t="s">
        <v>7709</v>
      </c>
      <c r="B143" s="22" t="s">
        <v>9193</v>
      </c>
      <c r="C143" s="22" t="s">
        <v>7728</v>
      </c>
      <c r="D143" s="22" t="s">
        <v>7710</v>
      </c>
      <c r="E143" s="22" t="s">
        <v>6299</v>
      </c>
      <c r="F143" s="24" t="s">
        <v>6300</v>
      </c>
      <c r="G143" s="23" t="s">
        <v>32</v>
      </c>
      <c r="H143" s="22"/>
      <c r="I143" s="22"/>
      <c r="J143" s="22" t="s">
        <v>85</v>
      </c>
      <c r="K143" s="24"/>
      <c r="L143" s="24"/>
      <c r="M143" s="25" t="s">
        <v>6301</v>
      </c>
      <c r="N143" s="22"/>
      <c r="O143" s="22" t="s">
        <v>6302</v>
      </c>
      <c r="P143" s="22" t="str">
        <f>HYPERLINK("https://ceds.ed.gov/cedselementdetails.aspx?termid=22432")</f>
        <v>https://ceds.ed.gov/cedselementdetails.aspx?termid=22432</v>
      </c>
      <c r="Q143" s="22">
        <v>61367</v>
      </c>
    </row>
    <row r="144" spans="1:17" x14ac:dyDescent="0.3">
      <c r="A144" s="22" t="s">
        <v>7709</v>
      </c>
      <c r="B144" s="22" t="s">
        <v>9193</v>
      </c>
      <c r="C144" s="22" t="s">
        <v>7728</v>
      </c>
      <c r="D144" s="22" t="s">
        <v>7710</v>
      </c>
      <c r="E144" s="22" t="s">
        <v>6315</v>
      </c>
      <c r="F144" s="24" t="s">
        <v>6316</v>
      </c>
      <c r="G144" s="23" t="s">
        <v>32</v>
      </c>
      <c r="H144" s="22"/>
      <c r="I144" s="22"/>
      <c r="J144" s="22" t="s">
        <v>118</v>
      </c>
      <c r="K144" s="24"/>
      <c r="L144" s="24"/>
      <c r="M144" s="25" t="s">
        <v>6317</v>
      </c>
      <c r="N144" s="22"/>
      <c r="O144" s="22" t="s">
        <v>6318</v>
      </c>
      <c r="P144" s="22" t="str">
        <f>HYPERLINK("https://ceds.ed.gov/cedselementdetails.aspx?termid=22437")</f>
        <v>https://ceds.ed.gov/cedselementdetails.aspx?termid=22437</v>
      </c>
      <c r="Q144" s="22">
        <v>61372</v>
      </c>
    </row>
    <row r="145" spans="1:17" ht="57.6" x14ac:dyDescent="0.3">
      <c r="A145" s="22" t="s">
        <v>7709</v>
      </c>
      <c r="B145" s="22" t="s">
        <v>9193</v>
      </c>
      <c r="C145" s="22" t="s">
        <v>7728</v>
      </c>
      <c r="D145" s="22" t="s">
        <v>7710</v>
      </c>
      <c r="E145" s="22" t="s">
        <v>6307</v>
      </c>
      <c r="F145" s="24" t="s">
        <v>6308</v>
      </c>
      <c r="G145" s="23" t="s">
        <v>32</v>
      </c>
      <c r="H145" s="22"/>
      <c r="I145" s="22"/>
      <c r="J145" s="22" t="s">
        <v>118</v>
      </c>
      <c r="K145" s="24"/>
      <c r="L145" s="24" t="s">
        <v>143</v>
      </c>
      <c r="M145" s="25" t="s">
        <v>6309</v>
      </c>
      <c r="N145" s="22"/>
      <c r="O145" s="22" t="s">
        <v>6310</v>
      </c>
      <c r="P145" s="22" t="str">
        <f>HYPERLINK("https://ceds.ed.gov/cedselementdetails.aspx?termid=22436")</f>
        <v>https://ceds.ed.gov/cedselementdetails.aspx?termid=22436</v>
      </c>
      <c r="Q145" s="22">
        <v>61371</v>
      </c>
    </row>
    <row r="146" spans="1:17" ht="43.2" x14ac:dyDescent="0.3">
      <c r="A146" s="22" t="s">
        <v>7709</v>
      </c>
      <c r="B146" s="22" t="s">
        <v>9193</v>
      </c>
      <c r="C146" s="22" t="s">
        <v>7728</v>
      </c>
      <c r="D146" s="22" t="s">
        <v>7710</v>
      </c>
      <c r="E146" s="22" t="s">
        <v>6311</v>
      </c>
      <c r="F146" s="24" t="s">
        <v>6312</v>
      </c>
      <c r="G146" s="26" t="s">
        <v>22</v>
      </c>
      <c r="H146" s="22"/>
      <c r="I146" s="22"/>
      <c r="J146" s="22"/>
      <c r="K146" s="24"/>
      <c r="L146" s="24"/>
      <c r="M146" s="25" t="s">
        <v>6313</v>
      </c>
      <c r="N146" s="22"/>
      <c r="O146" s="22" t="s">
        <v>6314</v>
      </c>
      <c r="P146" s="22" t="str">
        <f>HYPERLINK("https://ceds.ed.gov/cedselementdetails.aspx?termid=22435")</f>
        <v>https://ceds.ed.gov/cedselementdetails.aspx?termid=22435</v>
      </c>
      <c r="Q146" s="22">
        <v>61370</v>
      </c>
    </row>
    <row r="147" spans="1:17" ht="57.6" x14ac:dyDescent="0.3">
      <c r="A147" s="22" t="s">
        <v>7709</v>
      </c>
      <c r="B147" s="22" t="s">
        <v>9193</v>
      </c>
      <c r="C147" s="22" t="s">
        <v>7728</v>
      </c>
      <c r="D147" s="22" t="s">
        <v>7710</v>
      </c>
      <c r="E147" s="22" t="s">
        <v>6319</v>
      </c>
      <c r="F147" s="24" t="s">
        <v>6320</v>
      </c>
      <c r="G147" s="23" t="s">
        <v>32</v>
      </c>
      <c r="H147" s="22"/>
      <c r="I147" s="22"/>
      <c r="J147" s="22" t="s">
        <v>85</v>
      </c>
      <c r="K147" s="24"/>
      <c r="L147" s="24"/>
      <c r="M147" s="25" t="s">
        <v>6321</v>
      </c>
      <c r="N147" s="22"/>
      <c r="O147" s="22" t="s">
        <v>6322</v>
      </c>
      <c r="P147" s="22" t="str">
        <f>HYPERLINK("https://ceds.ed.gov/cedselementdetails.aspx?termid=22434")</f>
        <v>https://ceds.ed.gov/cedselementdetails.aspx?termid=22434</v>
      </c>
      <c r="Q147" s="22">
        <v>61369</v>
      </c>
    </row>
    <row r="148" spans="1:17" ht="43.2" x14ac:dyDescent="0.3">
      <c r="A148" s="22" t="s">
        <v>7709</v>
      </c>
      <c r="B148" s="22" t="s">
        <v>9193</v>
      </c>
      <c r="C148" s="22" t="s">
        <v>7728</v>
      </c>
      <c r="D148" s="22" t="s">
        <v>7710</v>
      </c>
      <c r="E148" s="22" t="s">
        <v>6170</v>
      </c>
      <c r="F148" s="24" t="s">
        <v>6171</v>
      </c>
      <c r="G148" s="26" t="s">
        <v>22</v>
      </c>
      <c r="H148" s="22" t="s">
        <v>109</v>
      </c>
      <c r="I148" s="22"/>
      <c r="J148" s="22"/>
      <c r="K148" s="24"/>
      <c r="L148" s="24"/>
      <c r="M148" s="25" t="s">
        <v>6172</v>
      </c>
      <c r="N148" s="22"/>
      <c r="O148" s="22" t="s">
        <v>6173</v>
      </c>
      <c r="P148" s="22" t="str">
        <f>HYPERLINK("https://ceds.ed.gov/cedselementdetails.aspx?termid=21851")</f>
        <v>https://ceds.ed.gov/cedselementdetails.aspx?termid=21851</v>
      </c>
      <c r="Q148" s="22">
        <v>63166</v>
      </c>
    </row>
    <row r="149" spans="1:17" ht="115.2" x14ac:dyDescent="0.3">
      <c r="A149" s="22" t="s">
        <v>7709</v>
      </c>
      <c r="B149" s="22" t="s">
        <v>9193</v>
      </c>
      <c r="C149" s="22" t="s">
        <v>7729</v>
      </c>
      <c r="D149" s="22" t="s">
        <v>7710</v>
      </c>
      <c r="E149" s="22" t="s">
        <v>232</v>
      </c>
      <c r="F149" s="24" t="s">
        <v>233</v>
      </c>
      <c r="G149" s="26" t="s">
        <v>8580</v>
      </c>
      <c r="H149" s="22" t="s">
        <v>109</v>
      </c>
      <c r="I149" s="22"/>
      <c r="J149" s="22"/>
      <c r="K149" s="24"/>
      <c r="L149" s="24" t="s">
        <v>234</v>
      </c>
      <c r="M149" s="25" t="s">
        <v>235</v>
      </c>
      <c r="N149" s="22"/>
      <c r="O149" s="22" t="s">
        <v>236</v>
      </c>
      <c r="P149" s="22" t="str">
        <f>HYPERLINK("https://ceds.ed.gov/cedselementdetails.aspx?termid=21984")</f>
        <v>https://ceds.ed.gov/cedselementdetails.aspx?termid=21984</v>
      </c>
      <c r="Q149" s="22">
        <v>59434</v>
      </c>
    </row>
    <row r="150" spans="1:17" ht="86.4" x14ac:dyDescent="0.3">
      <c r="A150" s="22" t="s">
        <v>7709</v>
      </c>
      <c r="B150" s="22" t="s">
        <v>9193</v>
      </c>
      <c r="C150" s="22" t="s">
        <v>7729</v>
      </c>
      <c r="D150" s="22" t="s">
        <v>7710</v>
      </c>
      <c r="E150" s="22" t="s">
        <v>5866</v>
      </c>
      <c r="F150" s="24" t="s">
        <v>5867</v>
      </c>
      <c r="G150" s="26" t="s">
        <v>9065</v>
      </c>
      <c r="H150" s="22" t="s">
        <v>109</v>
      </c>
      <c r="I150" s="22"/>
      <c r="J150" s="22"/>
      <c r="K150" s="24"/>
      <c r="L150" s="24"/>
      <c r="M150" s="25" t="s">
        <v>5868</v>
      </c>
      <c r="N150" s="22"/>
      <c r="O150" s="22" t="s">
        <v>5869</v>
      </c>
      <c r="P150" s="22" t="str">
        <f>HYPERLINK("https://ceds.ed.gov/cedselementdetails.aspx?termid=21842")</f>
        <v>https://ceds.ed.gov/cedselementdetails.aspx?termid=21842</v>
      </c>
      <c r="Q150" s="22">
        <v>60296</v>
      </c>
    </row>
    <row r="151" spans="1:17" ht="43.2" x14ac:dyDescent="0.3">
      <c r="A151" s="22" t="s">
        <v>7709</v>
      </c>
      <c r="B151" s="22" t="s">
        <v>9193</v>
      </c>
      <c r="C151" s="22" t="s">
        <v>7729</v>
      </c>
      <c r="D151" s="22" t="s">
        <v>7710</v>
      </c>
      <c r="E151" s="22" t="s">
        <v>6226</v>
      </c>
      <c r="F151" s="24" t="s">
        <v>6227</v>
      </c>
      <c r="G151" s="26" t="s">
        <v>22</v>
      </c>
      <c r="H151" s="22" t="s">
        <v>109</v>
      </c>
      <c r="I151" s="22"/>
      <c r="J151" s="22"/>
      <c r="K151" s="24"/>
      <c r="L151" s="24"/>
      <c r="M151" s="25" t="s">
        <v>6228</v>
      </c>
      <c r="N151" s="22"/>
      <c r="O151" s="22" t="s">
        <v>6229</v>
      </c>
      <c r="P151" s="22" t="str">
        <f>HYPERLINK("https://ceds.ed.gov/cedselementdetails.aspx?termid=21859")</f>
        <v>https://ceds.ed.gov/cedselementdetails.aspx?termid=21859</v>
      </c>
      <c r="Q151" s="22">
        <v>60312</v>
      </c>
    </row>
    <row r="152" spans="1:17" ht="403.2" x14ac:dyDescent="0.3">
      <c r="A152" s="22" t="s">
        <v>7709</v>
      </c>
      <c r="B152" s="22" t="s">
        <v>9193</v>
      </c>
      <c r="C152" s="22" t="s">
        <v>7730</v>
      </c>
      <c r="D152" s="22" t="s">
        <v>7710</v>
      </c>
      <c r="E152" s="22" t="s">
        <v>3344</v>
      </c>
      <c r="F152" s="24" t="s">
        <v>3345</v>
      </c>
      <c r="G152" s="26" t="s">
        <v>8427</v>
      </c>
      <c r="H152" s="22"/>
      <c r="I152" s="22" t="s">
        <v>172</v>
      </c>
      <c r="J152" s="22"/>
      <c r="K152" s="24" t="s">
        <v>7995</v>
      </c>
      <c r="L152" s="24"/>
      <c r="M152" s="25" t="s">
        <v>3346</v>
      </c>
      <c r="N152" s="22"/>
      <c r="O152" s="22" t="s">
        <v>3347</v>
      </c>
      <c r="P152" s="22" t="str">
        <f>HYPERLINK("https://ceds.ed.gov/cedselementdetails.aspx?termid=22294")</f>
        <v>https://ceds.ed.gov/cedselementdetails.aspx?termid=22294</v>
      </c>
      <c r="Q152" s="22">
        <v>62135</v>
      </c>
    </row>
    <row r="153" spans="1:17" ht="100.8" x14ac:dyDescent="0.3">
      <c r="A153" s="22" t="s">
        <v>7709</v>
      </c>
      <c r="B153" s="22" t="s">
        <v>9193</v>
      </c>
      <c r="C153" s="22" t="s">
        <v>7730</v>
      </c>
      <c r="D153" s="22" t="s">
        <v>7710</v>
      </c>
      <c r="E153" s="22" t="s">
        <v>3364</v>
      </c>
      <c r="F153" s="24" t="s">
        <v>3365</v>
      </c>
      <c r="G153" s="26" t="s">
        <v>8820</v>
      </c>
      <c r="H153" s="22"/>
      <c r="I153" s="22"/>
      <c r="J153" s="22"/>
      <c r="K153" s="24"/>
      <c r="L153" s="24"/>
      <c r="M153" s="25" t="s">
        <v>3366</v>
      </c>
      <c r="N153" s="22"/>
      <c r="O153" s="22" t="s">
        <v>3367</v>
      </c>
      <c r="P153" s="22" t="str">
        <f>HYPERLINK("https://ceds.ed.gov/cedselementdetails.aspx?termid=22302")</f>
        <v>https://ceds.ed.gov/cedselementdetails.aspx?termid=22302</v>
      </c>
      <c r="Q153" s="22">
        <v>62136</v>
      </c>
    </row>
    <row r="154" spans="1:17" ht="72" x14ac:dyDescent="0.3">
      <c r="A154" s="22" t="s">
        <v>7709</v>
      </c>
      <c r="B154" s="22" t="s">
        <v>9193</v>
      </c>
      <c r="C154" s="22" t="s">
        <v>7730</v>
      </c>
      <c r="D154" s="22" t="s">
        <v>7710</v>
      </c>
      <c r="E154" s="22" t="s">
        <v>3916</v>
      </c>
      <c r="F154" s="24" t="s">
        <v>8121</v>
      </c>
      <c r="G154" s="23" t="s">
        <v>32</v>
      </c>
      <c r="H154" s="22" t="s">
        <v>226</v>
      </c>
      <c r="I154" s="22" t="s">
        <v>172</v>
      </c>
      <c r="J154" s="22" t="s">
        <v>3917</v>
      </c>
      <c r="K154" s="24" t="s">
        <v>8122</v>
      </c>
      <c r="L154" s="24"/>
      <c r="M154" s="25" t="s">
        <v>3918</v>
      </c>
      <c r="N154" s="22"/>
      <c r="O154" s="22" t="s">
        <v>3919</v>
      </c>
      <c r="P154" s="22" t="str">
        <f>HYPERLINK("https://ceds.ed.gov/cedselementdetails.aspx?termid=21538")</f>
        <v>https://ceds.ed.gov/cedselementdetails.aspx?termid=21538</v>
      </c>
      <c r="Q154" s="22">
        <v>62137</v>
      </c>
    </row>
    <row r="155" spans="1:17" ht="86.4" x14ac:dyDescent="0.3">
      <c r="A155" s="22" t="s">
        <v>7709</v>
      </c>
      <c r="B155" s="22" t="s">
        <v>9193</v>
      </c>
      <c r="C155" s="22" t="s">
        <v>7730</v>
      </c>
      <c r="D155" s="22" t="s">
        <v>7741</v>
      </c>
      <c r="E155" s="22" t="s">
        <v>3934</v>
      </c>
      <c r="F155" s="24" t="s">
        <v>3935</v>
      </c>
      <c r="G155" s="26" t="s">
        <v>8439</v>
      </c>
      <c r="H155" s="22"/>
      <c r="I155" s="22" t="s">
        <v>172</v>
      </c>
      <c r="J155" s="22"/>
      <c r="K155" s="24" t="s">
        <v>7946</v>
      </c>
      <c r="L155" s="24"/>
      <c r="M155" s="25" t="s">
        <v>3936</v>
      </c>
      <c r="N155" s="22"/>
      <c r="O155" s="22" t="s">
        <v>3937</v>
      </c>
      <c r="P155" s="22" t="str">
        <f>HYPERLINK("https://ceds.ed.gov/cedselementdetails.aspx?termid=22312")</f>
        <v>https://ceds.ed.gov/cedselementdetails.aspx?termid=22312</v>
      </c>
      <c r="Q155" s="22">
        <v>63792</v>
      </c>
    </row>
    <row r="156" spans="1:17" ht="43.2" x14ac:dyDescent="0.3">
      <c r="A156" s="22" t="s">
        <v>7709</v>
      </c>
      <c r="B156" s="22" t="s">
        <v>9193</v>
      </c>
      <c r="C156" s="22" t="s">
        <v>7730</v>
      </c>
      <c r="D156" s="22" t="s">
        <v>7741</v>
      </c>
      <c r="E156" s="22" t="s">
        <v>3938</v>
      </c>
      <c r="F156" s="24" t="s">
        <v>8134</v>
      </c>
      <c r="G156" s="23" t="s">
        <v>32</v>
      </c>
      <c r="H156" s="22"/>
      <c r="I156" s="22" t="s">
        <v>172</v>
      </c>
      <c r="J156" s="22" t="s">
        <v>113</v>
      </c>
      <c r="K156" s="24" t="s">
        <v>8135</v>
      </c>
      <c r="L156" s="24"/>
      <c r="M156" s="25" t="s">
        <v>3939</v>
      </c>
      <c r="N156" s="22"/>
      <c r="O156" s="22" t="s">
        <v>3940</v>
      </c>
      <c r="P156" s="22" t="str">
        <f>HYPERLINK("https://ceds.ed.gov/cedselementdetails.aspx?termid=22313")</f>
        <v>https://ceds.ed.gov/cedselementdetails.aspx?termid=22313</v>
      </c>
      <c r="Q156" s="22">
        <v>63793</v>
      </c>
    </row>
    <row r="157" spans="1:17" ht="144" x14ac:dyDescent="0.3">
      <c r="A157" s="22" t="s">
        <v>7709</v>
      </c>
      <c r="B157" s="22" t="s">
        <v>9193</v>
      </c>
      <c r="C157" s="22" t="s">
        <v>7730</v>
      </c>
      <c r="D157" s="22" t="s">
        <v>7741</v>
      </c>
      <c r="E157" s="22" t="s">
        <v>8136</v>
      </c>
      <c r="F157" s="24" t="s">
        <v>3944</v>
      </c>
      <c r="G157" s="26" t="s">
        <v>8441</v>
      </c>
      <c r="H157" s="22"/>
      <c r="I157" s="22" t="s">
        <v>172</v>
      </c>
      <c r="J157" s="22"/>
      <c r="K157" s="24" t="s">
        <v>8137</v>
      </c>
      <c r="L157" s="24" t="s">
        <v>8138</v>
      </c>
      <c r="M157" s="25" t="s">
        <v>3945</v>
      </c>
      <c r="N157" s="22"/>
      <c r="O157" s="22" t="s">
        <v>8139</v>
      </c>
      <c r="P157" s="22" t="str">
        <f>HYPERLINK("https://ceds.ed.gov/cedselementdetails.aspx?termid=22314")</f>
        <v>https://ceds.ed.gov/cedselementdetails.aspx?termid=22314</v>
      </c>
      <c r="Q157" s="22">
        <v>63794</v>
      </c>
    </row>
    <row r="158" spans="1:17" ht="144" x14ac:dyDescent="0.3">
      <c r="A158" s="22" t="s">
        <v>7709</v>
      </c>
      <c r="B158" s="22" t="s">
        <v>9193</v>
      </c>
      <c r="C158" s="22" t="s">
        <v>7730</v>
      </c>
      <c r="D158" s="22" t="s">
        <v>7741</v>
      </c>
      <c r="E158" s="22" t="s">
        <v>8154</v>
      </c>
      <c r="F158" s="24" t="s">
        <v>8155</v>
      </c>
      <c r="G158" s="26" t="s">
        <v>8444</v>
      </c>
      <c r="H158" s="22"/>
      <c r="I158" s="22" t="s">
        <v>172</v>
      </c>
      <c r="J158" s="22"/>
      <c r="K158" s="24" t="s">
        <v>8137</v>
      </c>
      <c r="L158" s="24" t="s">
        <v>8156</v>
      </c>
      <c r="M158" s="25" t="s">
        <v>3946</v>
      </c>
      <c r="N158" s="22"/>
      <c r="O158" s="22" t="s">
        <v>8157</v>
      </c>
      <c r="P158" s="22" t="str">
        <f>HYPERLINK("https://ceds.ed.gov/cedselementdetails.aspx?termid=22316")</f>
        <v>https://ceds.ed.gov/cedselementdetails.aspx?termid=22316</v>
      </c>
      <c r="Q158" s="22">
        <v>63795</v>
      </c>
    </row>
    <row r="159" spans="1:17" ht="409.6" x14ac:dyDescent="0.3">
      <c r="A159" s="22" t="s">
        <v>7709</v>
      </c>
      <c r="B159" s="22" t="s">
        <v>9193</v>
      </c>
      <c r="C159" s="22" t="s">
        <v>7730</v>
      </c>
      <c r="D159" s="22" t="s">
        <v>7741</v>
      </c>
      <c r="E159" s="22" t="s">
        <v>8161</v>
      </c>
      <c r="F159" s="24" t="s">
        <v>8162</v>
      </c>
      <c r="G159" s="26" t="s">
        <v>8445</v>
      </c>
      <c r="H159" s="22"/>
      <c r="I159" s="22" t="s">
        <v>172</v>
      </c>
      <c r="J159" s="22"/>
      <c r="K159" s="24" t="s">
        <v>8137</v>
      </c>
      <c r="L159" s="24" t="s">
        <v>8163</v>
      </c>
      <c r="M159" s="25" t="s">
        <v>3947</v>
      </c>
      <c r="N159" s="22"/>
      <c r="O159" s="22" t="s">
        <v>8164</v>
      </c>
      <c r="P159" s="22" t="str">
        <f>HYPERLINK("https://ceds.ed.gov/cedselementdetails.aspx?termid=22440")</f>
        <v>https://ceds.ed.gov/cedselementdetails.aspx?termid=22440</v>
      </c>
      <c r="Q159" s="22">
        <v>63796</v>
      </c>
    </row>
    <row r="160" spans="1:17" ht="43.2" x14ac:dyDescent="0.3">
      <c r="A160" s="22" t="s">
        <v>7709</v>
      </c>
      <c r="B160" s="22" t="s">
        <v>9193</v>
      </c>
      <c r="C160" s="22" t="s">
        <v>7730</v>
      </c>
      <c r="D160" s="22" t="s">
        <v>7741</v>
      </c>
      <c r="E160" s="22" t="s">
        <v>3948</v>
      </c>
      <c r="F160" s="24" t="s">
        <v>8152</v>
      </c>
      <c r="G160" s="23" t="s">
        <v>32</v>
      </c>
      <c r="H160" s="22"/>
      <c r="I160" s="22" t="s">
        <v>172</v>
      </c>
      <c r="J160" s="22" t="s">
        <v>780</v>
      </c>
      <c r="K160" s="24" t="s">
        <v>8135</v>
      </c>
      <c r="L160" s="24"/>
      <c r="M160" s="25" t="s">
        <v>3949</v>
      </c>
      <c r="N160" s="22"/>
      <c r="O160" s="22" t="s">
        <v>3950</v>
      </c>
      <c r="P160" s="22" t="str">
        <f>HYPERLINK("https://ceds.ed.gov/cedselementdetails.aspx?termid=22315")</f>
        <v>https://ceds.ed.gov/cedselementdetails.aspx?termid=22315</v>
      </c>
      <c r="Q160" s="22">
        <v>63797</v>
      </c>
    </row>
    <row r="161" spans="1:17" ht="86.4" x14ac:dyDescent="0.3">
      <c r="A161" s="22" t="s">
        <v>7709</v>
      </c>
      <c r="B161" s="22" t="s">
        <v>9193</v>
      </c>
      <c r="C161" s="22" t="s">
        <v>7730</v>
      </c>
      <c r="D161" s="22" t="s">
        <v>7741</v>
      </c>
      <c r="E161" s="22" t="s">
        <v>3951</v>
      </c>
      <c r="F161" s="24" t="s">
        <v>8153</v>
      </c>
      <c r="G161" s="23" t="s">
        <v>32</v>
      </c>
      <c r="H161" s="22"/>
      <c r="I161" s="22" t="s">
        <v>172</v>
      </c>
      <c r="J161" s="22" t="s">
        <v>85</v>
      </c>
      <c r="K161" s="24" t="s">
        <v>7946</v>
      </c>
      <c r="L161" s="24"/>
      <c r="M161" s="25" t="s">
        <v>3952</v>
      </c>
      <c r="N161" s="22"/>
      <c r="O161" s="22" t="s">
        <v>3953</v>
      </c>
      <c r="P161" s="22" t="str">
        <f>HYPERLINK("https://ceds.ed.gov/cedselementdetails.aspx?termid=22530")</f>
        <v>https://ceds.ed.gov/cedselementdetails.aspx?termid=22530</v>
      </c>
      <c r="Q161" s="22">
        <v>63798</v>
      </c>
    </row>
    <row r="162" spans="1:17" ht="43.2" x14ac:dyDescent="0.3">
      <c r="A162" s="22" t="s">
        <v>7709</v>
      </c>
      <c r="B162" s="22" t="s">
        <v>9193</v>
      </c>
      <c r="C162" s="22" t="s">
        <v>7730</v>
      </c>
      <c r="D162" s="22" t="s">
        <v>7741</v>
      </c>
      <c r="E162" s="22" t="s">
        <v>3954</v>
      </c>
      <c r="F162" s="24" t="s">
        <v>8158</v>
      </c>
      <c r="G162" s="23" t="s">
        <v>32</v>
      </c>
      <c r="H162" s="22"/>
      <c r="I162" s="22" t="s">
        <v>172</v>
      </c>
      <c r="J162" s="22" t="s">
        <v>780</v>
      </c>
      <c r="K162" s="24" t="s">
        <v>8159</v>
      </c>
      <c r="L162" s="24"/>
      <c r="M162" s="25" t="s">
        <v>3955</v>
      </c>
      <c r="N162" s="22"/>
      <c r="O162" s="22" t="s">
        <v>3956</v>
      </c>
      <c r="P162" s="22" t="str">
        <f>HYPERLINK("https://ceds.ed.gov/cedselementdetails.aspx?termid=22626")</f>
        <v>https://ceds.ed.gov/cedselementdetails.aspx?termid=22626</v>
      </c>
      <c r="Q162" s="22">
        <v>63799</v>
      </c>
    </row>
    <row r="163" spans="1:17" ht="43.2" x14ac:dyDescent="0.3">
      <c r="A163" s="22" t="s">
        <v>7709</v>
      </c>
      <c r="B163" s="22" t="s">
        <v>9193</v>
      </c>
      <c r="C163" s="22" t="s">
        <v>7730</v>
      </c>
      <c r="D163" s="22" t="s">
        <v>7741</v>
      </c>
      <c r="E163" s="22" t="s">
        <v>3957</v>
      </c>
      <c r="F163" s="24" t="s">
        <v>8160</v>
      </c>
      <c r="G163" s="23" t="s">
        <v>32</v>
      </c>
      <c r="H163" s="22"/>
      <c r="I163" s="22" t="s">
        <v>172</v>
      </c>
      <c r="J163" s="22" t="s">
        <v>85</v>
      </c>
      <c r="K163" s="24" t="s">
        <v>8159</v>
      </c>
      <c r="L163" s="24"/>
      <c r="M163" s="25" t="s">
        <v>3958</v>
      </c>
      <c r="N163" s="22"/>
      <c r="O163" s="22" t="s">
        <v>3959</v>
      </c>
      <c r="P163" s="22" t="str">
        <f>HYPERLINK("https://ceds.ed.gov/cedselementdetails.aspx?termid=22627")</f>
        <v>https://ceds.ed.gov/cedselementdetails.aspx?termid=22627</v>
      </c>
      <c r="Q163" s="22">
        <v>63800</v>
      </c>
    </row>
    <row r="164" spans="1:17" ht="129.6" x14ac:dyDescent="0.3">
      <c r="A164" s="22" t="s">
        <v>7709</v>
      </c>
      <c r="B164" s="22" t="s">
        <v>9193</v>
      </c>
      <c r="C164" s="22" t="s">
        <v>7730</v>
      </c>
      <c r="D164" s="22" t="s">
        <v>7741</v>
      </c>
      <c r="E164" s="22" t="s">
        <v>3977</v>
      </c>
      <c r="F164" s="24" t="s">
        <v>3978</v>
      </c>
      <c r="G164" s="23" t="s">
        <v>32</v>
      </c>
      <c r="H164" s="22"/>
      <c r="I164" s="22" t="s">
        <v>172</v>
      </c>
      <c r="J164" s="22" t="s">
        <v>1518</v>
      </c>
      <c r="K164" s="24" t="s">
        <v>7946</v>
      </c>
      <c r="L164" s="24" t="s">
        <v>3979</v>
      </c>
      <c r="M164" s="25" t="s">
        <v>3980</v>
      </c>
      <c r="N164" s="22"/>
      <c r="O164" s="22" t="s">
        <v>3981</v>
      </c>
      <c r="P164" s="22" t="str">
        <f>HYPERLINK("https://ceds.ed.gov/cedselementdetails.aspx?termid=22628")</f>
        <v>https://ceds.ed.gov/cedselementdetails.aspx?termid=22628</v>
      </c>
      <c r="Q164" s="22">
        <v>63801</v>
      </c>
    </row>
    <row r="165" spans="1:17" ht="28.8" x14ac:dyDescent="0.3">
      <c r="A165" s="22" t="s">
        <v>7709</v>
      </c>
      <c r="B165" s="22" t="s">
        <v>9193</v>
      </c>
      <c r="C165" s="22" t="s">
        <v>7730</v>
      </c>
      <c r="D165" s="22" t="s">
        <v>7741</v>
      </c>
      <c r="E165" s="22" t="s">
        <v>3960</v>
      </c>
      <c r="F165" s="24" t="s">
        <v>3961</v>
      </c>
      <c r="G165" s="23" t="s">
        <v>32</v>
      </c>
      <c r="H165" s="22"/>
      <c r="I165" s="22" t="s">
        <v>172</v>
      </c>
      <c r="J165" s="22" t="s">
        <v>118</v>
      </c>
      <c r="K165" s="24" t="s">
        <v>7946</v>
      </c>
      <c r="L165" s="24"/>
      <c r="M165" s="25" t="s">
        <v>3962</v>
      </c>
      <c r="N165" s="22"/>
      <c r="O165" s="22" t="s">
        <v>3963</v>
      </c>
      <c r="P165" s="22" t="str">
        <f>HYPERLINK("https://ceds.ed.gov/cedselementdetails.aspx?termid=22629")</f>
        <v>https://ceds.ed.gov/cedselementdetails.aspx?termid=22629</v>
      </c>
      <c r="Q165" s="22">
        <v>63802</v>
      </c>
    </row>
    <row r="166" spans="1:17" ht="43.2" x14ac:dyDescent="0.3">
      <c r="A166" s="22" t="s">
        <v>7709</v>
      </c>
      <c r="B166" s="22" t="s">
        <v>9193</v>
      </c>
      <c r="C166" s="22" t="s">
        <v>7730</v>
      </c>
      <c r="D166" s="22" t="s">
        <v>7741</v>
      </c>
      <c r="E166" s="22" t="s">
        <v>3964</v>
      </c>
      <c r="F166" s="24" t="s">
        <v>3965</v>
      </c>
      <c r="G166" s="23" t="s">
        <v>32</v>
      </c>
      <c r="H166" s="22"/>
      <c r="I166" s="22" t="s">
        <v>172</v>
      </c>
      <c r="J166" s="22" t="s">
        <v>1518</v>
      </c>
      <c r="K166" s="24" t="s">
        <v>7946</v>
      </c>
      <c r="L166" s="24"/>
      <c r="M166" s="25" t="s">
        <v>3966</v>
      </c>
      <c r="N166" s="22"/>
      <c r="O166" s="22" t="s">
        <v>3967</v>
      </c>
      <c r="P166" s="22" t="str">
        <f>HYPERLINK("https://ceds.ed.gov/cedselementdetails.aspx?termid=22317")</f>
        <v>https://ceds.ed.gov/cedselementdetails.aspx?termid=22317</v>
      </c>
      <c r="Q166" s="22">
        <v>63803</v>
      </c>
    </row>
    <row r="167" spans="1:17" ht="43.2" x14ac:dyDescent="0.3">
      <c r="A167" s="22" t="s">
        <v>7709</v>
      </c>
      <c r="B167" s="22" t="s">
        <v>9193</v>
      </c>
      <c r="C167" s="22" t="s">
        <v>7730</v>
      </c>
      <c r="D167" s="22" t="s">
        <v>7741</v>
      </c>
      <c r="E167" s="22" t="s">
        <v>3968</v>
      </c>
      <c r="F167" s="24" t="s">
        <v>3969</v>
      </c>
      <c r="G167" s="23" t="s">
        <v>32</v>
      </c>
      <c r="H167" s="22"/>
      <c r="I167" s="22" t="s">
        <v>172</v>
      </c>
      <c r="J167" s="22" t="s">
        <v>1518</v>
      </c>
      <c r="K167" s="24" t="s">
        <v>7946</v>
      </c>
      <c r="L167" s="24"/>
      <c r="M167" s="25" t="s">
        <v>3970</v>
      </c>
      <c r="N167" s="22"/>
      <c r="O167" s="22" t="s">
        <v>3971</v>
      </c>
      <c r="P167" s="22" t="str">
        <f>HYPERLINK("https://ceds.ed.gov/cedselementdetails.aspx?termid=22318")</f>
        <v>https://ceds.ed.gov/cedselementdetails.aspx?termid=22318</v>
      </c>
      <c r="Q167" s="22">
        <v>63804</v>
      </c>
    </row>
    <row r="168" spans="1:17" ht="57.6" x14ac:dyDescent="0.3">
      <c r="A168" s="22" t="s">
        <v>7709</v>
      </c>
      <c r="B168" s="22" t="s">
        <v>9193</v>
      </c>
      <c r="C168" s="22" t="s">
        <v>7730</v>
      </c>
      <c r="D168" s="22" t="s">
        <v>7741</v>
      </c>
      <c r="E168" s="22" t="s">
        <v>3972</v>
      </c>
      <c r="F168" s="24" t="s">
        <v>3973</v>
      </c>
      <c r="G168" s="23" t="s">
        <v>32</v>
      </c>
      <c r="H168" s="22"/>
      <c r="I168" s="22" t="s">
        <v>172</v>
      </c>
      <c r="J168" s="22" t="s">
        <v>1518</v>
      </c>
      <c r="K168" s="24" t="s">
        <v>7946</v>
      </c>
      <c r="L168" s="24" t="s">
        <v>3974</v>
      </c>
      <c r="M168" s="25" t="s">
        <v>3975</v>
      </c>
      <c r="N168" s="22"/>
      <c r="O168" s="22" t="s">
        <v>3976</v>
      </c>
      <c r="P168" s="22" t="str">
        <f>HYPERLINK("https://ceds.ed.gov/cedselementdetails.aspx?termid=22625")</f>
        <v>https://ceds.ed.gov/cedselementdetails.aspx?termid=22625</v>
      </c>
      <c r="Q168" s="22">
        <v>63805</v>
      </c>
    </row>
    <row r="169" spans="1:17" ht="409.6" x14ac:dyDescent="0.3">
      <c r="A169" s="22" t="s">
        <v>7709</v>
      </c>
      <c r="B169" s="22" t="s">
        <v>9193</v>
      </c>
      <c r="C169" s="22" t="s">
        <v>7730</v>
      </c>
      <c r="D169" s="22" t="s">
        <v>7741</v>
      </c>
      <c r="E169" s="22" t="s">
        <v>8173</v>
      </c>
      <c r="F169" s="24" t="s">
        <v>8174</v>
      </c>
      <c r="G169" s="26" t="s">
        <v>8447</v>
      </c>
      <c r="H169" s="22"/>
      <c r="I169" s="22" t="s">
        <v>172</v>
      </c>
      <c r="J169" s="22"/>
      <c r="K169" s="24" t="s">
        <v>8175</v>
      </c>
      <c r="L169" s="24" t="s">
        <v>8176</v>
      </c>
      <c r="M169" s="25" t="s">
        <v>4017</v>
      </c>
      <c r="N169" s="22"/>
      <c r="O169" s="22" t="s">
        <v>8177</v>
      </c>
      <c r="P169" s="22" t="str">
        <f>HYPERLINK("https://ceds.ed.gov/cedselementdetails.aspx?termid=22321")</f>
        <v>https://ceds.ed.gov/cedselementdetails.aspx?termid=22321</v>
      </c>
      <c r="Q169" s="22">
        <v>63806</v>
      </c>
    </row>
    <row r="170" spans="1:17" ht="187.2" x14ac:dyDescent="0.3">
      <c r="A170" s="22" t="s">
        <v>7709</v>
      </c>
      <c r="B170" s="22" t="s">
        <v>9193</v>
      </c>
      <c r="C170" s="22" t="s">
        <v>7730</v>
      </c>
      <c r="D170" s="22" t="s">
        <v>7741</v>
      </c>
      <c r="E170" s="22" t="s">
        <v>8178</v>
      </c>
      <c r="F170" s="24" t="s">
        <v>4018</v>
      </c>
      <c r="G170" s="26" t="s">
        <v>8448</v>
      </c>
      <c r="H170" s="22"/>
      <c r="I170" s="22" t="s">
        <v>172</v>
      </c>
      <c r="J170" s="22"/>
      <c r="K170" s="24" t="s">
        <v>8179</v>
      </c>
      <c r="L170" s="24" t="s">
        <v>8180</v>
      </c>
      <c r="M170" s="25" t="s">
        <v>4019</v>
      </c>
      <c r="N170" s="22"/>
      <c r="O170" s="22" t="s">
        <v>8181</v>
      </c>
      <c r="P170" s="22" t="str">
        <f>HYPERLINK("https://ceds.ed.gov/cedselementdetails.aspx?termid=22531")</f>
        <v>https://ceds.ed.gov/cedselementdetails.aspx?termid=22531</v>
      </c>
      <c r="Q170" s="22">
        <v>63807</v>
      </c>
    </row>
    <row r="171" spans="1:17" ht="409.6" x14ac:dyDescent="0.3">
      <c r="A171" s="22" t="s">
        <v>7709</v>
      </c>
      <c r="B171" s="22" t="s">
        <v>9193</v>
      </c>
      <c r="C171" s="22" t="s">
        <v>7730</v>
      </c>
      <c r="D171" s="22" t="s">
        <v>7741</v>
      </c>
      <c r="E171" s="22" t="s">
        <v>8191</v>
      </c>
      <c r="F171" s="24" t="s">
        <v>8192</v>
      </c>
      <c r="G171" s="26" t="s">
        <v>8449</v>
      </c>
      <c r="H171" s="22"/>
      <c r="I171" s="22" t="s">
        <v>172</v>
      </c>
      <c r="J171" s="22"/>
      <c r="K171" s="24" t="s">
        <v>8137</v>
      </c>
      <c r="L171" s="24" t="s">
        <v>8193</v>
      </c>
      <c r="M171" s="25" t="s">
        <v>4020</v>
      </c>
      <c r="N171" s="22"/>
      <c r="O171" s="22" t="s">
        <v>8194</v>
      </c>
      <c r="P171" s="22" t="str">
        <f>HYPERLINK("https://ceds.ed.gov/cedselementdetails.aspx?termid=22322")</f>
        <v>https://ceds.ed.gov/cedselementdetails.aspx?termid=22322</v>
      </c>
      <c r="Q171" s="22">
        <v>63808</v>
      </c>
    </row>
    <row r="172" spans="1:17" ht="259.2" x14ac:dyDescent="0.3">
      <c r="A172" s="22" t="s">
        <v>7709</v>
      </c>
      <c r="B172" s="22" t="s">
        <v>9193</v>
      </c>
      <c r="C172" s="22" t="s">
        <v>7730</v>
      </c>
      <c r="D172" s="22" t="s">
        <v>7741</v>
      </c>
      <c r="E172" s="22" t="s">
        <v>8195</v>
      </c>
      <c r="F172" s="24" t="s">
        <v>8196</v>
      </c>
      <c r="G172" s="23" t="s">
        <v>32</v>
      </c>
      <c r="H172" s="22"/>
      <c r="I172" s="22" t="s">
        <v>172</v>
      </c>
      <c r="J172" s="22" t="s">
        <v>148</v>
      </c>
      <c r="K172" s="24" t="s">
        <v>8197</v>
      </c>
      <c r="L172" s="24" t="s">
        <v>8198</v>
      </c>
      <c r="M172" s="25" t="s">
        <v>4021</v>
      </c>
      <c r="N172" s="22"/>
      <c r="O172" s="22" t="s">
        <v>8199</v>
      </c>
      <c r="P172" s="22" t="str">
        <f>HYPERLINK("https://ceds.ed.gov/cedselementdetails.aspx?termid=22532")</f>
        <v>https://ceds.ed.gov/cedselementdetails.aspx?termid=22532</v>
      </c>
      <c r="Q172" s="22">
        <v>63809</v>
      </c>
    </row>
    <row r="173" spans="1:17" ht="28.8" x14ac:dyDescent="0.3">
      <c r="A173" s="22" t="s">
        <v>7709</v>
      </c>
      <c r="B173" s="22" t="s">
        <v>9193</v>
      </c>
      <c r="C173" s="22" t="s">
        <v>7730</v>
      </c>
      <c r="D173" s="22" t="s">
        <v>7741</v>
      </c>
      <c r="E173" s="22" t="s">
        <v>4058</v>
      </c>
      <c r="F173" s="24" t="s">
        <v>4059</v>
      </c>
      <c r="G173" s="23" t="s">
        <v>32</v>
      </c>
      <c r="H173" s="22"/>
      <c r="I173" s="22" t="s">
        <v>172</v>
      </c>
      <c r="J173" s="22" t="s">
        <v>118</v>
      </c>
      <c r="K173" s="24" t="s">
        <v>7946</v>
      </c>
      <c r="L173" s="24"/>
      <c r="M173" s="25" t="s">
        <v>4060</v>
      </c>
      <c r="N173" s="22"/>
      <c r="O173" s="22" t="s">
        <v>4061</v>
      </c>
      <c r="P173" s="22" t="str">
        <f>HYPERLINK("https://ceds.ed.gov/cedselementdetails.aspx?termid=22623")</f>
        <v>https://ceds.ed.gov/cedselementdetails.aspx?termid=22623</v>
      </c>
      <c r="Q173" s="22">
        <v>63810</v>
      </c>
    </row>
    <row r="174" spans="1:17" ht="57.6" x14ac:dyDescent="0.3">
      <c r="A174" s="22" t="s">
        <v>7709</v>
      </c>
      <c r="B174" s="22" t="s">
        <v>9193</v>
      </c>
      <c r="C174" s="22" t="s">
        <v>7730</v>
      </c>
      <c r="D174" s="22" t="s">
        <v>7741</v>
      </c>
      <c r="E174" s="22" t="s">
        <v>4062</v>
      </c>
      <c r="F174" s="24" t="s">
        <v>4063</v>
      </c>
      <c r="G174" s="23" t="s">
        <v>32</v>
      </c>
      <c r="H174" s="22"/>
      <c r="I174" s="22" t="s">
        <v>172</v>
      </c>
      <c r="J174" s="22" t="s">
        <v>118</v>
      </c>
      <c r="K174" s="24" t="s">
        <v>7946</v>
      </c>
      <c r="L174" s="24" t="s">
        <v>143</v>
      </c>
      <c r="M174" s="25" t="s">
        <v>4064</v>
      </c>
      <c r="N174" s="22"/>
      <c r="O174" s="22" t="s">
        <v>4065</v>
      </c>
      <c r="P174" s="22" t="str">
        <f>HYPERLINK("https://ceds.ed.gov/cedselementdetails.aspx?termid=22624")</f>
        <v>https://ceds.ed.gov/cedselementdetails.aspx?termid=22624</v>
      </c>
      <c r="Q174" s="22">
        <v>63811</v>
      </c>
    </row>
    <row r="175" spans="1:17" ht="43.2" x14ac:dyDescent="0.3">
      <c r="A175" s="22" t="s">
        <v>7709</v>
      </c>
      <c r="B175" s="22" t="s">
        <v>9193</v>
      </c>
      <c r="C175" s="22" t="s">
        <v>7730</v>
      </c>
      <c r="D175" s="22" t="s">
        <v>7741</v>
      </c>
      <c r="E175" s="22" t="s">
        <v>4066</v>
      </c>
      <c r="F175" s="24" t="s">
        <v>8202</v>
      </c>
      <c r="G175" s="23" t="s">
        <v>32</v>
      </c>
      <c r="H175" s="22"/>
      <c r="I175" s="22" t="s">
        <v>172</v>
      </c>
      <c r="J175" s="22" t="s">
        <v>1844</v>
      </c>
      <c r="K175" s="24" t="s">
        <v>8159</v>
      </c>
      <c r="L175" s="24"/>
      <c r="M175" s="25" t="s">
        <v>4067</v>
      </c>
      <c r="N175" s="22"/>
      <c r="O175" s="22" t="s">
        <v>4068</v>
      </c>
      <c r="P175" s="22" t="str">
        <f>HYPERLINK("https://ceds.ed.gov/cedselementdetails.aspx?termid=22620")</f>
        <v>https://ceds.ed.gov/cedselementdetails.aspx?termid=22620</v>
      </c>
      <c r="Q175" s="22">
        <v>63812</v>
      </c>
    </row>
    <row r="176" spans="1:17" ht="43.2" x14ac:dyDescent="0.3">
      <c r="A176" s="22" t="s">
        <v>7709</v>
      </c>
      <c r="B176" s="22" t="s">
        <v>9193</v>
      </c>
      <c r="C176" s="22" t="s">
        <v>7731</v>
      </c>
      <c r="D176" s="22" t="s">
        <v>7710</v>
      </c>
      <c r="E176" s="22" t="s">
        <v>6161</v>
      </c>
      <c r="F176" s="24" t="s">
        <v>6162</v>
      </c>
      <c r="G176" s="26" t="s">
        <v>22</v>
      </c>
      <c r="H176" s="24" t="s">
        <v>3452</v>
      </c>
      <c r="I176" s="22"/>
      <c r="J176" s="22"/>
      <c r="K176" s="24"/>
      <c r="L176" s="24"/>
      <c r="M176" s="25" t="s">
        <v>6163</v>
      </c>
      <c r="N176" s="22"/>
      <c r="O176" s="22" t="s">
        <v>6164</v>
      </c>
      <c r="P176" s="22" t="str">
        <f>HYPERLINK("https://ceds.ed.gov/cedselementdetails.aspx?termid=21863")</f>
        <v>https://ceds.ed.gov/cedselementdetails.aspx?termid=21863</v>
      </c>
      <c r="Q176" s="22">
        <v>60314</v>
      </c>
    </row>
    <row r="177" spans="1:17" ht="115.2" x14ac:dyDescent="0.3">
      <c r="A177" s="22" t="s">
        <v>7709</v>
      </c>
      <c r="B177" s="22" t="s">
        <v>9193</v>
      </c>
      <c r="C177" s="22" t="s">
        <v>7732</v>
      </c>
      <c r="D177" s="22" t="s">
        <v>7710</v>
      </c>
      <c r="E177" s="22" t="s">
        <v>7139</v>
      </c>
      <c r="F177" s="24" t="s">
        <v>7140</v>
      </c>
      <c r="G177" s="26" t="s">
        <v>22</v>
      </c>
      <c r="H177" s="22"/>
      <c r="I177" s="22" t="s">
        <v>172</v>
      </c>
      <c r="J177" s="22"/>
      <c r="K177" s="24" t="s">
        <v>7946</v>
      </c>
      <c r="L177" s="24" t="s">
        <v>8331</v>
      </c>
      <c r="M177" s="25" t="s">
        <v>7141</v>
      </c>
      <c r="N177" s="22"/>
      <c r="O177" s="22" t="s">
        <v>7142</v>
      </c>
      <c r="P177" s="22" t="str">
        <f>HYPERLINK("https://ceds.ed.gov/cedselementdetails.aspx?termid=22465")</f>
        <v>https://ceds.ed.gov/cedselementdetails.aspx?termid=22465</v>
      </c>
      <c r="Q177" s="22">
        <v>61433</v>
      </c>
    </row>
    <row r="178" spans="1:17" ht="115.2" x14ac:dyDescent="0.3">
      <c r="A178" s="22" t="s">
        <v>7709</v>
      </c>
      <c r="B178" s="22" t="s">
        <v>9193</v>
      </c>
      <c r="C178" s="22" t="s">
        <v>7732</v>
      </c>
      <c r="D178" s="22" t="s">
        <v>7710</v>
      </c>
      <c r="E178" s="22" t="s">
        <v>7143</v>
      </c>
      <c r="F178" s="24" t="s">
        <v>7144</v>
      </c>
      <c r="G178" s="26" t="s">
        <v>8550</v>
      </c>
      <c r="H178" s="22"/>
      <c r="I178" s="22" t="s">
        <v>172</v>
      </c>
      <c r="J178" s="22"/>
      <c r="K178" s="24" t="s">
        <v>7946</v>
      </c>
      <c r="L178" s="24" t="s">
        <v>8331</v>
      </c>
      <c r="M178" s="25" t="s">
        <v>7145</v>
      </c>
      <c r="N178" s="22"/>
      <c r="O178" s="22" t="s">
        <v>7146</v>
      </c>
      <c r="P178" s="22" t="str">
        <f>HYPERLINK("https://ceds.ed.gov/cedselementdetails.aspx?termid=22466")</f>
        <v>https://ceds.ed.gov/cedselementdetails.aspx?termid=22466</v>
      </c>
      <c r="Q178" s="22">
        <v>61437</v>
      </c>
    </row>
    <row r="179" spans="1:17" ht="259.2" x14ac:dyDescent="0.3">
      <c r="A179" s="22" t="s">
        <v>7709</v>
      </c>
      <c r="B179" s="22" t="s">
        <v>9193</v>
      </c>
      <c r="C179" s="22" t="s">
        <v>7732</v>
      </c>
      <c r="D179" s="22" t="s">
        <v>7710</v>
      </c>
      <c r="E179" s="22" t="s">
        <v>7147</v>
      </c>
      <c r="F179" s="24" t="s">
        <v>7148</v>
      </c>
      <c r="G179" s="26" t="s">
        <v>9162</v>
      </c>
      <c r="H179" s="22"/>
      <c r="I179" s="22"/>
      <c r="J179" s="22"/>
      <c r="K179" s="24"/>
      <c r="L179" s="24" t="s">
        <v>8331</v>
      </c>
      <c r="M179" s="25" t="s">
        <v>7149</v>
      </c>
      <c r="N179" s="22"/>
      <c r="O179" s="22" t="s">
        <v>7150</v>
      </c>
      <c r="P179" s="22" t="str">
        <f>HYPERLINK("https://ceds.ed.gov/cedselementdetails.aspx?termid=22467")</f>
        <v>https://ceds.ed.gov/cedselementdetails.aspx?termid=22467</v>
      </c>
      <c r="Q179" s="22">
        <v>61441</v>
      </c>
    </row>
    <row r="180" spans="1:17" ht="72" x14ac:dyDescent="0.3">
      <c r="A180" s="22" t="s">
        <v>7709</v>
      </c>
      <c r="B180" s="22" t="s">
        <v>9193</v>
      </c>
      <c r="C180" s="22" t="s">
        <v>7733</v>
      </c>
      <c r="D180" s="22" t="s">
        <v>7710</v>
      </c>
      <c r="E180" s="22" t="s">
        <v>6708</v>
      </c>
      <c r="F180" s="24" t="s">
        <v>6709</v>
      </c>
      <c r="G180" s="23" t="s">
        <v>32</v>
      </c>
      <c r="H180" s="22"/>
      <c r="I180" s="22"/>
      <c r="J180" s="22" t="s">
        <v>780</v>
      </c>
      <c r="K180" s="24"/>
      <c r="L180" s="24"/>
      <c r="M180" s="25" t="s">
        <v>6710</v>
      </c>
      <c r="N180" s="22"/>
      <c r="O180" s="22" t="s">
        <v>6711</v>
      </c>
      <c r="P180" s="22" t="str">
        <f>HYPERLINK("https://ceds.ed.gov/cedselementdetails.aspx?termid=22606")</f>
        <v>https://ceds.ed.gov/cedselementdetails.aspx?termid=22606</v>
      </c>
      <c r="Q180" s="22">
        <v>62104</v>
      </c>
    </row>
    <row r="181" spans="1:17" ht="28.8" x14ac:dyDescent="0.3">
      <c r="A181" s="22" t="s">
        <v>7709</v>
      </c>
      <c r="B181" s="22" t="s">
        <v>9193</v>
      </c>
      <c r="C181" s="22" t="s">
        <v>7733</v>
      </c>
      <c r="D181" s="22" t="s">
        <v>7710</v>
      </c>
      <c r="E181" s="22" t="s">
        <v>6704</v>
      </c>
      <c r="F181" s="24" t="s">
        <v>6705</v>
      </c>
      <c r="G181" s="23" t="s">
        <v>32</v>
      </c>
      <c r="H181" s="22"/>
      <c r="I181" s="22"/>
      <c r="J181" s="22" t="s">
        <v>113</v>
      </c>
      <c r="K181" s="24"/>
      <c r="L181" s="24"/>
      <c r="M181" s="25" t="s">
        <v>6706</v>
      </c>
      <c r="N181" s="22"/>
      <c r="O181" s="22" t="s">
        <v>6707</v>
      </c>
      <c r="P181" s="22" t="str">
        <f>HYPERLINK("https://ceds.ed.gov/cedselementdetails.aspx?termid=22603")</f>
        <v>https://ceds.ed.gov/cedselementdetails.aspx?termid=22603</v>
      </c>
      <c r="Q181" s="22">
        <v>62103</v>
      </c>
    </row>
    <row r="182" spans="1:17" ht="57.6" x14ac:dyDescent="0.3">
      <c r="A182" s="22" t="s">
        <v>7709</v>
      </c>
      <c r="B182" s="22" t="s">
        <v>9193</v>
      </c>
      <c r="C182" s="22" t="s">
        <v>7733</v>
      </c>
      <c r="D182" s="22" t="s">
        <v>7710</v>
      </c>
      <c r="E182" s="22" t="s">
        <v>5403</v>
      </c>
      <c r="F182" s="24" t="s">
        <v>5404</v>
      </c>
      <c r="G182" s="23" t="s">
        <v>32</v>
      </c>
      <c r="H182" s="22"/>
      <c r="I182" s="22"/>
      <c r="J182" s="22" t="s">
        <v>118</v>
      </c>
      <c r="K182" s="24"/>
      <c r="L182" s="24"/>
      <c r="M182" s="25" t="s">
        <v>5405</v>
      </c>
      <c r="N182" s="22"/>
      <c r="O182" s="22" t="s">
        <v>5406</v>
      </c>
      <c r="P182" s="22" t="str">
        <f>HYPERLINK("https://ceds.ed.gov/cedselementdetails.aspx?termid=22594")</f>
        <v>https://ceds.ed.gov/cedselementdetails.aspx?termid=22594</v>
      </c>
      <c r="Q182" s="22">
        <v>62088</v>
      </c>
    </row>
    <row r="183" spans="1:17" ht="57.6" x14ac:dyDescent="0.3">
      <c r="A183" s="22" t="s">
        <v>7709</v>
      </c>
      <c r="B183" s="22" t="s">
        <v>9193</v>
      </c>
      <c r="C183" s="22" t="s">
        <v>7733</v>
      </c>
      <c r="D183" s="22" t="s">
        <v>7710</v>
      </c>
      <c r="E183" s="22" t="s">
        <v>5399</v>
      </c>
      <c r="F183" s="24" t="s">
        <v>5400</v>
      </c>
      <c r="G183" s="23" t="s">
        <v>32</v>
      </c>
      <c r="H183" s="22"/>
      <c r="I183" s="22"/>
      <c r="J183" s="22" t="s">
        <v>118</v>
      </c>
      <c r="K183" s="24"/>
      <c r="L183" s="24" t="s">
        <v>143</v>
      </c>
      <c r="M183" s="25" t="s">
        <v>5401</v>
      </c>
      <c r="N183" s="22"/>
      <c r="O183" s="22" t="s">
        <v>5402</v>
      </c>
      <c r="P183" s="22" t="str">
        <f>HYPERLINK("https://ceds.ed.gov/cedselementdetails.aspx?termid=22593")</f>
        <v>https://ceds.ed.gov/cedselementdetails.aspx?termid=22593</v>
      </c>
      <c r="Q183" s="22">
        <v>62087</v>
      </c>
    </row>
    <row r="184" spans="1:17" ht="43.2" x14ac:dyDescent="0.3">
      <c r="A184" s="22" t="s">
        <v>7709</v>
      </c>
      <c r="B184" s="22" t="s">
        <v>9193</v>
      </c>
      <c r="C184" s="22" t="s">
        <v>7734</v>
      </c>
      <c r="D184" s="22" t="s">
        <v>7710</v>
      </c>
      <c r="E184" s="22" t="s">
        <v>6214</v>
      </c>
      <c r="F184" s="24" t="s">
        <v>6215</v>
      </c>
      <c r="G184" s="26" t="s">
        <v>22</v>
      </c>
      <c r="H184" s="22" t="s">
        <v>109</v>
      </c>
      <c r="I184" s="22"/>
      <c r="J184" s="22"/>
      <c r="K184" s="24"/>
      <c r="L184" s="24"/>
      <c r="M184" s="25" t="s">
        <v>6216</v>
      </c>
      <c r="N184" s="22"/>
      <c r="O184" s="22" t="s">
        <v>6217</v>
      </c>
      <c r="P184" s="22" t="str">
        <f>HYPERLINK("https://ceds.ed.gov/cedselementdetails.aspx?termid=21845")</f>
        <v>https://ceds.ed.gov/cedselementdetails.aspx?termid=21845</v>
      </c>
      <c r="Q184" s="22">
        <v>60299</v>
      </c>
    </row>
    <row r="185" spans="1:17" ht="43.2" x14ac:dyDescent="0.3">
      <c r="A185" s="22" t="s">
        <v>7709</v>
      </c>
      <c r="B185" s="22" t="s">
        <v>9193</v>
      </c>
      <c r="C185" s="22" t="s">
        <v>7734</v>
      </c>
      <c r="D185" s="22" t="s">
        <v>7710</v>
      </c>
      <c r="E185" s="22" t="s">
        <v>4962</v>
      </c>
      <c r="F185" s="24" t="s">
        <v>8235</v>
      </c>
      <c r="G185" s="26" t="s">
        <v>22</v>
      </c>
      <c r="H185" s="22"/>
      <c r="I185" s="22"/>
      <c r="J185" s="22"/>
      <c r="K185" s="24"/>
      <c r="L185" s="24"/>
      <c r="M185" s="25" t="s">
        <v>4963</v>
      </c>
      <c r="N185" s="22"/>
      <c r="O185" s="22" t="s">
        <v>4964</v>
      </c>
      <c r="P185" s="22" t="str">
        <f>HYPERLINK("https://ceds.ed.gov/cedselementdetails.aspx?termid=22190")</f>
        <v>https://ceds.ed.gov/cedselementdetails.aspx?termid=22190</v>
      </c>
      <c r="Q185" s="22">
        <v>59631</v>
      </c>
    </row>
    <row r="186" spans="1:17" ht="43.2" x14ac:dyDescent="0.3">
      <c r="A186" s="22" t="s">
        <v>7709</v>
      </c>
      <c r="B186" s="22" t="s">
        <v>9193</v>
      </c>
      <c r="C186" s="22" t="s">
        <v>7735</v>
      </c>
      <c r="D186" s="22" t="s">
        <v>7710</v>
      </c>
      <c r="E186" s="22" t="s">
        <v>5659</v>
      </c>
      <c r="F186" s="24" t="s">
        <v>5660</v>
      </c>
      <c r="G186" s="26" t="s">
        <v>22</v>
      </c>
      <c r="H186" s="22" t="s">
        <v>109</v>
      </c>
      <c r="I186" s="22"/>
      <c r="J186" s="22"/>
      <c r="K186" s="24"/>
      <c r="L186" s="24"/>
      <c r="M186" s="25" t="s">
        <v>5661</v>
      </c>
      <c r="N186" s="22"/>
      <c r="O186" s="22" t="s">
        <v>5662</v>
      </c>
      <c r="P186" s="22" t="str">
        <f>HYPERLINK("https://ceds.ed.gov/cedselementdetails.aspx?termid=21847")</f>
        <v>https://ceds.ed.gov/cedselementdetails.aspx?termid=21847</v>
      </c>
      <c r="Q186" s="22">
        <v>60300</v>
      </c>
    </row>
    <row r="187" spans="1:17" ht="57.6" x14ac:dyDescent="0.3">
      <c r="A187" s="22" t="s">
        <v>7709</v>
      </c>
      <c r="B187" s="22" t="s">
        <v>9193</v>
      </c>
      <c r="C187" s="22" t="s">
        <v>7735</v>
      </c>
      <c r="D187" s="22" t="s">
        <v>7710</v>
      </c>
      <c r="E187" s="22" t="s">
        <v>3385</v>
      </c>
      <c r="F187" s="24" t="s">
        <v>3386</v>
      </c>
      <c r="G187" s="26" t="s">
        <v>22</v>
      </c>
      <c r="H187" s="22" t="s">
        <v>109</v>
      </c>
      <c r="I187" s="22"/>
      <c r="J187" s="22"/>
      <c r="K187" s="24"/>
      <c r="L187" s="24"/>
      <c r="M187" s="25" t="s">
        <v>3387</v>
      </c>
      <c r="N187" s="22"/>
      <c r="O187" s="22" t="s">
        <v>3388</v>
      </c>
      <c r="P187" s="22" t="str">
        <f>HYPERLINK("https://ceds.ed.gov/cedselementdetails.aspx?termid=21848")</f>
        <v>https://ceds.ed.gov/cedselementdetails.aspx?termid=21848</v>
      </c>
      <c r="Q187" s="22">
        <v>60301</v>
      </c>
    </row>
    <row r="188" spans="1:17" ht="57.6" x14ac:dyDescent="0.3">
      <c r="A188" s="22" t="s">
        <v>7709</v>
      </c>
      <c r="B188" s="22" t="s">
        <v>9193</v>
      </c>
      <c r="C188" s="22" t="s">
        <v>7735</v>
      </c>
      <c r="D188" s="22" t="s">
        <v>7710</v>
      </c>
      <c r="E188" s="22" t="s">
        <v>4517</v>
      </c>
      <c r="F188" s="24" t="s">
        <v>4518</v>
      </c>
      <c r="G188" s="26" t="s">
        <v>22</v>
      </c>
      <c r="H188" s="22" t="s">
        <v>109</v>
      </c>
      <c r="I188" s="22"/>
      <c r="J188" s="22"/>
      <c r="K188" s="24"/>
      <c r="L188" s="24"/>
      <c r="M188" s="25" t="s">
        <v>4519</v>
      </c>
      <c r="N188" s="22"/>
      <c r="O188" s="22" t="s">
        <v>4520</v>
      </c>
      <c r="P188" s="22" t="str">
        <f>HYPERLINK("https://ceds.ed.gov/cedselementdetails.aspx?termid=21849")</f>
        <v>https://ceds.ed.gov/cedselementdetails.aspx?termid=21849</v>
      </c>
      <c r="Q188" s="22">
        <v>60302</v>
      </c>
    </row>
    <row r="189" spans="1:17" ht="43.2" x14ac:dyDescent="0.3">
      <c r="A189" s="22" t="s">
        <v>7709</v>
      </c>
      <c r="B189" s="22" t="s">
        <v>9193</v>
      </c>
      <c r="C189" s="22" t="s">
        <v>7735</v>
      </c>
      <c r="D189" s="22" t="s">
        <v>7710</v>
      </c>
      <c r="E189" s="22" t="s">
        <v>6391</v>
      </c>
      <c r="F189" s="24" t="s">
        <v>6392</v>
      </c>
      <c r="G189" s="26" t="s">
        <v>22</v>
      </c>
      <c r="H189" s="22" t="s">
        <v>109</v>
      </c>
      <c r="I189" s="22"/>
      <c r="J189" s="22"/>
      <c r="K189" s="24"/>
      <c r="L189" s="24"/>
      <c r="M189" s="25" t="s">
        <v>6393</v>
      </c>
      <c r="N189" s="22"/>
      <c r="O189" s="22" t="s">
        <v>6394</v>
      </c>
      <c r="P189" s="22" t="str">
        <f>HYPERLINK("https://ceds.ed.gov/cedselementdetails.aspx?termid=21850")</f>
        <v>https://ceds.ed.gov/cedselementdetails.aspx?termid=21850</v>
      </c>
      <c r="Q189" s="22">
        <v>60303</v>
      </c>
    </row>
    <row r="190" spans="1:17" ht="288" x14ac:dyDescent="0.3">
      <c r="A190" s="22" t="s">
        <v>7709</v>
      </c>
      <c r="B190" s="22" t="s">
        <v>9193</v>
      </c>
      <c r="C190" s="22" t="s">
        <v>7735</v>
      </c>
      <c r="D190" s="22" t="s">
        <v>7710</v>
      </c>
      <c r="E190" s="22" t="s">
        <v>6431</v>
      </c>
      <c r="F190" s="24" t="s">
        <v>6432</v>
      </c>
      <c r="G190" s="26" t="s">
        <v>8943</v>
      </c>
      <c r="H190" s="22" t="s">
        <v>2015</v>
      </c>
      <c r="I190" s="22"/>
      <c r="J190" s="22"/>
      <c r="K190" s="24"/>
      <c r="L190" s="24"/>
      <c r="M190" s="25" t="s">
        <v>6433</v>
      </c>
      <c r="N190" s="22"/>
      <c r="O190" s="22" t="s">
        <v>6434</v>
      </c>
      <c r="P190" s="22" t="str">
        <f>HYPERLINK("https://ceds.ed.gov/cedselementdetails.aspx?termid=21307")</f>
        <v>https://ceds.ed.gov/cedselementdetails.aspx?termid=21307</v>
      </c>
      <c r="Q190" s="22">
        <v>60845</v>
      </c>
    </row>
    <row r="191" spans="1:17" ht="57.6" x14ac:dyDescent="0.3">
      <c r="A191" s="22" t="s">
        <v>7709</v>
      </c>
      <c r="B191" s="22" t="s">
        <v>9193</v>
      </c>
      <c r="C191" s="22" t="s">
        <v>7736</v>
      </c>
      <c r="D191" s="22" t="s">
        <v>7710</v>
      </c>
      <c r="E191" s="22" t="s">
        <v>6844</v>
      </c>
      <c r="F191" s="24" t="s">
        <v>8321</v>
      </c>
      <c r="G191" s="26" t="s">
        <v>22</v>
      </c>
      <c r="H191" s="22" t="s">
        <v>109</v>
      </c>
      <c r="I191" s="22"/>
      <c r="J191" s="22"/>
      <c r="K191" s="24"/>
      <c r="L191" s="24"/>
      <c r="M191" s="25" t="s">
        <v>6845</v>
      </c>
      <c r="N191" s="22"/>
      <c r="O191" s="22" t="s">
        <v>6846</v>
      </c>
      <c r="P191" s="22" t="str">
        <f>HYPERLINK("https://ceds.ed.gov/cedselementdetails.aspx?termid=22004")</f>
        <v>https://ceds.ed.gov/cedselementdetails.aspx?termid=22004</v>
      </c>
      <c r="Q191" s="22">
        <v>59440</v>
      </c>
    </row>
    <row r="192" spans="1:17" ht="43.2" x14ac:dyDescent="0.3">
      <c r="A192" s="22" t="s">
        <v>7709</v>
      </c>
      <c r="B192" s="22" t="s">
        <v>9193</v>
      </c>
      <c r="C192" s="22" t="s">
        <v>7737</v>
      </c>
      <c r="D192" s="22" t="s">
        <v>7710</v>
      </c>
      <c r="E192" s="22" t="s">
        <v>6218</v>
      </c>
      <c r="F192" s="24" t="s">
        <v>6219</v>
      </c>
      <c r="G192" s="26" t="s">
        <v>22</v>
      </c>
      <c r="H192" s="22" t="s">
        <v>109</v>
      </c>
      <c r="I192" s="22"/>
      <c r="J192" s="22"/>
      <c r="K192" s="24"/>
      <c r="L192" s="24"/>
      <c r="M192" s="25" t="s">
        <v>6220</v>
      </c>
      <c r="N192" s="22"/>
      <c r="O192" s="22" t="s">
        <v>6221</v>
      </c>
      <c r="P192" s="22" t="str">
        <f>HYPERLINK("https://ceds.ed.gov/cedselementdetails.aspx?termid=21853")</f>
        <v>https://ceds.ed.gov/cedselementdetails.aspx?termid=21853</v>
      </c>
      <c r="Q192" s="22">
        <v>60306</v>
      </c>
    </row>
    <row r="193" spans="1:17" ht="57.6" x14ac:dyDescent="0.3">
      <c r="A193" s="22" t="s">
        <v>7709</v>
      </c>
      <c r="B193" s="22" t="s">
        <v>9193</v>
      </c>
      <c r="C193" s="22" t="s">
        <v>7737</v>
      </c>
      <c r="D193" s="22" t="s">
        <v>7710</v>
      </c>
      <c r="E193" s="22" t="s">
        <v>6152</v>
      </c>
      <c r="F193" s="24" t="s">
        <v>6153</v>
      </c>
      <c r="G193" s="26" t="s">
        <v>22</v>
      </c>
      <c r="H193" s="24" t="s">
        <v>6156</v>
      </c>
      <c r="I193" s="22"/>
      <c r="J193" s="22"/>
      <c r="K193" s="24"/>
      <c r="L193" s="24"/>
      <c r="M193" s="25" t="s">
        <v>6154</v>
      </c>
      <c r="N193" s="22"/>
      <c r="O193" s="22" t="s">
        <v>6155</v>
      </c>
      <c r="P193" s="22" t="str">
        <f>HYPERLINK("https://ceds.ed.gov/cedselementdetails.aspx?termid=21854")</f>
        <v>https://ceds.ed.gov/cedselementdetails.aspx?termid=21854</v>
      </c>
      <c r="Q193" s="22">
        <v>60307</v>
      </c>
    </row>
    <row r="194" spans="1:17" ht="43.2" x14ac:dyDescent="0.3">
      <c r="A194" s="22" t="s">
        <v>7709</v>
      </c>
      <c r="B194" s="22" t="s">
        <v>9193</v>
      </c>
      <c r="C194" s="22" t="s">
        <v>7737</v>
      </c>
      <c r="D194" s="22" t="s">
        <v>7710</v>
      </c>
      <c r="E194" s="22" t="s">
        <v>6210</v>
      </c>
      <c r="F194" s="24" t="s">
        <v>6211</v>
      </c>
      <c r="G194" s="26" t="s">
        <v>22</v>
      </c>
      <c r="H194" s="22" t="s">
        <v>109</v>
      </c>
      <c r="I194" s="22"/>
      <c r="J194" s="22"/>
      <c r="K194" s="24"/>
      <c r="L194" s="24"/>
      <c r="M194" s="25" t="s">
        <v>6212</v>
      </c>
      <c r="N194" s="22"/>
      <c r="O194" s="22" t="s">
        <v>6213</v>
      </c>
      <c r="P194" s="22" t="str">
        <f>HYPERLINK("https://ceds.ed.gov/cedselementdetails.aspx?termid=21855")</f>
        <v>https://ceds.ed.gov/cedselementdetails.aspx?termid=21855</v>
      </c>
      <c r="Q194" s="22">
        <v>60308</v>
      </c>
    </row>
    <row r="195" spans="1:17" ht="43.2" x14ac:dyDescent="0.3">
      <c r="A195" s="22" t="s">
        <v>7709</v>
      </c>
      <c r="B195" s="22" t="s">
        <v>9193</v>
      </c>
      <c r="C195" s="22" t="s">
        <v>7737</v>
      </c>
      <c r="D195" s="22" t="s">
        <v>7710</v>
      </c>
      <c r="E195" s="22" t="s">
        <v>6206</v>
      </c>
      <c r="F195" s="24" t="s">
        <v>6207</v>
      </c>
      <c r="G195" s="26" t="s">
        <v>22</v>
      </c>
      <c r="H195" s="22" t="s">
        <v>109</v>
      </c>
      <c r="I195" s="22"/>
      <c r="J195" s="22"/>
      <c r="K195" s="24"/>
      <c r="L195" s="24"/>
      <c r="M195" s="25" t="s">
        <v>6208</v>
      </c>
      <c r="N195" s="22"/>
      <c r="O195" s="22" t="s">
        <v>6209</v>
      </c>
      <c r="P195" s="22" t="str">
        <f>HYPERLINK("https://ceds.ed.gov/cedselementdetails.aspx?termid=21856")</f>
        <v>https://ceds.ed.gov/cedselementdetails.aspx?termid=21856</v>
      </c>
      <c r="Q195" s="22">
        <v>60309</v>
      </c>
    </row>
    <row r="196" spans="1:17" ht="144" x14ac:dyDescent="0.3">
      <c r="A196" s="22" t="s">
        <v>7709</v>
      </c>
      <c r="B196" s="22" t="s">
        <v>9193</v>
      </c>
      <c r="C196" s="22" t="s">
        <v>7737</v>
      </c>
      <c r="D196" s="22" t="s">
        <v>7710</v>
      </c>
      <c r="E196" s="22" t="s">
        <v>5773</v>
      </c>
      <c r="F196" s="24" t="s">
        <v>5774</v>
      </c>
      <c r="G196" s="26" t="s">
        <v>9058</v>
      </c>
      <c r="H196" s="22" t="s">
        <v>109</v>
      </c>
      <c r="I196" s="22"/>
      <c r="J196" s="22"/>
      <c r="K196" s="24"/>
      <c r="L196" s="24"/>
      <c r="M196" s="25" t="s">
        <v>5775</v>
      </c>
      <c r="N196" s="22"/>
      <c r="O196" s="22" t="s">
        <v>5776</v>
      </c>
      <c r="P196" s="22" t="str">
        <f>HYPERLINK("https://ceds.ed.gov/cedselementdetails.aspx?termid=21857")</f>
        <v>https://ceds.ed.gov/cedselementdetails.aspx?termid=21857</v>
      </c>
      <c r="Q196" s="22">
        <v>60310</v>
      </c>
    </row>
    <row r="197" spans="1:17" ht="43.2" x14ac:dyDescent="0.3">
      <c r="A197" s="22" t="s">
        <v>7709</v>
      </c>
      <c r="B197" s="22" t="s">
        <v>9193</v>
      </c>
      <c r="C197" s="22" t="s">
        <v>7737</v>
      </c>
      <c r="D197" s="22" t="s">
        <v>7710</v>
      </c>
      <c r="E197" s="22" t="s">
        <v>1374</v>
      </c>
      <c r="F197" s="24" t="s">
        <v>1375</v>
      </c>
      <c r="G197" s="26" t="s">
        <v>22</v>
      </c>
      <c r="H197" s="22" t="s">
        <v>109</v>
      </c>
      <c r="I197" s="22"/>
      <c r="J197" s="22"/>
      <c r="K197" s="24"/>
      <c r="L197" s="24"/>
      <c r="M197" s="25" t="s">
        <v>1376</v>
      </c>
      <c r="N197" s="22"/>
      <c r="O197" s="22" t="s">
        <v>1377</v>
      </c>
      <c r="P197" s="22" t="str">
        <f>HYPERLINK("https://ceds.ed.gov/cedselementdetails.aspx?termid=21858")</f>
        <v>https://ceds.ed.gov/cedselementdetails.aspx?termid=21858</v>
      </c>
      <c r="Q197" s="22">
        <v>60311</v>
      </c>
    </row>
    <row r="198" spans="1:17" ht="158.4" x14ac:dyDescent="0.3">
      <c r="A198" s="22" t="s">
        <v>7709</v>
      </c>
      <c r="B198" s="22" t="s">
        <v>9194</v>
      </c>
      <c r="C198" s="22" t="s">
        <v>7738</v>
      </c>
      <c r="D198" s="22" t="s">
        <v>7710</v>
      </c>
      <c r="E198" s="22" t="s">
        <v>4050</v>
      </c>
      <c r="F198" s="24" t="s">
        <v>4051</v>
      </c>
      <c r="G198" s="23" t="s">
        <v>32</v>
      </c>
      <c r="H198" s="24" t="s">
        <v>4054</v>
      </c>
      <c r="I198" s="22"/>
      <c r="J198" s="22" t="s">
        <v>7536</v>
      </c>
      <c r="K198" s="24"/>
      <c r="L198" s="24" t="s">
        <v>8200</v>
      </c>
      <c r="M198" s="25" t="s">
        <v>4052</v>
      </c>
      <c r="N198" s="22"/>
      <c r="O198" s="22" t="s">
        <v>4053</v>
      </c>
      <c r="P198" s="22" t="str">
        <f>HYPERLINK("https://ceds.ed.gov/cedselementdetails.aspx?termid=21115")</f>
        <v>https://ceds.ed.gov/cedselementdetails.aspx?termid=21115</v>
      </c>
      <c r="Q198" s="22">
        <v>58622</v>
      </c>
    </row>
    <row r="199" spans="1:17" ht="158.4" x14ac:dyDescent="0.3">
      <c r="A199" s="22" t="s">
        <v>7709</v>
      </c>
      <c r="B199" s="22" t="s">
        <v>9194</v>
      </c>
      <c r="C199" s="22" t="s">
        <v>7738</v>
      </c>
      <c r="D199" s="22" t="s">
        <v>7710</v>
      </c>
      <c r="E199" s="22" t="s">
        <v>5415</v>
      </c>
      <c r="F199" s="24" t="s">
        <v>5416</v>
      </c>
      <c r="G199" s="23" t="s">
        <v>32</v>
      </c>
      <c r="H199" s="24" t="s">
        <v>4054</v>
      </c>
      <c r="I199" s="22"/>
      <c r="J199" s="22" t="s">
        <v>7536</v>
      </c>
      <c r="K199" s="24"/>
      <c r="L199" s="24" t="s">
        <v>8207</v>
      </c>
      <c r="M199" s="25" t="s">
        <v>5417</v>
      </c>
      <c r="N199" s="22"/>
      <c r="O199" s="22" t="s">
        <v>5418</v>
      </c>
      <c r="P199" s="22" t="str">
        <f>HYPERLINK("https://ceds.ed.gov/cedselementdetails.aspx?termid=21184")</f>
        <v>https://ceds.ed.gov/cedselementdetails.aspx?termid=21184</v>
      </c>
      <c r="Q199" s="22">
        <v>58627</v>
      </c>
    </row>
    <row r="200" spans="1:17" ht="158.4" x14ac:dyDescent="0.3">
      <c r="A200" s="22" t="s">
        <v>7709</v>
      </c>
      <c r="B200" s="22" t="s">
        <v>9194</v>
      </c>
      <c r="C200" s="22" t="s">
        <v>7738</v>
      </c>
      <c r="D200" s="22" t="s">
        <v>7710</v>
      </c>
      <c r="E200" s="22" t="s">
        <v>4973</v>
      </c>
      <c r="F200" s="24" t="s">
        <v>4974</v>
      </c>
      <c r="G200" s="23" t="s">
        <v>32</v>
      </c>
      <c r="H200" s="24" t="s">
        <v>4054</v>
      </c>
      <c r="I200" s="22"/>
      <c r="J200" s="22" t="s">
        <v>7536</v>
      </c>
      <c r="K200" s="24"/>
      <c r="L200" s="24" t="s">
        <v>8207</v>
      </c>
      <c r="M200" s="25" t="s">
        <v>4975</v>
      </c>
      <c r="N200" s="22" t="s">
        <v>4976</v>
      </c>
      <c r="O200" s="22" t="s">
        <v>4977</v>
      </c>
      <c r="P200" s="22" t="str">
        <f>HYPERLINK("https://ceds.ed.gov/cedselementdetails.aspx?termid=21172")</f>
        <v>https://ceds.ed.gov/cedselementdetails.aspx?termid=21172</v>
      </c>
      <c r="Q200" s="22">
        <v>58626</v>
      </c>
    </row>
    <row r="201" spans="1:17" ht="129.6" x14ac:dyDescent="0.3">
      <c r="A201" s="22" t="s">
        <v>7709</v>
      </c>
      <c r="B201" s="22" t="s">
        <v>9194</v>
      </c>
      <c r="C201" s="22" t="s">
        <v>7738</v>
      </c>
      <c r="D201" s="22" t="s">
        <v>7710</v>
      </c>
      <c r="E201" s="22" t="s">
        <v>4114</v>
      </c>
      <c r="F201" s="24" t="s">
        <v>4115</v>
      </c>
      <c r="G201" s="23" t="s">
        <v>32</v>
      </c>
      <c r="H201" s="24" t="s">
        <v>4119</v>
      </c>
      <c r="I201" s="22"/>
      <c r="J201" s="22" t="s">
        <v>2743</v>
      </c>
      <c r="K201" s="24"/>
      <c r="L201" s="24" t="s">
        <v>8207</v>
      </c>
      <c r="M201" s="25" t="s">
        <v>4117</v>
      </c>
      <c r="N201" s="22"/>
      <c r="O201" s="22" t="s">
        <v>4118</v>
      </c>
      <c r="P201" s="22" t="str">
        <f>HYPERLINK("https://ceds.ed.gov/cedselementdetails.aspx?termid=21121")</f>
        <v>https://ceds.ed.gov/cedselementdetails.aspx?termid=21121</v>
      </c>
      <c r="Q201" s="22">
        <v>58623</v>
      </c>
    </row>
    <row r="202" spans="1:17" ht="115.2" x14ac:dyDescent="0.3">
      <c r="A202" s="22" t="s">
        <v>7709</v>
      </c>
      <c r="B202" s="22" t="s">
        <v>9194</v>
      </c>
      <c r="C202" s="22" t="s">
        <v>7739</v>
      </c>
      <c r="D202" s="22" t="s">
        <v>7710</v>
      </c>
      <c r="E202" s="22" t="s">
        <v>5747</v>
      </c>
      <c r="F202" s="24" t="s">
        <v>5748</v>
      </c>
      <c r="G202" s="26" t="s">
        <v>9055</v>
      </c>
      <c r="H202" s="24" t="s">
        <v>5751</v>
      </c>
      <c r="I202" s="22"/>
      <c r="J202" s="22" t="s">
        <v>85</v>
      </c>
      <c r="K202" s="24"/>
      <c r="L202" s="24"/>
      <c r="M202" s="25" t="s">
        <v>5749</v>
      </c>
      <c r="N202" s="22"/>
      <c r="O202" s="22" t="s">
        <v>5750</v>
      </c>
      <c r="P202" s="22" t="str">
        <f>HYPERLINK("https://ceds.ed.gov/cedselementdetails.aspx?termid=21627")</f>
        <v>https://ceds.ed.gov/cedselementdetails.aspx?termid=21627</v>
      </c>
      <c r="Q202" s="22">
        <v>59964</v>
      </c>
    </row>
    <row r="203" spans="1:17" ht="28.8" x14ac:dyDescent="0.3">
      <c r="A203" s="22" t="s">
        <v>7709</v>
      </c>
      <c r="B203" s="22" t="s">
        <v>9194</v>
      </c>
      <c r="C203" s="22" t="s">
        <v>7739</v>
      </c>
      <c r="D203" s="22" t="s">
        <v>7710</v>
      </c>
      <c r="E203" s="22" t="s">
        <v>5728</v>
      </c>
      <c r="F203" s="24" t="s">
        <v>5729</v>
      </c>
      <c r="G203" s="23" t="s">
        <v>32</v>
      </c>
      <c r="H203" s="22"/>
      <c r="I203" s="22"/>
      <c r="J203" s="22" t="s">
        <v>1301</v>
      </c>
      <c r="K203" s="24"/>
      <c r="L203" s="24" t="s">
        <v>5730</v>
      </c>
      <c r="M203" s="25" t="s">
        <v>5731</v>
      </c>
      <c r="N203" s="22"/>
      <c r="O203" s="22" t="s">
        <v>5732</v>
      </c>
      <c r="P203" s="22" t="str">
        <f>HYPERLINK("https://ceds.ed.gov/cedselementdetails.aspx?termid=22486")</f>
        <v>https://ceds.ed.gov/cedselementdetails.aspx?termid=22486</v>
      </c>
      <c r="Q203" s="22">
        <v>61627</v>
      </c>
    </row>
    <row r="204" spans="1:17" ht="28.8" x14ac:dyDescent="0.3">
      <c r="A204" s="22" t="s">
        <v>7709</v>
      </c>
      <c r="B204" s="22" t="s">
        <v>9194</v>
      </c>
      <c r="C204" s="22" t="s">
        <v>7739</v>
      </c>
      <c r="D204" s="22" t="s">
        <v>7710</v>
      </c>
      <c r="E204" s="22" t="s">
        <v>5738</v>
      </c>
      <c r="F204" s="24" t="s">
        <v>5739</v>
      </c>
      <c r="G204" s="23" t="s">
        <v>32</v>
      </c>
      <c r="H204" s="22"/>
      <c r="I204" s="22"/>
      <c r="J204" s="22" t="s">
        <v>1301</v>
      </c>
      <c r="K204" s="24"/>
      <c r="L204" s="24" t="s">
        <v>5740</v>
      </c>
      <c r="M204" s="25" t="s">
        <v>5741</v>
      </c>
      <c r="N204" s="22"/>
      <c r="O204" s="22" t="s">
        <v>5742</v>
      </c>
      <c r="P204" s="22" t="str">
        <f>HYPERLINK("https://ceds.ed.gov/cedselementdetails.aspx?termid=22487")</f>
        <v>https://ceds.ed.gov/cedselementdetails.aspx?termid=22487</v>
      </c>
      <c r="Q204" s="22">
        <v>61643</v>
      </c>
    </row>
    <row r="205" spans="1:17" ht="28.8" x14ac:dyDescent="0.3">
      <c r="A205" s="22" t="s">
        <v>7709</v>
      </c>
      <c r="B205" s="22" t="s">
        <v>9194</v>
      </c>
      <c r="C205" s="22" t="s">
        <v>7739</v>
      </c>
      <c r="D205" s="22" t="s">
        <v>7710</v>
      </c>
      <c r="E205" s="22" t="s">
        <v>5733</v>
      </c>
      <c r="F205" s="24" t="s">
        <v>5734</v>
      </c>
      <c r="G205" s="23" t="s">
        <v>32</v>
      </c>
      <c r="H205" s="22"/>
      <c r="I205" s="22"/>
      <c r="J205" s="22" t="s">
        <v>1301</v>
      </c>
      <c r="K205" s="24"/>
      <c r="L205" s="24" t="s">
        <v>5735</v>
      </c>
      <c r="M205" s="25" t="s">
        <v>5736</v>
      </c>
      <c r="N205" s="22"/>
      <c r="O205" s="22" t="s">
        <v>5737</v>
      </c>
      <c r="P205" s="22" t="str">
        <f>HYPERLINK("https://ceds.ed.gov/cedselementdetails.aspx?termid=22485")</f>
        <v>https://ceds.ed.gov/cedselementdetails.aspx?termid=22485</v>
      </c>
      <c r="Q205" s="22">
        <v>61611</v>
      </c>
    </row>
    <row r="206" spans="1:17" ht="129.6" x14ac:dyDescent="0.3">
      <c r="A206" s="22" t="s">
        <v>7709</v>
      </c>
      <c r="B206" s="22" t="s">
        <v>9194</v>
      </c>
      <c r="C206" s="22" t="s">
        <v>7739</v>
      </c>
      <c r="D206" s="22" t="s">
        <v>7710</v>
      </c>
      <c r="E206" s="22" t="s">
        <v>5743</v>
      </c>
      <c r="F206" s="24" t="s">
        <v>5744</v>
      </c>
      <c r="G206" s="23" t="s">
        <v>32</v>
      </c>
      <c r="H206" s="24" t="s">
        <v>4119</v>
      </c>
      <c r="I206" s="22"/>
      <c r="J206" s="22" t="s">
        <v>132</v>
      </c>
      <c r="K206" s="24"/>
      <c r="L206" s="24"/>
      <c r="M206" s="25" t="s">
        <v>5745</v>
      </c>
      <c r="N206" s="22"/>
      <c r="O206" s="22" t="s">
        <v>5746</v>
      </c>
      <c r="P206" s="22" t="str">
        <f>HYPERLINK("https://ceds.ed.gov/cedselementdetails.aspx?termid=21206")</f>
        <v>https://ceds.ed.gov/cedselementdetails.aspx?termid=21206</v>
      </c>
      <c r="Q206" s="22">
        <v>59965</v>
      </c>
    </row>
    <row r="207" spans="1:17" ht="172.8" x14ac:dyDescent="0.3">
      <c r="A207" s="22" t="s">
        <v>7709</v>
      </c>
      <c r="B207" s="22" t="s">
        <v>9194</v>
      </c>
      <c r="C207" s="22" t="s">
        <v>7740</v>
      </c>
      <c r="D207" s="22" t="s">
        <v>7710</v>
      </c>
      <c r="E207" s="22" t="s">
        <v>2021</v>
      </c>
      <c r="F207" s="24" t="s">
        <v>2022</v>
      </c>
      <c r="G207" s="23" t="s">
        <v>32</v>
      </c>
      <c r="H207" s="24" t="s">
        <v>2020</v>
      </c>
      <c r="I207" s="22" t="s">
        <v>172</v>
      </c>
      <c r="J207" s="22" t="s">
        <v>132</v>
      </c>
      <c r="K207" s="24" t="s">
        <v>7946</v>
      </c>
      <c r="L207" s="24" t="s">
        <v>7945</v>
      </c>
      <c r="M207" s="25" t="s">
        <v>2023</v>
      </c>
      <c r="N207" s="22"/>
      <c r="O207" s="22" t="s">
        <v>2024</v>
      </c>
      <c r="P207" s="22" t="str">
        <f>HYPERLINK("https://ceds.ed.gov/cedselementdetails.aspx?termid=21781")</f>
        <v>https://ceds.ed.gov/cedselementdetails.aspx?termid=21781</v>
      </c>
      <c r="Q207" s="22">
        <v>59351</v>
      </c>
    </row>
    <row r="208" spans="1:17" ht="158.4" x14ac:dyDescent="0.3">
      <c r="A208" s="22" t="s">
        <v>7709</v>
      </c>
      <c r="B208" s="22" t="s">
        <v>9194</v>
      </c>
      <c r="C208" s="22" t="s">
        <v>7740</v>
      </c>
      <c r="D208" s="22" t="s">
        <v>7710</v>
      </c>
      <c r="E208" s="22" t="s">
        <v>2016</v>
      </c>
      <c r="F208" s="24" t="s">
        <v>2017</v>
      </c>
      <c r="G208" s="26" t="s">
        <v>8722</v>
      </c>
      <c r="H208" s="24" t="s">
        <v>2020</v>
      </c>
      <c r="I208" s="22"/>
      <c r="J208" s="22"/>
      <c r="K208" s="24"/>
      <c r="L208" s="24"/>
      <c r="M208" s="25" t="s">
        <v>2018</v>
      </c>
      <c r="N208" s="22"/>
      <c r="O208" s="22" t="s">
        <v>2019</v>
      </c>
      <c r="P208" s="22" t="str">
        <f>HYPERLINK("https://ceds.ed.gov/cedselementdetails.aspx?termid=21782")</f>
        <v>https://ceds.ed.gov/cedselementdetails.aspx?termid=21782</v>
      </c>
      <c r="Q208" s="22">
        <v>59352</v>
      </c>
    </row>
    <row r="209" spans="1:17" ht="403.2" x14ac:dyDescent="0.3">
      <c r="A209" s="22" t="s">
        <v>7709</v>
      </c>
      <c r="B209" s="22" t="s">
        <v>9194</v>
      </c>
      <c r="C209" s="22" t="s">
        <v>7740</v>
      </c>
      <c r="D209" s="22" t="s">
        <v>7710</v>
      </c>
      <c r="E209" s="22" t="s">
        <v>5856</v>
      </c>
      <c r="F209" s="24" t="s">
        <v>5857</v>
      </c>
      <c r="G209" s="26" t="s">
        <v>8498</v>
      </c>
      <c r="H209" s="22"/>
      <c r="I209" s="22" t="s">
        <v>172</v>
      </c>
      <c r="J209" s="22"/>
      <c r="K209" s="24" t="s">
        <v>7946</v>
      </c>
      <c r="L209" s="24"/>
      <c r="M209" s="25" t="s">
        <v>5858</v>
      </c>
      <c r="N209" s="22"/>
      <c r="O209" s="22" t="s">
        <v>5859</v>
      </c>
      <c r="P209" s="22" t="str">
        <f>HYPERLINK("https://ceds.ed.gov/cedselementdetails.aspx?termid=21611")</f>
        <v>https://ceds.ed.gov/cedselementdetails.aspx?termid=21611</v>
      </c>
      <c r="Q209" s="22">
        <v>60214</v>
      </c>
    </row>
    <row r="210" spans="1:17" ht="72" x14ac:dyDescent="0.3">
      <c r="A210" s="22" t="s">
        <v>7709</v>
      </c>
      <c r="B210" s="22" t="s">
        <v>9194</v>
      </c>
      <c r="C210" s="22" t="s">
        <v>7740</v>
      </c>
      <c r="D210" s="22" t="s">
        <v>7710</v>
      </c>
      <c r="E210" s="22" t="s">
        <v>7621</v>
      </c>
      <c r="F210" s="24" t="s">
        <v>7622</v>
      </c>
      <c r="G210" s="26" t="s">
        <v>8496</v>
      </c>
      <c r="H210" s="22"/>
      <c r="I210" s="22" t="s">
        <v>172</v>
      </c>
      <c r="J210" s="22"/>
      <c r="K210" s="24" t="s">
        <v>7946</v>
      </c>
      <c r="L210" s="24"/>
      <c r="M210" s="25" t="s">
        <v>7623</v>
      </c>
      <c r="N210" s="22"/>
      <c r="O210" s="22" t="s">
        <v>7624</v>
      </c>
      <c r="P210" s="22" t="str">
        <f>HYPERLINK("https://ceds.ed.gov/cedselementdetails.aspx?termid=22951")</f>
        <v>https://ceds.ed.gov/cedselementdetails.aspx?termid=22951</v>
      </c>
      <c r="Q210" s="22">
        <v>63506</v>
      </c>
    </row>
    <row r="211" spans="1:17" ht="172.8" x14ac:dyDescent="0.3">
      <c r="A211" s="22" t="s">
        <v>7709</v>
      </c>
      <c r="B211" s="22" t="s">
        <v>9194</v>
      </c>
      <c r="C211" s="22" t="s">
        <v>7716</v>
      </c>
      <c r="D211" s="22" t="s">
        <v>7710</v>
      </c>
      <c r="E211" s="22" t="s">
        <v>194</v>
      </c>
      <c r="F211" s="24" t="s">
        <v>195</v>
      </c>
      <c r="G211" s="26" t="s">
        <v>8575</v>
      </c>
      <c r="H211" s="24" t="s">
        <v>198</v>
      </c>
      <c r="I211" s="22"/>
      <c r="J211" s="22" t="s">
        <v>85</v>
      </c>
      <c r="K211" s="24"/>
      <c r="L211" s="24"/>
      <c r="M211" s="25" t="s">
        <v>196</v>
      </c>
      <c r="N211" s="22"/>
      <c r="O211" s="22" t="s">
        <v>197</v>
      </c>
      <c r="P211" s="22" t="str">
        <f>HYPERLINK("https://ceds.ed.gov/cedselementdetails.aspx?termid=21358")</f>
        <v>https://ceds.ed.gov/cedselementdetails.aspx?termid=21358</v>
      </c>
      <c r="Q211" s="22">
        <v>58659</v>
      </c>
    </row>
    <row r="212" spans="1:17" ht="187.2" x14ac:dyDescent="0.3">
      <c r="A212" s="22" t="s">
        <v>7709</v>
      </c>
      <c r="B212" s="22" t="s">
        <v>9194</v>
      </c>
      <c r="C212" s="22" t="s">
        <v>7716</v>
      </c>
      <c r="D212" s="22" t="s">
        <v>7710</v>
      </c>
      <c r="E212" s="22" t="s">
        <v>189</v>
      </c>
      <c r="F212" s="24" t="s">
        <v>190</v>
      </c>
      <c r="G212" s="23" t="s">
        <v>32</v>
      </c>
      <c r="H212" s="24" t="s">
        <v>175</v>
      </c>
      <c r="I212" s="22" t="s">
        <v>172</v>
      </c>
      <c r="J212" s="22" t="s">
        <v>191</v>
      </c>
      <c r="K212" s="24" t="s">
        <v>7946</v>
      </c>
      <c r="L212" s="24"/>
      <c r="M212" s="25" t="s">
        <v>192</v>
      </c>
      <c r="N212" s="22"/>
      <c r="O212" s="22" t="s">
        <v>193</v>
      </c>
      <c r="P212" s="22" t="str">
        <f>HYPERLINK("https://ceds.ed.gov/cedselementdetails.aspx?termid=21269")</f>
        <v>https://ceds.ed.gov/cedselementdetails.aspx?termid=21269</v>
      </c>
      <c r="Q212" s="22">
        <v>58634</v>
      </c>
    </row>
    <row r="213" spans="1:17" ht="187.2" x14ac:dyDescent="0.3">
      <c r="A213" s="22" t="s">
        <v>7709</v>
      </c>
      <c r="B213" s="22" t="s">
        <v>9194</v>
      </c>
      <c r="C213" s="22" t="s">
        <v>7716</v>
      </c>
      <c r="D213" s="22" t="s">
        <v>7710</v>
      </c>
      <c r="E213" s="22" t="s">
        <v>170</v>
      </c>
      <c r="F213" s="24" t="s">
        <v>171</v>
      </c>
      <c r="G213" s="23" t="s">
        <v>32</v>
      </c>
      <c r="H213" s="24" t="s">
        <v>175</v>
      </c>
      <c r="I213" s="22" t="s">
        <v>172</v>
      </c>
      <c r="J213" s="22" t="s">
        <v>157</v>
      </c>
      <c r="K213" s="24" t="s">
        <v>7946</v>
      </c>
      <c r="L213" s="24"/>
      <c r="M213" s="25" t="s">
        <v>173</v>
      </c>
      <c r="N213" s="22"/>
      <c r="O213" s="22" t="s">
        <v>174</v>
      </c>
      <c r="P213" s="22" t="str">
        <f>HYPERLINK("https://ceds.ed.gov/cedselementdetails.aspx?termid=21019")</f>
        <v>https://ceds.ed.gov/cedselementdetails.aspx?termid=21019</v>
      </c>
      <c r="Q213" s="22">
        <v>58616</v>
      </c>
    </row>
    <row r="214" spans="1:17" ht="187.2" x14ac:dyDescent="0.3">
      <c r="A214" s="22" t="s">
        <v>7709</v>
      </c>
      <c r="B214" s="22" t="s">
        <v>9194</v>
      </c>
      <c r="C214" s="22" t="s">
        <v>7716</v>
      </c>
      <c r="D214" s="22" t="s">
        <v>7710</v>
      </c>
      <c r="E214" s="22" t="s">
        <v>176</v>
      </c>
      <c r="F214" s="24" t="s">
        <v>177</v>
      </c>
      <c r="G214" s="23" t="s">
        <v>32</v>
      </c>
      <c r="H214" s="24" t="s">
        <v>175</v>
      </c>
      <c r="I214" s="22" t="s">
        <v>172</v>
      </c>
      <c r="J214" s="22" t="s">
        <v>85</v>
      </c>
      <c r="K214" s="24" t="s">
        <v>7946</v>
      </c>
      <c r="L214" s="24"/>
      <c r="M214" s="25" t="s">
        <v>178</v>
      </c>
      <c r="N214" s="22"/>
      <c r="O214" s="22" t="s">
        <v>179</v>
      </c>
      <c r="P214" s="22" t="str">
        <f>HYPERLINK("https://ceds.ed.gov/cedselementdetails.aspx?termid=21040")</f>
        <v>https://ceds.ed.gov/cedselementdetails.aspx?termid=21040</v>
      </c>
      <c r="Q214" s="22">
        <v>58618</v>
      </c>
    </row>
    <row r="215" spans="1:17" ht="409.6" x14ac:dyDescent="0.3">
      <c r="A215" s="22" t="s">
        <v>7709</v>
      </c>
      <c r="B215" s="22" t="s">
        <v>9194</v>
      </c>
      <c r="C215" s="22" t="s">
        <v>7716</v>
      </c>
      <c r="D215" s="22" t="s">
        <v>7710</v>
      </c>
      <c r="E215" s="22" t="s">
        <v>6941</v>
      </c>
      <c r="F215" s="24" t="s">
        <v>6942</v>
      </c>
      <c r="G215" s="26" t="s">
        <v>8533</v>
      </c>
      <c r="H215" s="24" t="s">
        <v>6945</v>
      </c>
      <c r="I215" s="22" t="s">
        <v>172</v>
      </c>
      <c r="J215" s="22"/>
      <c r="K215" s="24" t="s">
        <v>8327</v>
      </c>
      <c r="L215" s="24"/>
      <c r="M215" s="25" t="s">
        <v>6943</v>
      </c>
      <c r="N215" s="22"/>
      <c r="O215" s="22" t="s">
        <v>6944</v>
      </c>
      <c r="P215" s="22" t="str">
        <f>HYPERLINK("https://ceds.ed.gov/cedselementdetails.aspx?termid=21267")</f>
        <v>https://ceds.ed.gov/cedselementdetails.aspx?termid=21267</v>
      </c>
      <c r="Q215" s="22">
        <v>58633</v>
      </c>
    </row>
    <row r="216" spans="1:17" ht="187.2" x14ac:dyDescent="0.3">
      <c r="A216" s="22" t="s">
        <v>7709</v>
      </c>
      <c r="B216" s="22" t="s">
        <v>9194</v>
      </c>
      <c r="C216" s="22" t="s">
        <v>7716</v>
      </c>
      <c r="D216" s="22" t="s">
        <v>7710</v>
      </c>
      <c r="E216" s="22" t="s">
        <v>184</v>
      </c>
      <c r="F216" s="24" t="s">
        <v>185</v>
      </c>
      <c r="G216" s="23" t="s">
        <v>32</v>
      </c>
      <c r="H216" s="24" t="s">
        <v>175</v>
      </c>
      <c r="I216" s="22" t="s">
        <v>172</v>
      </c>
      <c r="J216" s="22" t="s">
        <v>186</v>
      </c>
      <c r="K216" s="24" t="s">
        <v>7946</v>
      </c>
      <c r="L216" s="24"/>
      <c r="M216" s="25" t="s">
        <v>187</v>
      </c>
      <c r="N216" s="22"/>
      <c r="O216" s="22" t="s">
        <v>188</v>
      </c>
      <c r="P216" s="22" t="str">
        <f>HYPERLINK("https://ceds.ed.gov/cedselementdetails.aspx?termid=21214")</f>
        <v>https://ceds.ed.gov/cedselementdetails.aspx?termid=21214</v>
      </c>
      <c r="Q216" s="22">
        <v>58630</v>
      </c>
    </row>
    <row r="217" spans="1:17" ht="187.2" x14ac:dyDescent="0.3">
      <c r="A217" s="22" t="s">
        <v>7709</v>
      </c>
      <c r="B217" s="22" t="s">
        <v>9194</v>
      </c>
      <c r="C217" s="22" t="s">
        <v>7716</v>
      </c>
      <c r="D217" s="22" t="s">
        <v>7710</v>
      </c>
      <c r="E217" s="22" t="s">
        <v>180</v>
      </c>
      <c r="F217" s="24" t="s">
        <v>181</v>
      </c>
      <c r="G217" s="23" t="s">
        <v>32</v>
      </c>
      <c r="H217" s="24" t="s">
        <v>175</v>
      </c>
      <c r="I217" s="22" t="s">
        <v>172</v>
      </c>
      <c r="J217" s="22" t="s">
        <v>85</v>
      </c>
      <c r="K217" s="24" t="s">
        <v>7946</v>
      </c>
      <c r="L217" s="24"/>
      <c r="M217" s="25" t="s">
        <v>182</v>
      </c>
      <c r="N217" s="22"/>
      <c r="O217" s="22" t="s">
        <v>183</v>
      </c>
      <c r="P217" s="22" t="str">
        <f>HYPERLINK("https://ceds.ed.gov/cedselementdetails.aspx?termid=21190")</f>
        <v>https://ceds.ed.gov/cedselementdetails.aspx?termid=21190</v>
      </c>
      <c r="Q217" s="22">
        <v>58628</v>
      </c>
    </row>
    <row r="218" spans="1:17" ht="409.6" x14ac:dyDescent="0.3">
      <c r="A218" s="22" t="s">
        <v>7709</v>
      </c>
      <c r="B218" s="22" t="s">
        <v>9194</v>
      </c>
      <c r="C218" s="22" t="s">
        <v>7716</v>
      </c>
      <c r="D218" s="22" t="s">
        <v>7710</v>
      </c>
      <c r="E218" s="22" t="s">
        <v>2526</v>
      </c>
      <c r="F218" s="24" t="s">
        <v>2527</v>
      </c>
      <c r="G218" s="26" t="s">
        <v>8743</v>
      </c>
      <c r="H218" s="24" t="s">
        <v>2530</v>
      </c>
      <c r="I218" s="22"/>
      <c r="J218" s="22"/>
      <c r="K218" s="24"/>
      <c r="L218" s="24" t="s">
        <v>8055</v>
      </c>
      <c r="M218" s="25" t="s">
        <v>2528</v>
      </c>
      <c r="N218" s="22"/>
      <c r="O218" s="22" t="s">
        <v>2529</v>
      </c>
      <c r="P218" s="22" t="str">
        <f>HYPERLINK("https://ceds.ed.gov/cedselementdetails.aspx?termid=21050")</f>
        <v>https://ceds.ed.gov/cedselementdetails.aspx?termid=21050</v>
      </c>
      <c r="Q218" s="22">
        <v>58619</v>
      </c>
    </row>
    <row r="219" spans="1:17" ht="57.6" x14ac:dyDescent="0.3">
      <c r="A219" s="22" t="s">
        <v>7709</v>
      </c>
      <c r="B219" s="22" t="s">
        <v>9194</v>
      </c>
      <c r="C219" s="22" t="s">
        <v>7716</v>
      </c>
      <c r="D219" s="22" t="s">
        <v>7710</v>
      </c>
      <c r="E219" s="22" t="s">
        <v>4982</v>
      </c>
      <c r="F219" s="24" t="s">
        <v>4983</v>
      </c>
      <c r="G219" s="23" t="s">
        <v>32</v>
      </c>
      <c r="H219" s="22"/>
      <c r="I219" s="22"/>
      <c r="J219" s="22" t="s">
        <v>1165</v>
      </c>
      <c r="K219" s="24"/>
      <c r="L219" s="24"/>
      <c r="M219" s="25" t="s">
        <v>4984</v>
      </c>
      <c r="N219" s="22"/>
      <c r="O219" s="22" t="s">
        <v>4982</v>
      </c>
      <c r="P219" s="22" t="str">
        <f>HYPERLINK("https://ceds.ed.gov/cedselementdetails.aspx?termid=21599")</f>
        <v>https://ceds.ed.gov/cedselementdetails.aspx?termid=21599</v>
      </c>
      <c r="Q219" s="22">
        <v>62255</v>
      </c>
    </row>
    <row r="220" spans="1:17" ht="57.6" x14ac:dyDescent="0.3">
      <c r="A220" s="22" t="s">
        <v>7709</v>
      </c>
      <c r="B220" s="22" t="s">
        <v>9194</v>
      </c>
      <c r="C220" s="22" t="s">
        <v>7716</v>
      </c>
      <c r="D220" s="22" t="s">
        <v>7710</v>
      </c>
      <c r="E220" s="22" t="s">
        <v>5372</v>
      </c>
      <c r="F220" s="24" t="s">
        <v>5373</v>
      </c>
      <c r="G220" s="23" t="s">
        <v>32</v>
      </c>
      <c r="H220" s="22"/>
      <c r="I220" s="22"/>
      <c r="J220" s="22" t="s">
        <v>1165</v>
      </c>
      <c r="K220" s="24"/>
      <c r="L220" s="24"/>
      <c r="M220" s="25" t="s">
        <v>5374</v>
      </c>
      <c r="N220" s="22"/>
      <c r="O220" s="22" t="s">
        <v>5372</v>
      </c>
      <c r="P220" s="22" t="str">
        <f>HYPERLINK("https://ceds.ed.gov/cedselementdetails.aspx?termid=21600")</f>
        <v>https://ceds.ed.gov/cedselementdetails.aspx?termid=21600</v>
      </c>
      <c r="Q220" s="22">
        <v>62278</v>
      </c>
    </row>
    <row r="221" spans="1:17" ht="158.4" x14ac:dyDescent="0.3">
      <c r="A221" s="22" t="s">
        <v>7709</v>
      </c>
      <c r="B221" s="22" t="s">
        <v>9194</v>
      </c>
      <c r="C221" s="22" t="s">
        <v>7716</v>
      </c>
      <c r="D221" s="22" t="s">
        <v>7710</v>
      </c>
      <c r="E221" s="22" t="s">
        <v>2536</v>
      </c>
      <c r="F221" s="24" t="s">
        <v>2537</v>
      </c>
      <c r="G221" s="23" t="s">
        <v>32</v>
      </c>
      <c r="H221" s="22"/>
      <c r="I221" s="22"/>
      <c r="J221" s="22" t="s">
        <v>2538</v>
      </c>
      <c r="K221" s="24"/>
      <c r="L221" s="24"/>
      <c r="M221" s="25" t="s">
        <v>2539</v>
      </c>
      <c r="N221" s="22"/>
      <c r="O221" s="22" t="s">
        <v>2540</v>
      </c>
      <c r="P221" s="22" t="str">
        <f>HYPERLINK("https://ceds.ed.gov/cedselementdetails.aspx?termid=22176")</f>
        <v>https://ceds.ed.gov/cedselementdetails.aspx?termid=22176</v>
      </c>
      <c r="Q221" s="22">
        <v>63262</v>
      </c>
    </row>
    <row r="222" spans="1:17" ht="57.6" x14ac:dyDescent="0.3">
      <c r="A222" s="22" t="s">
        <v>7709</v>
      </c>
      <c r="B222" s="22" t="s">
        <v>9194</v>
      </c>
      <c r="C222" s="22" t="s">
        <v>7716</v>
      </c>
      <c r="D222" s="22" t="s">
        <v>7710</v>
      </c>
      <c r="E222" s="22" t="s">
        <v>3228</v>
      </c>
      <c r="F222" s="24" t="s">
        <v>3229</v>
      </c>
      <c r="G222" s="26" t="s">
        <v>3039</v>
      </c>
      <c r="H222" s="22"/>
      <c r="I222" s="22" t="s">
        <v>172</v>
      </c>
      <c r="J222" s="22"/>
      <c r="K222" s="24" t="s">
        <v>7946</v>
      </c>
      <c r="L222" s="24"/>
      <c r="M222" s="25" t="s">
        <v>3230</v>
      </c>
      <c r="N222" s="22"/>
      <c r="O222" s="22" t="s">
        <v>3231</v>
      </c>
      <c r="P222" s="22" t="str">
        <f>HYPERLINK("https://ceds.ed.gov/cedselementdetails.aspx?termid=22905")</f>
        <v>https://ceds.ed.gov/cedselementdetails.aspx?termid=22905</v>
      </c>
      <c r="Q222" s="22">
        <v>63263</v>
      </c>
    </row>
    <row r="223" spans="1:17" ht="72" x14ac:dyDescent="0.3">
      <c r="A223" s="22" t="s">
        <v>7709</v>
      </c>
      <c r="B223" s="22" t="s">
        <v>9194</v>
      </c>
      <c r="C223" s="22" t="s">
        <v>7717</v>
      </c>
      <c r="D223" s="22" t="s">
        <v>7710</v>
      </c>
      <c r="E223" s="22" t="s">
        <v>7159</v>
      </c>
      <c r="F223" s="24" t="s">
        <v>7160</v>
      </c>
      <c r="G223" s="23" t="s">
        <v>32</v>
      </c>
      <c r="H223" s="24" t="s">
        <v>64</v>
      </c>
      <c r="I223" s="22"/>
      <c r="J223" s="22" t="s">
        <v>7161</v>
      </c>
      <c r="K223" s="24"/>
      <c r="L223" s="24"/>
      <c r="M223" s="25" t="s">
        <v>7162</v>
      </c>
      <c r="N223" s="22"/>
      <c r="O223" s="22" t="s">
        <v>7163</v>
      </c>
      <c r="P223" s="22" t="str">
        <f>HYPERLINK("https://ceds.ed.gov/cedselementdetails.aspx?termid=21279")</f>
        <v>https://ceds.ed.gov/cedselementdetails.aspx?termid=21279</v>
      </c>
      <c r="Q223" s="22">
        <v>59966</v>
      </c>
    </row>
    <row r="224" spans="1:17" ht="86.4" x14ac:dyDescent="0.3">
      <c r="A224" s="22" t="s">
        <v>7709</v>
      </c>
      <c r="B224" s="22" t="s">
        <v>9194</v>
      </c>
      <c r="C224" s="22" t="s">
        <v>7717</v>
      </c>
      <c r="D224" s="22" t="s">
        <v>7710</v>
      </c>
      <c r="E224" s="22" t="s">
        <v>7168</v>
      </c>
      <c r="F224" s="24" t="s">
        <v>7169</v>
      </c>
      <c r="G224" s="26" t="s">
        <v>9168</v>
      </c>
      <c r="H224" s="24" t="s">
        <v>64</v>
      </c>
      <c r="I224" s="22"/>
      <c r="J224" s="22" t="s">
        <v>2543</v>
      </c>
      <c r="K224" s="24"/>
      <c r="L224" s="24"/>
      <c r="M224" s="25" t="s">
        <v>7170</v>
      </c>
      <c r="N224" s="22"/>
      <c r="O224" s="22" t="s">
        <v>7171</v>
      </c>
      <c r="P224" s="22" t="str">
        <f>HYPERLINK("https://ceds.ed.gov/cedselementdetails.aspx?termid=21280")</f>
        <v>https://ceds.ed.gov/cedselementdetails.aspx?termid=21280</v>
      </c>
      <c r="Q224" s="22">
        <v>60210</v>
      </c>
    </row>
    <row r="225" spans="1:17" ht="72" x14ac:dyDescent="0.3">
      <c r="A225" s="22" t="s">
        <v>7709</v>
      </c>
      <c r="B225" s="22" t="s">
        <v>9194</v>
      </c>
      <c r="C225" s="22" t="s">
        <v>7717</v>
      </c>
      <c r="D225" s="22" t="s">
        <v>7710</v>
      </c>
      <c r="E225" s="22" t="s">
        <v>5965</v>
      </c>
      <c r="F225" s="24" t="s">
        <v>5966</v>
      </c>
      <c r="G225" s="26" t="s">
        <v>22</v>
      </c>
      <c r="H225" s="24" t="s">
        <v>64</v>
      </c>
      <c r="I225" s="22"/>
      <c r="J225" s="22"/>
      <c r="K225" s="24"/>
      <c r="L225" s="24"/>
      <c r="M225" s="25" t="s">
        <v>5967</v>
      </c>
      <c r="N225" s="22"/>
      <c r="O225" s="22" t="s">
        <v>5968</v>
      </c>
      <c r="P225" s="22" t="str">
        <f>HYPERLINK("https://ceds.ed.gov/cedselementdetails.aspx?termid=21219")</f>
        <v>https://ceds.ed.gov/cedselementdetails.aspx?termid=21219</v>
      </c>
      <c r="Q225" s="22">
        <v>60211</v>
      </c>
    </row>
    <row r="226" spans="1:17" ht="57.6" x14ac:dyDescent="0.3">
      <c r="A226" s="22" t="s">
        <v>7709</v>
      </c>
      <c r="B226" s="22" t="s">
        <v>9194</v>
      </c>
      <c r="C226" s="22" t="s">
        <v>7717</v>
      </c>
      <c r="D226" s="22" t="s">
        <v>7710</v>
      </c>
      <c r="E226" s="22" t="s">
        <v>3228</v>
      </c>
      <c r="F226" s="24" t="s">
        <v>3229</v>
      </c>
      <c r="G226" s="26" t="s">
        <v>3039</v>
      </c>
      <c r="H226" s="22"/>
      <c r="I226" s="22" t="s">
        <v>172</v>
      </c>
      <c r="J226" s="22"/>
      <c r="K226" s="24" t="s">
        <v>7946</v>
      </c>
      <c r="L226" s="24"/>
      <c r="M226" s="25" t="s">
        <v>3230</v>
      </c>
      <c r="N226" s="22"/>
      <c r="O226" s="22" t="s">
        <v>3231</v>
      </c>
      <c r="P226" s="22" t="str">
        <f>HYPERLINK("https://ceds.ed.gov/cedselementdetails.aspx?termid=22905")</f>
        <v>https://ceds.ed.gov/cedselementdetails.aspx?termid=22905</v>
      </c>
      <c r="Q226" s="22">
        <v>63264</v>
      </c>
    </row>
    <row r="227" spans="1:17" ht="57.6" x14ac:dyDescent="0.3">
      <c r="A227" s="22" t="s">
        <v>7709</v>
      </c>
      <c r="B227" s="22" t="s">
        <v>9194</v>
      </c>
      <c r="C227" s="22" t="s">
        <v>7717</v>
      </c>
      <c r="D227" s="22" t="s">
        <v>7710</v>
      </c>
      <c r="E227" s="22" t="s">
        <v>7164</v>
      </c>
      <c r="F227" s="24" t="s">
        <v>7165</v>
      </c>
      <c r="G227" s="26" t="s">
        <v>9167</v>
      </c>
      <c r="H227" s="22"/>
      <c r="I227" s="22"/>
      <c r="J227" s="22"/>
      <c r="K227" s="24"/>
      <c r="L227" s="24"/>
      <c r="M227" s="25" t="s">
        <v>7166</v>
      </c>
      <c r="N227" s="22"/>
      <c r="O227" s="22" t="s">
        <v>7167</v>
      </c>
      <c r="P227" s="22" t="str">
        <f>HYPERLINK("https://ceds.ed.gov/cedselementdetails.aspx?termid=22911")</f>
        <v>https://ceds.ed.gov/cedselementdetails.aspx?termid=22911</v>
      </c>
      <c r="Q227" s="22">
        <v>63265</v>
      </c>
    </row>
    <row r="228" spans="1:17" ht="72" x14ac:dyDescent="0.3">
      <c r="A228" s="22" t="s">
        <v>7709</v>
      </c>
      <c r="B228" s="22" t="s">
        <v>9194</v>
      </c>
      <c r="C228" s="22" t="s">
        <v>7718</v>
      </c>
      <c r="D228" s="22" t="s">
        <v>7741</v>
      </c>
      <c r="E228" s="22" t="s">
        <v>3461</v>
      </c>
      <c r="F228" s="24" t="s">
        <v>3462</v>
      </c>
      <c r="G228" s="23" t="s">
        <v>32</v>
      </c>
      <c r="H228" s="24" t="s">
        <v>64</v>
      </c>
      <c r="I228" s="22" t="s">
        <v>172</v>
      </c>
      <c r="J228" s="22" t="s">
        <v>3463</v>
      </c>
      <c r="K228" s="24" t="s">
        <v>7946</v>
      </c>
      <c r="L228" s="24"/>
      <c r="M228" s="25" t="s">
        <v>3464</v>
      </c>
      <c r="N228" s="22" t="s">
        <v>3465</v>
      </c>
      <c r="O228" s="22" t="s">
        <v>3466</v>
      </c>
      <c r="P228" s="22" t="str">
        <f>HYPERLINK("https://ceds.ed.gov/cedselementdetails.aspx?termid=21088")</f>
        <v>https://ceds.ed.gov/cedselementdetails.aspx?termid=21088</v>
      </c>
      <c r="Q228" s="22">
        <v>63729</v>
      </c>
    </row>
    <row r="229" spans="1:17" ht="72" x14ac:dyDescent="0.3">
      <c r="A229" s="22" t="s">
        <v>7709</v>
      </c>
      <c r="B229" s="22" t="s">
        <v>9194</v>
      </c>
      <c r="C229" s="22" t="s">
        <v>7718</v>
      </c>
      <c r="D229" s="22" t="s">
        <v>7741</v>
      </c>
      <c r="E229" s="22" t="s">
        <v>3467</v>
      </c>
      <c r="F229" s="24" t="s">
        <v>3468</v>
      </c>
      <c r="G229" s="26" t="s">
        <v>8430</v>
      </c>
      <c r="H229" s="24" t="s">
        <v>64</v>
      </c>
      <c r="I229" s="22" t="s">
        <v>172</v>
      </c>
      <c r="J229" s="22"/>
      <c r="K229" s="24" t="s">
        <v>7946</v>
      </c>
      <c r="L229" s="24"/>
      <c r="M229" s="25" t="s">
        <v>3469</v>
      </c>
      <c r="N229" s="22" t="s">
        <v>3470</v>
      </c>
      <c r="O229" s="22" t="s">
        <v>3471</v>
      </c>
      <c r="P229" s="22" t="str">
        <f>HYPERLINK("https://ceds.ed.gov/cedselementdetails.aspx?termid=21089")</f>
        <v>https://ceds.ed.gov/cedselementdetails.aspx?termid=21089</v>
      </c>
      <c r="Q229" s="22">
        <v>63730</v>
      </c>
    </row>
    <row r="230" spans="1:17" ht="201.6" x14ac:dyDescent="0.3">
      <c r="A230" s="22" t="s">
        <v>7709</v>
      </c>
      <c r="B230" s="22" t="s">
        <v>9194</v>
      </c>
      <c r="C230" s="22" t="s">
        <v>7742</v>
      </c>
      <c r="D230" s="22" t="s">
        <v>7710</v>
      </c>
      <c r="E230" s="22" t="s">
        <v>1544</v>
      </c>
      <c r="F230" s="24" t="s">
        <v>1545</v>
      </c>
      <c r="G230" s="23" t="s">
        <v>32</v>
      </c>
      <c r="H230" s="24" t="s">
        <v>1547</v>
      </c>
      <c r="I230" s="22"/>
      <c r="J230" s="22" t="s">
        <v>118</v>
      </c>
      <c r="K230" s="24"/>
      <c r="L230" s="24"/>
      <c r="M230" s="25" t="s">
        <v>1546</v>
      </c>
      <c r="N230" s="22"/>
      <c r="O230" s="22" t="s">
        <v>1544</v>
      </c>
      <c r="P230" s="22" t="str">
        <f>HYPERLINK("https://ceds.ed.gov/cedselementdetails.aspx?termid=21033")</f>
        <v>https://ceds.ed.gov/cedselementdetails.aspx?termid=21033</v>
      </c>
      <c r="Q230" s="22">
        <v>58617</v>
      </c>
    </row>
    <row r="231" spans="1:17" ht="216" x14ac:dyDescent="0.3">
      <c r="A231" s="22" t="s">
        <v>7709</v>
      </c>
      <c r="B231" s="22" t="s">
        <v>9194</v>
      </c>
      <c r="C231" s="22" t="s">
        <v>7742</v>
      </c>
      <c r="D231" s="22" t="s">
        <v>7710</v>
      </c>
      <c r="E231" s="22" t="s">
        <v>6763</v>
      </c>
      <c r="F231" s="24" t="s">
        <v>6764</v>
      </c>
      <c r="G231" s="26" t="s">
        <v>9142</v>
      </c>
      <c r="H231" s="24" t="s">
        <v>6767</v>
      </c>
      <c r="I231" s="22"/>
      <c r="J231" s="22"/>
      <c r="K231" s="24"/>
      <c r="L231" s="24" t="s">
        <v>6765</v>
      </c>
      <c r="M231" s="25" t="s">
        <v>6766</v>
      </c>
      <c r="N231" s="22"/>
      <c r="O231" s="22" t="s">
        <v>6763</v>
      </c>
      <c r="P231" s="22" t="str">
        <f>HYPERLINK("https://ceds.ed.gov/cedselementdetails.aspx?termid=21255")</f>
        <v>https://ceds.ed.gov/cedselementdetails.aspx?termid=21255</v>
      </c>
      <c r="Q231" s="22">
        <v>58632</v>
      </c>
    </row>
    <row r="232" spans="1:17" ht="201.6" x14ac:dyDescent="0.3">
      <c r="A232" s="22" t="s">
        <v>7709</v>
      </c>
      <c r="B232" s="22" t="s">
        <v>9194</v>
      </c>
      <c r="C232" s="22" t="s">
        <v>7742</v>
      </c>
      <c r="D232" s="22" t="s">
        <v>7710</v>
      </c>
      <c r="E232" s="22" t="s">
        <v>360</v>
      </c>
      <c r="F232" s="24" t="s">
        <v>361</v>
      </c>
      <c r="G232" s="26" t="s">
        <v>8601</v>
      </c>
      <c r="H232" s="24" t="s">
        <v>365</v>
      </c>
      <c r="I232" s="22"/>
      <c r="J232" s="22"/>
      <c r="K232" s="24"/>
      <c r="L232" s="24" t="s">
        <v>7958</v>
      </c>
      <c r="M232" s="25" t="s">
        <v>362</v>
      </c>
      <c r="N232" s="22" t="s">
        <v>363</v>
      </c>
      <c r="O232" s="22" t="s">
        <v>364</v>
      </c>
      <c r="P232" s="22" t="str">
        <f>HYPERLINK("https://ceds.ed.gov/cedselementdetails.aspx?termid=21655")</f>
        <v>https://ceds.ed.gov/cedselementdetails.aspx?termid=21655</v>
      </c>
      <c r="Q232" s="22">
        <v>58663</v>
      </c>
    </row>
    <row r="233" spans="1:17" ht="201.6" x14ac:dyDescent="0.3">
      <c r="A233" s="22" t="s">
        <v>7709</v>
      </c>
      <c r="B233" s="22" t="s">
        <v>9194</v>
      </c>
      <c r="C233" s="22" t="s">
        <v>7742</v>
      </c>
      <c r="D233" s="22" t="s">
        <v>7710</v>
      </c>
      <c r="E233" s="22" t="s">
        <v>400</v>
      </c>
      <c r="F233" s="24" t="s">
        <v>401</v>
      </c>
      <c r="G233" s="26" t="s">
        <v>8601</v>
      </c>
      <c r="H233" s="24" t="s">
        <v>365</v>
      </c>
      <c r="I233" s="22"/>
      <c r="J233" s="22"/>
      <c r="K233" s="24"/>
      <c r="L233" s="24" t="s">
        <v>7958</v>
      </c>
      <c r="M233" s="25" t="s">
        <v>402</v>
      </c>
      <c r="N233" s="22" t="s">
        <v>403</v>
      </c>
      <c r="O233" s="22" t="s">
        <v>400</v>
      </c>
      <c r="P233" s="22" t="str">
        <f>HYPERLINK("https://ceds.ed.gov/cedselementdetails.aspx?termid=21656")</f>
        <v>https://ceds.ed.gov/cedselementdetails.aspx?termid=21656</v>
      </c>
      <c r="Q233" s="22">
        <v>58664</v>
      </c>
    </row>
    <row r="234" spans="1:17" ht="201.6" x14ac:dyDescent="0.3">
      <c r="A234" s="22" t="s">
        <v>7709</v>
      </c>
      <c r="B234" s="22" t="s">
        <v>9194</v>
      </c>
      <c r="C234" s="22" t="s">
        <v>7742</v>
      </c>
      <c r="D234" s="22" t="s">
        <v>7710</v>
      </c>
      <c r="E234" s="22" t="s">
        <v>1554</v>
      </c>
      <c r="F234" s="24" t="s">
        <v>1555</v>
      </c>
      <c r="G234" s="26" t="s">
        <v>8601</v>
      </c>
      <c r="H234" s="24" t="s">
        <v>365</v>
      </c>
      <c r="I234" s="22"/>
      <c r="J234" s="22"/>
      <c r="K234" s="24"/>
      <c r="L234" s="24" t="s">
        <v>7958</v>
      </c>
      <c r="M234" s="25" t="s">
        <v>1556</v>
      </c>
      <c r="N234" s="22" t="s">
        <v>1557</v>
      </c>
      <c r="O234" s="22" t="s">
        <v>1558</v>
      </c>
      <c r="P234" s="22" t="str">
        <f>HYPERLINK("https://ceds.ed.gov/cedselementdetails.aspx?termid=21657")</f>
        <v>https://ceds.ed.gov/cedselementdetails.aspx?termid=21657</v>
      </c>
      <c r="Q234" s="22">
        <v>58665</v>
      </c>
    </row>
    <row r="235" spans="1:17" ht="201.6" x14ac:dyDescent="0.3">
      <c r="A235" s="22" t="s">
        <v>7709</v>
      </c>
      <c r="B235" s="22" t="s">
        <v>9194</v>
      </c>
      <c r="C235" s="22" t="s">
        <v>7742</v>
      </c>
      <c r="D235" s="22" t="s">
        <v>7710</v>
      </c>
      <c r="E235" s="22" t="s">
        <v>5548</v>
      </c>
      <c r="F235" s="24" t="s">
        <v>5549</v>
      </c>
      <c r="G235" s="26" t="s">
        <v>8601</v>
      </c>
      <c r="H235" s="24" t="s">
        <v>365</v>
      </c>
      <c r="I235" s="22"/>
      <c r="J235" s="22"/>
      <c r="K235" s="24"/>
      <c r="L235" s="24" t="s">
        <v>7958</v>
      </c>
      <c r="M235" s="25" t="s">
        <v>5550</v>
      </c>
      <c r="N235" s="22" t="s">
        <v>5551</v>
      </c>
      <c r="O235" s="22" t="s">
        <v>5552</v>
      </c>
      <c r="P235" s="22" t="str">
        <f>HYPERLINK("https://ceds.ed.gov/cedselementdetails.aspx?termid=21658")</f>
        <v>https://ceds.ed.gov/cedselementdetails.aspx?termid=21658</v>
      </c>
      <c r="Q235" s="22">
        <v>58666</v>
      </c>
    </row>
    <row r="236" spans="1:17" ht="201.6" x14ac:dyDescent="0.3">
      <c r="A236" s="22" t="s">
        <v>7709</v>
      </c>
      <c r="B236" s="22" t="s">
        <v>9194</v>
      </c>
      <c r="C236" s="22" t="s">
        <v>7742</v>
      </c>
      <c r="D236" s="22" t="s">
        <v>7710</v>
      </c>
      <c r="E236" s="22" t="s">
        <v>7390</v>
      </c>
      <c r="F236" s="24" t="s">
        <v>7391</v>
      </c>
      <c r="G236" s="26" t="s">
        <v>8601</v>
      </c>
      <c r="H236" s="24" t="s">
        <v>365</v>
      </c>
      <c r="I236" s="22"/>
      <c r="J236" s="22"/>
      <c r="K236" s="24"/>
      <c r="L236" s="24" t="s">
        <v>7958</v>
      </c>
      <c r="M236" s="25" t="s">
        <v>7392</v>
      </c>
      <c r="N236" s="22" t="s">
        <v>7393</v>
      </c>
      <c r="O236" s="22" t="s">
        <v>7390</v>
      </c>
      <c r="P236" s="22" t="str">
        <f>HYPERLINK("https://ceds.ed.gov/cedselementdetails.aspx?termid=21659")</f>
        <v>https://ceds.ed.gov/cedselementdetails.aspx?termid=21659</v>
      </c>
      <c r="Q236" s="22">
        <v>58667</v>
      </c>
    </row>
    <row r="237" spans="1:17" ht="72" x14ac:dyDescent="0.3">
      <c r="A237" s="22" t="s">
        <v>7709</v>
      </c>
      <c r="B237" s="22" t="s">
        <v>9194</v>
      </c>
      <c r="C237" s="22" t="s">
        <v>7742</v>
      </c>
      <c r="D237" s="22" t="s">
        <v>7710</v>
      </c>
      <c r="E237" s="22" t="s">
        <v>3090</v>
      </c>
      <c r="F237" s="24" t="s">
        <v>3091</v>
      </c>
      <c r="G237" s="26" t="s">
        <v>22</v>
      </c>
      <c r="H237" s="22"/>
      <c r="I237" s="22"/>
      <c r="J237" s="22"/>
      <c r="K237" s="24"/>
      <c r="L237" s="24" t="s">
        <v>3092</v>
      </c>
      <c r="M237" s="25" t="s">
        <v>3093</v>
      </c>
      <c r="N237" s="22"/>
      <c r="O237" s="22" t="s">
        <v>3094</v>
      </c>
      <c r="P237" s="22" t="str">
        <f>HYPERLINK("https://ceds.ed.gov/cedselementdetails.aspx?termid=21974")</f>
        <v>https://ceds.ed.gov/cedselementdetails.aspx?termid=21974</v>
      </c>
      <c r="Q237" s="22">
        <v>62132</v>
      </c>
    </row>
    <row r="238" spans="1:17" ht="43.2" x14ac:dyDescent="0.3">
      <c r="A238" s="22" t="s">
        <v>7709</v>
      </c>
      <c r="B238" s="22" t="s">
        <v>9194</v>
      </c>
      <c r="C238" s="22" t="s">
        <v>7742</v>
      </c>
      <c r="D238" s="22" t="s">
        <v>7710</v>
      </c>
      <c r="E238" s="22" t="s">
        <v>5752</v>
      </c>
      <c r="F238" s="24" t="s">
        <v>5753</v>
      </c>
      <c r="G238" s="26" t="s">
        <v>22</v>
      </c>
      <c r="H238" s="22"/>
      <c r="I238" s="22"/>
      <c r="J238" s="22"/>
      <c r="K238" s="24"/>
      <c r="L238" s="24" t="s">
        <v>5754</v>
      </c>
      <c r="M238" s="25" t="s">
        <v>5755</v>
      </c>
      <c r="N238" s="22"/>
      <c r="O238" s="22" t="s">
        <v>5756</v>
      </c>
      <c r="P238" s="22" t="str">
        <f>HYPERLINK("https://ceds.ed.gov/cedselementdetails.aspx?termid=22390")</f>
        <v>https://ceds.ed.gov/cedselementdetails.aspx?termid=22390</v>
      </c>
      <c r="Q238" s="22">
        <v>61305</v>
      </c>
    </row>
    <row r="239" spans="1:17" ht="201.6" x14ac:dyDescent="0.3">
      <c r="A239" s="22" t="s">
        <v>7709</v>
      </c>
      <c r="B239" s="22" t="s">
        <v>9194</v>
      </c>
      <c r="C239" s="22" t="s">
        <v>7742</v>
      </c>
      <c r="D239" s="22" t="s">
        <v>7710</v>
      </c>
      <c r="E239" s="22" t="s">
        <v>4347</v>
      </c>
      <c r="F239" s="24" t="s">
        <v>4348</v>
      </c>
      <c r="G239" s="26" t="s">
        <v>8601</v>
      </c>
      <c r="H239" s="24" t="s">
        <v>365</v>
      </c>
      <c r="I239" s="22"/>
      <c r="J239" s="22"/>
      <c r="K239" s="24"/>
      <c r="L239" s="24" t="s">
        <v>7958</v>
      </c>
      <c r="M239" s="25" t="s">
        <v>4349</v>
      </c>
      <c r="N239" s="22"/>
      <c r="O239" s="22" t="s">
        <v>4350</v>
      </c>
      <c r="P239" s="22" t="str">
        <f>HYPERLINK("https://ceds.ed.gov/cedselementdetails.aspx?termid=21144")</f>
        <v>https://ceds.ed.gov/cedselementdetails.aspx?termid=21144</v>
      </c>
      <c r="Q239" s="22">
        <v>58624</v>
      </c>
    </row>
    <row r="240" spans="1:17" ht="374.4" x14ac:dyDescent="0.3">
      <c r="A240" s="22" t="s">
        <v>7709</v>
      </c>
      <c r="B240" s="22" t="s">
        <v>9194</v>
      </c>
      <c r="C240" s="22" t="s">
        <v>7742</v>
      </c>
      <c r="D240" s="22" t="s">
        <v>7710</v>
      </c>
      <c r="E240" s="22" t="s">
        <v>4363</v>
      </c>
      <c r="F240" s="24" t="s">
        <v>4364</v>
      </c>
      <c r="G240" s="26" t="s">
        <v>22</v>
      </c>
      <c r="H240" s="24" t="s">
        <v>4367</v>
      </c>
      <c r="I240" s="22"/>
      <c r="J240" s="22"/>
      <c r="K240" s="24"/>
      <c r="L240" s="24"/>
      <c r="M240" s="25" t="s">
        <v>4365</v>
      </c>
      <c r="N240" s="22"/>
      <c r="O240" s="22" t="s">
        <v>4366</v>
      </c>
      <c r="P240" s="22" t="str">
        <f>HYPERLINK("https://ceds.ed.gov/cedselementdetails.aspx?termid=21149")</f>
        <v>https://ceds.ed.gov/cedselementdetails.aspx?termid=21149</v>
      </c>
      <c r="Q240" s="22">
        <v>58625</v>
      </c>
    </row>
    <row r="241" spans="1:17" ht="230.4" x14ac:dyDescent="0.3">
      <c r="A241" s="22" t="s">
        <v>7709</v>
      </c>
      <c r="B241" s="22" t="s">
        <v>9194</v>
      </c>
      <c r="C241" s="22" t="s">
        <v>7742</v>
      </c>
      <c r="D241" s="22" t="s">
        <v>7710</v>
      </c>
      <c r="E241" s="22" t="s">
        <v>5474</v>
      </c>
      <c r="F241" s="24" t="s">
        <v>5475</v>
      </c>
      <c r="G241" s="26" t="s">
        <v>22</v>
      </c>
      <c r="H241" s="24" t="s">
        <v>1901</v>
      </c>
      <c r="I241" s="22"/>
      <c r="J241" s="22"/>
      <c r="K241" s="24"/>
      <c r="L241" s="24"/>
      <c r="M241" s="25" t="s">
        <v>5476</v>
      </c>
      <c r="N241" s="22"/>
      <c r="O241" s="22" t="s">
        <v>5477</v>
      </c>
      <c r="P241" s="22" t="str">
        <f>HYPERLINK("https://ceds.ed.gov/cedselementdetails.aspx?termid=21189")</f>
        <v>https://ceds.ed.gov/cedselementdetails.aspx?termid=21189</v>
      </c>
      <c r="Q241" s="22">
        <v>61291</v>
      </c>
    </row>
    <row r="242" spans="1:17" ht="409.6" x14ac:dyDescent="0.3">
      <c r="A242" s="22" t="s">
        <v>7709</v>
      </c>
      <c r="B242" s="22" t="s">
        <v>9194</v>
      </c>
      <c r="C242" s="22" t="s">
        <v>7742</v>
      </c>
      <c r="D242" s="22" t="s">
        <v>7710</v>
      </c>
      <c r="E242" s="22" t="s">
        <v>2531</v>
      </c>
      <c r="F242" s="24" t="s">
        <v>2532</v>
      </c>
      <c r="G242" s="26" t="s">
        <v>8743</v>
      </c>
      <c r="H242" s="24" t="s">
        <v>2535</v>
      </c>
      <c r="I242" s="22"/>
      <c r="J242" s="22"/>
      <c r="K242" s="24"/>
      <c r="L242" s="24" t="s">
        <v>8055</v>
      </c>
      <c r="M242" s="25" t="s">
        <v>2533</v>
      </c>
      <c r="N242" s="22"/>
      <c r="O242" s="22" t="s">
        <v>2534</v>
      </c>
      <c r="P242" s="22" t="str">
        <f>HYPERLINK("https://ceds.ed.gov/cedselementdetails.aspx?termid=21051")</f>
        <v>https://ceds.ed.gov/cedselementdetails.aspx?termid=21051</v>
      </c>
      <c r="Q242" s="22">
        <v>63266</v>
      </c>
    </row>
    <row r="243" spans="1:17" ht="57.6" x14ac:dyDescent="0.3">
      <c r="A243" s="22" t="s">
        <v>7709</v>
      </c>
      <c r="B243" s="22" t="s">
        <v>9194</v>
      </c>
      <c r="C243" s="22" t="s">
        <v>7742</v>
      </c>
      <c r="D243" s="22" t="s">
        <v>7710</v>
      </c>
      <c r="E243" s="22" t="s">
        <v>7288</v>
      </c>
      <c r="F243" s="24" t="s">
        <v>7289</v>
      </c>
      <c r="G243" s="23" t="s">
        <v>7423</v>
      </c>
      <c r="H243" s="22"/>
      <c r="I243" s="22"/>
      <c r="J243" s="22"/>
      <c r="K243" s="24"/>
      <c r="L243" s="24"/>
      <c r="M243" s="25" t="s">
        <v>7290</v>
      </c>
      <c r="N243" s="22"/>
      <c r="O243" s="22" t="s">
        <v>7291</v>
      </c>
      <c r="P243" s="22" t="str">
        <f>HYPERLINK("https://ceds.ed.gov/cedselementdetails.aspx?termid=22638")</f>
        <v>https://ceds.ed.gov/cedselementdetails.aspx?termid=22638</v>
      </c>
      <c r="Q243" s="22">
        <v>63267</v>
      </c>
    </row>
    <row r="244" spans="1:17" ht="57.6" x14ac:dyDescent="0.3">
      <c r="A244" s="22" t="s">
        <v>7709</v>
      </c>
      <c r="B244" s="22" t="s">
        <v>9194</v>
      </c>
      <c r="C244" s="22" t="s">
        <v>7742</v>
      </c>
      <c r="D244" s="22" t="s">
        <v>7710</v>
      </c>
      <c r="E244" s="22" t="s">
        <v>7528</v>
      </c>
      <c r="F244" s="24" t="s">
        <v>7529</v>
      </c>
      <c r="G244" s="26" t="s">
        <v>22</v>
      </c>
      <c r="H244" s="22"/>
      <c r="I244" s="22"/>
      <c r="J244" s="22"/>
      <c r="K244" s="24"/>
      <c r="L244" s="24"/>
      <c r="M244" s="25" t="s">
        <v>7530</v>
      </c>
      <c r="N244" s="22"/>
      <c r="O244" s="22" t="s">
        <v>7531</v>
      </c>
      <c r="P244" s="22" t="str">
        <f>HYPERLINK("https://ceds.ed.gov/cedselementdetails.aspx?termid=22932")</f>
        <v>https://ceds.ed.gov/cedselementdetails.aspx?termid=22932</v>
      </c>
      <c r="Q244" s="22">
        <v>63500</v>
      </c>
    </row>
    <row r="245" spans="1:17" ht="144" x14ac:dyDescent="0.3">
      <c r="A245" s="22" t="s">
        <v>7709</v>
      </c>
      <c r="B245" s="22" t="s">
        <v>9194</v>
      </c>
      <c r="C245" s="22" t="s">
        <v>7742</v>
      </c>
      <c r="D245" s="22" t="s">
        <v>7710</v>
      </c>
      <c r="E245" s="22" t="s">
        <v>7640</v>
      </c>
      <c r="F245" s="24" t="s">
        <v>7641</v>
      </c>
      <c r="G245" s="26" t="s">
        <v>9121</v>
      </c>
      <c r="H245" s="22"/>
      <c r="I245" s="22"/>
      <c r="J245" s="22"/>
      <c r="K245" s="24"/>
      <c r="L245" s="24" t="s">
        <v>7642</v>
      </c>
      <c r="M245" s="25" t="s">
        <v>7643</v>
      </c>
      <c r="N245" s="22"/>
      <c r="O245" s="22" t="s">
        <v>7640</v>
      </c>
      <c r="P245" s="22" t="str">
        <f>HYPERLINK("https://ceds.ed.gov/cedselementdetails.aspx?termid=22955")</f>
        <v>https://ceds.ed.gov/cedselementdetails.aspx?termid=22955</v>
      </c>
      <c r="Q245" s="22">
        <v>63501</v>
      </c>
    </row>
    <row r="246" spans="1:17" ht="72" x14ac:dyDescent="0.3">
      <c r="A246" s="22" t="s">
        <v>7709</v>
      </c>
      <c r="B246" s="22" t="s">
        <v>9194</v>
      </c>
      <c r="C246" s="22" t="s">
        <v>7742</v>
      </c>
      <c r="D246" s="22" t="s">
        <v>7741</v>
      </c>
      <c r="E246" s="22" t="s">
        <v>5489</v>
      </c>
      <c r="F246" s="24" t="s">
        <v>5490</v>
      </c>
      <c r="G246" s="26" t="s">
        <v>8477</v>
      </c>
      <c r="H246" s="22"/>
      <c r="I246" s="22" t="s">
        <v>172</v>
      </c>
      <c r="J246" s="22"/>
      <c r="K246" s="24" t="s">
        <v>7946</v>
      </c>
      <c r="L246" s="24"/>
      <c r="M246" s="25" t="s">
        <v>5491</v>
      </c>
      <c r="N246" s="22"/>
      <c r="O246" s="22" t="s">
        <v>5492</v>
      </c>
      <c r="P246" s="22" t="str">
        <f>HYPERLINK("https://ceds.ed.gov/cedselementdetails.aspx?termid=22555")</f>
        <v>https://ceds.ed.gov/cedselementdetails.aspx?termid=22555</v>
      </c>
      <c r="Q246" s="22">
        <v>63731</v>
      </c>
    </row>
    <row r="247" spans="1:17" ht="129.6" x14ac:dyDescent="0.3">
      <c r="A247" s="22" t="s">
        <v>7709</v>
      </c>
      <c r="B247" s="22" t="s">
        <v>9194</v>
      </c>
      <c r="C247" s="22" t="s">
        <v>7742</v>
      </c>
      <c r="D247" s="22" t="s">
        <v>7741</v>
      </c>
      <c r="E247" s="22" t="s">
        <v>6279</v>
      </c>
      <c r="F247" s="24" t="s">
        <v>6280</v>
      </c>
      <c r="G247" s="26" t="s">
        <v>8508</v>
      </c>
      <c r="H247" s="22"/>
      <c r="I247" s="22" t="s">
        <v>172</v>
      </c>
      <c r="J247" s="22"/>
      <c r="K247" s="24" t="s">
        <v>7946</v>
      </c>
      <c r="L247" s="24"/>
      <c r="M247" s="25" t="s">
        <v>6281</v>
      </c>
      <c r="N247" s="22"/>
      <c r="O247" s="22" t="s">
        <v>6282</v>
      </c>
      <c r="P247" s="22" t="str">
        <f>HYPERLINK("https://ceds.ed.gov/cedselementdetails.aspx?termid=21523")</f>
        <v>https://ceds.ed.gov/cedselementdetails.aspx?termid=21523</v>
      </c>
      <c r="Q247" s="22">
        <v>63732</v>
      </c>
    </row>
    <row r="248" spans="1:17" ht="409.6" x14ac:dyDescent="0.3">
      <c r="A248" s="22" t="s">
        <v>7709</v>
      </c>
      <c r="B248" s="22" t="s">
        <v>9194</v>
      </c>
      <c r="C248" s="22" t="s">
        <v>7742</v>
      </c>
      <c r="D248" s="22" t="s">
        <v>7741</v>
      </c>
      <c r="E248" s="22" t="s">
        <v>6987</v>
      </c>
      <c r="F248" s="24" t="s">
        <v>6988</v>
      </c>
      <c r="G248" s="26" t="s">
        <v>8538</v>
      </c>
      <c r="H248" s="22" t="s">
        <v>1553</v>
      </c>
      <c r="I248" s="22" t="s">
        <v>172</v>
      </c>
      <c r="J248" s="22"/>
      <c r="K248" s="24" t="s">
        <v>7946</v>
      </c>
      <c r="L248" s="24"/>
      <c r="M248" s="25" t="s">
        <v>6989</v>
      </c>
      <c r="N248" s="22"/>
      <c r="O248" s="22" t="s">
        <v>6990</v>
      </c>
      <c r="P248" s="22" t="str">
        <f>HYPERLINK("https://ceds.ed.gov/cedselementdetails.aspx?termid=21417")</f>
        <v>https://ceds.ed.gov/cedselementdetails.aspx?termid=21417</v>
      </c>
      <c r="Q248" s="22">
        <v>63733</v>
      </c>
    </row>
    <row r="249" spans="1:17" ht="28.8" x14ac:dyDescent="0.3">
      <c r="A249" s="22" t="s">
        <v>7709</v>
      </c>
      <c r="B249" s="22" t="s">
        <v>9194</v>
      </c>
      <c r="C249" s="22" t="s">
        <v>7743</v>
      </c>
      <c r="D249" s="22" t="s">
        <v>7710</v>
      </c>
      <c r="E249" s="22" t="s">
        <v>6407</v>
      </c>
      <c r="F249" s="24" t="s">
        <v>6408</v>
      </c>
      <c r="G249" s="23" t="s">
        <v>32</v>
      </c>
      <c r="H249" s="22"/>
      <c r="I249" s="22"/>
      <c r="J249" s="22" t="s">
        <v>157</v>
      </c>
      <c r="K249" s="24"/>
      <c r="L249" s="24"/>
      <c r="M249" s="25" t="s">
        <v>6409</v>
      </c>
      <c r="N249" s="22"/>
      <c r="O249" s="22" t="s">
        <v>6410</v>
      </c>
      <c r="P249" s="22" t="str">
        <f>HYPERLINK("https://ceds.ed.gov/cedselementdetails.aspx?termid=22458")</f>
        <v>https://ceds.ed.gov/cedselementdetails.aspx?termid=22458</v>
      </c>
      <c r="Q249" s="22">
        <v>61418</v>
      </c>
    </row>
    <row r="250" spans="1:17" x14ac:dyDescent="0.3">
      <c r="A250" s="22" t="s">
        <v>7709</v>
      </c>
      <c r="B250" s="22" t="s">
        <v>9194</v>
      </c>
      <c r="C250" s="22" t="s">
        <v>7743</v>
      </c>
      <c r="D250" s="22" t="s">
        <v>7710</v>
      </c>
      <c r="E250" s="22" t="s">
        <v>6383</v>
      </c>
      <c r="F250" s="24" t="s">
        <v>6384</v>
      </c>
      <c r="G250" s="23" t="s">
        <v>32</v>
      </c>
      <c r="H250" s="22"/>
      <c r="I250" s="22"/>
      <c r="J250" s="22" t="s">
        <v>118</v>
      </c>
      <c r="K250" s="24"/>
      <c r="L250" s="24"/>
      <c r="M250" s="25" t="s">
        <v>6385</v>
      </c>
      <c r="N250" s="22"/>
      <c r="O250" s="22" t="s">
        <v>6386</v>
      </c>
      <c r="P250" s="22" t="str">
        <f>HYPERLINK("https://ceds.ed.gov/cedselementdetails.aspx?termid=22453")</f>
        <v>https://ceds.ed.gov/cedselementdetails.aspx?termid=22453</v>
      </c>
      <c r="Q250" s="22">
        <v>61411</v>
      </c>
    </row>
    <row r="251" spans="1:17" x14ac:dyDescent="0.3">
      <c r="A251" s="22" t="s">
        <v>7709</v>
      </c>
      <c r="B251" s="22" t="s">
        <v>9194</v>
      </c>
      <c r="C251" s="22" t="s">
        <v>7743</v>
      </c>
      <c r="D251" s="22" t="s">
        <v>7710</v>
      </c>
      <c r="E251" s="22" t="s">
        <v>6395</v>
      </c>
      <c r="F251" s="24" t="s">
        <v>6396</v>
      </c>
      <c r="G251" s="23" t="s">
        <v>32</v>
      </c>
      <c r="H251" s="22"/>
      <c r="I251" s="22"/>
      <c r="J251" s="22" t="s">
        <v>328</v>
      </c>
      <c r="K251" s="24"/>
      <c r="L251" s="24"/>
      <c r="M251" s="25" t="s">
        <v>6397</v>
      </c>
      <c r="N251" s="22"/>
      <c r="O251" s="22" t="s">
        <v>6398</v>
      </c>
      <c r="P251" s="22" t="str">
        <f>HYPERLINK("https://ceds.ed.gov/cedselementdetails.aspx?termid=22455")</f>
        <v>https://ceds.ed.gov/cedselementdetails.aspx?termid=22455</v>
      </c>
      <c r="Q251" s="22">
        <v>61413</v>
      </c>
    </row>
    <row r="252" spans="1:17" ht="28.8" x14ac:dyDescent="0.3">
      <c r="A252" s="22" t="s">
        <v>7709</v>
      </c>
      <c r="B252" s="22" t="s">
        <v>9194</v>
      </c>
      <c r="C252" s="22" t="s">
        <v>7743</v>
      </c>
      <c r="D252" s="22" t="s">
        <v>7710</v>
      </c>
      <c r="E252" s="22" t="s">
        <v>6399</v>
      </c>
      <c r="F252" s="24" t="s">
        <v>6400</v>
      </c>
      <c r="G252" s="23" t="s">
        <v>32</v>
      </c>
      <c r="H252" s="22"/>
      <c r="I252" s="22"/>
      <c r="J252" s="22" t="s">
        <v>157</v>
      </c>
      <c r="K252" s="24"/>
      <c r="L252" s="24"/>
      <c r="M252" s="25" t="s">
        <v>6401</v>
      </c>
      <c r="N252" s="22"/>
      <c r="O252" s="22" t="s">
        <v>6402</v>
      </c>
      <c r="P252" s="22" t="str">
        <f>HYPERLINK("https://ceds.ed.gov/cedselementdetails.aspx?termid=22456")</f>
        <v>https://ceds.ed.gov/cedselementdetails.aspx?termid=22456</v>
      </c>
      <c r="Q252" s="22">
        <v>61414</v>
      </c>
    </row>
    <row r="253" spans="1:17" ht="28.8" x14ac:dyDescent="0.3">
      <c r="A253" s="22" t="s">
        <v>7709</v>
      </c>
      <c r="B253" s="22" t="s">
        <v>9194</v>
      </c>
      <c r="C253" s="22" t="s">
        <v>7743</v>
      </c>
      <c r="D253" s="22" t="s">
        <v>7710</v>
      </c>
      <c r="E253" s="22" t="s">
        <v>6403</v>
      </c>
      <c r="F253" s="24" t="s">
        <v>6404</v>
      </c>
      <c r="G253" s="23" t="s">
        <v>32</v>
      </c>
      <c r="H253" s="22"/>
      <c r="I253" s="22"/>
      <c r="J253" s="22" t="s">
        <v>157</v>
      </c>
      <c r="K253" s="24"/>
      <c r="L253" s="24"/>
      <c r="M253" s="25" t="s">
        <v>6405</v>
      </c>
      <c r="N253" s="22"/>
      <c r="O253" s="22" t="s">
        <v>6406</v>
      </c>
      <c r="P253" s="22" t="str">
        <f>HYPERLINK("https://ceds.ed.gov/cedselementdetails.aspx?termid=22457")</f>
        <v>https://ceds.ed.gov/cedselementdetails.aspx?termid=22457</v>
      </c>
      <c r="Q253" s="22">
        <v>61417</v>
      </c>
    </row>
    <row r="254" spans="1:17" ht="100.8" x14ac:dyDescent="0.3">
      <c r="A254" s="22" t="s">
        <v>7709</v>
      </c>
      <c r="B254" s="22" t="s">
        <v>9194</v>
      </c>
      <c r="C254" s="22" t="s">
        <v>7743</v>
      </c>
      <c r="D254" s="22" t="s">
        <v>7710</v>
      </c>
      <c r="E254" s="22" t="s">
        <v>6387</v>
      </c>
      <c r="F254" s="24" t="s">
        <v>6388</v>
      </c>
      <c r="G254" s="26" t="s">
        <v>9129</v>
      </c>
      <c r="H254" s="22"/>
      <c r="I254" s="22"/>
      <c r="J254" s="22"/>
      <c r="K254" s="24"/>
      <c r="L254" s="24"/>
      <c r="M254" s="25" t="s">
        <v>6389</v>
      </c>
      <c r="N254" s="22"/>
      <c r="O254" s="22" t="s">
        <v>6390</v>
      </c>
      <c r="P254" s="22" t="str">
        <f>HYPERLINK("https://ceds.ed.gov/cedselementdetails.aspx?termid=22454")</f>
        <v>https://ceds.ed.gov/cedselementdetails.aspx?termid=22454</v>
      </c>
      <c r="Q254" s="22">
        <v>61412</v>
      </c>
    </row>
    <row r="255" spans="1:17" ht="57.6" x14ac:dyDescent="0.3">
      <c r="A255" s="22" t="s">
        <v>7709</v>
      </c>
      <c r="B255" s="22" t="s">
        <v>9194</v>
      </c>
      <c r="C255" s="22" t="s">
        <v>7744</v>
      </c>
      <c r="D255" s="22" t="s">
        <v>7710</v>
      </c>
      <c r="E255" s="22" t="s">
        <v>5392</v>
      </c>
      <c r="F255" s="24" t="s">
        <v>5393</v>
      </c>
      <c r="G255" s="26" t="s">
        <v>9025</v>
      </c>
      <c r="H255" s="22" t="s">
        <v>1553</v>
      </c>
      <c r="I255" s="22"/>
      <c r="J255" s="22"/>
      <c r="K255" s="24"/>
      <c r="L255" s="24"/>
      <c r="M255" s="25" t="s">
        <v>5394</v>
      </c>
      <c r="N255" s="22"/>
      <c r="O255" s="22" t="s">
        <v>5395</v>
      </c>
      <c r="P255" s="22" t="str">
        <f>HYPERLINK("https://ceds.ed.gov/cedselementdetails.aspx?termid=21429")</f>
        <v>https://ceds.ed.gov/cedselementdetails.aspx?termid=21429</v>
      </c>
      <c r="Q255" s="22">
        <v>62714</v>
      </c>
    </row>
    <row r="256" spans="1:17" ht="409.6" x14ac:dyDescent="0.3">
      <c r="A256" s="22" t="s">
        <v>7709</v>
      </c>
      <c r="B256" s="22" t="s">
        <v>9194</v>
      </c>
      <c r="C256" s="22" t="s">
        <v>7744</v>
      </c>
      <c r="D256" s="22" t="s">
        <v>7710</v>
      </c>
      <c r="E256" s="22" t="s">
        <v>335</v>
      </c>
      <c r="F256" s="24" t="s">
        <v>336</v>
      </c>
      <c r="G256" s="26" t="s">
        <v>8598</v>
      </c>
      <c r="H256" s="22"/>
      <c r="I256" s="22"/>
      <c r="J256" s="22"/>
      <c r="K256" s="24"/>
      <c r="L256" s="24" t="s">
        <v>337</v>
      </c>
      <c r="M256" s="25" t="s">
        <v>338</v>
      </c>
      <c r="N256" s="22"/>
      <c r="O256" s="22" t="s">
        <v>339</v>
      </c>
      <c r="P256" s="22" t="str">
        <f>HYPERLINK("https://ceds.ed.gov/cedselementdetails.aspx?termid=22249")</f>
        <v>https://ceds.ed.gov/cedselementdetails.aspx?termid=22249</v>
      </c>
      <c r="Q256" s="22">
        <v>61562</v>
      </c>
    </row>
    <row r="257" spans="1:17" ht="43.2" x14ac:dyDescent="0.3">
      <c r="A257" s="22" t="s">
        <v>7709</v>
      </c>
      <c r="B257" s="22" t="s">
        <v>9194</v>
      </c>
      <c r="C257" s="22" t="s">
        <v>7744</v>
      </c>
      <c r="D257" s="22" t="s">
        <v>7710</v>
      </c>
      <c r="E257" s="22" t="s">
        <v>331</v>
      </c>
      <c r="F257" s="24" t="s">
        <v>332</v>
      </c>
      <c r="G257" s="26" t="s">
        <v>8597</v>
      </c>
      <c r="H257" s="22"/>
      <c r="I257" s="22"/>
      <c r="J257" s="22"/>
      <c r="K257" s="24"/>
      <c r="L257" s="24"/>
      <c r="M257" s="25" t="s">
        <v>333</v>
      </c>
      <c r="N257" s="22"/>
      <c r="O257" s="22" t="s">
        <v>334</v>
      </c>
      <c r="P257" s="22" t="str">
        <f>HYPERLINK("https://ceds.ed.gov/cedselementdetails.aspx?termid=22248")</f>
        <v>https://ceds.ed.gov/cedselementdetails.aspx?termid=22248</v>
      </c>
      <c r="Q257" s="22">
        <v>61561</v>
      </c>
    </row>
    <row r="258" spans="1:17" ht="43.2" x14ac:dyDescent="0.3">
      <c r="A258" s="22" t="s">
        <v>7709</v>
      </c>
      <c r="B258" s="22" t="s">
        <v>9194</v>
      </c>
      <c r="C258" s="22" t="s">
        <v>7744</v>
      </c>
      <c r="D258" s="22" t="s">
        <v>7710</v>
      </c>
      <c r="E258" s="22" t="s">
        <v>326</v>
      </c>
      <c r="F258" s="24" t="s">
        <v>327</v>
      </c>
      <c r="G258" s="23" t="s">
        <v>32</v>
      </c>
      <c r="H258" s="22"/>
      <c r="I258" s="22"/>
      <c r="J258" s="22" t="s">
        <v>328</v>
      </c>
      <c r="K258" s="24"/>
      <c r="L258" s="24"/>
      <c r="M258" s="25" t="s">
        <v>329</v>
      </c>
      <c r="N258" s="22"/>
      <c r="O258" s="22" t="s">
        <v>330</v>
      </c>
      <c r="P258" s="22" t="str">
        <f>HYPERLINK("https://ceds.ed.gov/cedselementdetails.aspx?termid=22247")</f>
        <v>https://ceds.ed.gov/cedselementdetails.aspx?termid=22247</v>
      </c>
      <c r="Q258" s="22">
        <v>61560</v>
      </c>
    </row>
    <row r="259" spans="1:17" ht="43.2" x14ac:dyDescent="0.3">
      <c r="A259" s="22" t="s">
        <v>7709</v>
      </c>
      <c r="B259" s="22" t="s">
        <v>9194</v>
      </c>
      <c r="C259" s="22" t="s">
        <v>7744</v>
      </c>
      <c r="D259" s="22" t="s">
        <v>7710</v>
      </c>
      <c r="E259" s="22" t="s">
        <v>4281</v>
      </c>
      <c r="F259" s="24" t="s">
        <v>4282</v>
      </c>
      <c r="G259" s="23" t="s">
        <v>32</v>
      </c>
      <c r="H259" s="22"/>
      <c r="I259" s="22"/>
      <c r="J259" s="22" t="s">
        <v>113</v>
      </c>
      <c r="K259" s="24"/>
      <c r="L259" s="24"/>
      <c r="M259" s="25" t="s">
        <v>4283</v>
      </c>
      <c r="N259" s="22"/>
      <c r="O259" s="22" t="s">
        <v>4284</v>
      </c>
      <c r="P259" s="22" t="str">
        <f>HYPERLINK("https://ceds.ed.gov/cedselementdetails.aspx?termid=22325")</f>
        <v>https://ceds.ed.gov/cedselementdetails.aspx?termid=22325</v>
      </c>
      <c r="Q259" s="22">
        <v>61210</v>
      </c>
    </row>
    <row r="260" spans="1:17" ht="28.8" x14ac:dyDescent="0.3">
      <c r="A260" s="22" t="s">
        <v>7709</v>
      </c>
      <c r="B260" s="22" t="s">
        <v>9194</v>
      </c>
      <c r="C260" s="22" t="s">
        <v>7744</v>
      </c>
      <c r="D260" s="22" t="s">
        <v>7710</v>
      </c>
      <c r="E260" s="22" t="s">
        <v>4285</v>
      </c>
      <c r="F260" s="24" t="s">
        <v>4286</v>
      </c>
      <c r="G260" s="23" t="s">
        <v>32</v>
      </c>
      <c r="H260" s="22"/>
      <c r="I260" s="22"/>
      <c r="J260" s="22" t="s">
        <v>328</v>
      </c>
      <c r="K260" s="24"/>
      <c r="L260" s="24"/>
      <c r="M260" s="25" t="s">
        <v>4287</v>
      </c>
      <c r="N260" s="22"/>
      <c r="O260" s="22" t="s">
        <v>4288</v>
      </c>
      <c r="P260" s="22" t="str">
        <f>HYPERLINK("https://ceds.ed.gov/cedselementdetails.aspx?termid=22326")</f>
        <v>https://ceds.ed.gov/cedselementdetails.aspx?termid=22326</v>
      </c>
      <c r="Q260" s="22">
        <v>61211</v>
      </c>
    </row>
    <row r="261" spans="1:17" ht="72" x14ac:dyDescent="0.3">
      <c r="A261" s="22" t="s">
        <v>7709</v>
      </c>
      <c r="B261" s="22" t="s">
        <v>9194</v>
      </c>
      <c r="C261" s="22" t="s">
        <v>7745</v>
      </c>
      <c r="D261" s="22" t="s">
        <v>7710</v>
      </c>
      <c r="E261" s="22" t="s">
        <v>4512</v>
      </c>
      <c r="F261" s="24" t="s">
        <v>4513</v>
      </c>
      <c r="G261" s="23" t="s">
        <v>32</v>
      </c>
      <c r="H261" s="24" t="s">
        <v>4516</v>
      </c>
      <c r="I261" s="22"/>
      <c r="J261" s="22" t="s">
        <v>118</v>
      </c>
      <c r="K261" s="24"/>
      <c r="L261" s="24"/>
      <c r="M261" s="25" t="s">
        <v>4514</v>
      </c>
      <c r="N261" s="22"/>
      <c r="O261" s="22" t="s">
        <v>4515</v>
      </c>
      <c r="P261" s="22" t="str">
        <f>HYPERLINK("https://ceds.ed.gov/cedselementdetails.aspx?termid=21306")</f>
        <v>https://ceds.ed.gov/cedselementdetails.aspx?termid=21306</v>
      </c>
      <c r="Q261" s="22">
        <v>58636</v>
      </c>
    </row>
    <row r="262" spans="1:17" ht="288" x14ac:dyDescent="0.3">
      <c r="A262" s="22" t="s">
        <v>7709</v>
      </c>
      <c r="B262" s="22" t="s">
        <v>9194</v>
      </c>
      <c r="C262" s="22" t="s">
        <v>7745</v>
      </c>
      <c r="D262" s="22" t="s">
        <v>7710</v>
      </c>
      <c r="E262" s="22" t="s">
        <v>4525</v>
      </c>
      <c r="F262" s="24" t="s">
        <v>4526</v>
      </c>
      <c r="G262" s="26" t="s">
        <v>8943</v>
      </c>
      <c r="H262" s="22"/>
      <c r="I262" s="22"/>
      <c r="J262" s="22"/>
      <c r="K262" s="24"/>
      <c r="L262" s="24"/>
      <c r="M262" s="25" t="s">
        <v>4527</v>
      </c>
      <c r="N262" s="22"/>
      <c r="O262" s="22" t="s">
        <v>4528</v>
      </c>
      <c r="P262" s="22" t="str">
        <f>HYPERLINK("https://ceds.ed.gov/cedselementdetails.aspx?termid=22214")</f>
        <v>https://ceds.ed.gov/cedselementdetails.aspx?termid=22214</v>
      </c>
      <c r="Q262" s="22">
        <v>58637</v>
      </c>
    </row>
    <row r="263" spans="1:17" ht="28.8" x14ac:dyDescent="0.3">
      <c r="A263" s="22" t="s">
        <v>7709</v>
      </c>
      <c r="B263" s="22" t="s">
        <v>9194</v>
      </c>
      <c r="C263" s="22" t="s">
        <v>7746</v>
      </c>
      <c r="D263" s="22" t="s">
        <v>7710</v>
      </c>
      <c r="E263" s="22" t="s">
        <v>7345</v>
      </c>
      <c r="F263" s="24" t="s">
        <v>7346</v>
      </c>
      <c r="G263" s="23" t="s">
        <v>32</v>
      </c>
      <c r="H263" s="22"/>
      <c r="I263" s="22"/>
      <c r="J263" s="22" t="s">
        <v>118</v>
      </c>
      <c r="K263" s="24"/>
      <c r="L263" s="24"/>
      <c r="M263" s="25" t="s">
        <v>7347</v>
      </c>
      <c r="N263" s="22"/>
      <c r="O263" s="22" t="s">
        <v>7348</v>
      </c>
      <c r="P263" s="22" t="str">
        <f>HYPERLINK("https://ceds.ed.gov/cedselementdetails.aspx?termid=21680")</f>
        <v>https://ceds.ed.gov/cedselementdetails.aspx?termid=21680</v>
      </c>
      <c r="Q263" s="22">
        <v>58668</v>
      </c>
    </row>
    <row r="264" spans="1:17" ht="43.2" x14ac:dyDescent="0.3">
      <c r="A264" s="22" t="s">
        <v>7709</v>
      </c>
      <c r="B264" s="22" t="s">
        <v>9194</v>
      </c>
      <c r="C264" s="22" t="s">
        <v>7746</v>
      </c>
      <c r="D264" s="22" t="s">
        <v>7710</v>
      </c>
      <c r="E264" s="22" t="s">
        <v>7349</v>
      </c>
      <c r="F264" s="24" t="s">
        <v>7350</v>
      </c>
      <c r="G264" s="26" t="s">
        <v>8917</v>
      </c>
      <c r="H264" s="22" t="s">
        <v>2015</v>
      </c>
      <c r="I264" s="22"/>
      <c r="J264" s="22"/>
      <c r="K264" s="24"/>
      <c r="L264" s="24"/>
      <c r="M264" s="25" t="s">
        <v>7351</v>
      </c>
      <c r="N264" s="22"/>
      <c r="O264" s="22" t="s">
        <v>7352</v>
      </c>
      <c r="P264" s="22" t="str">
        <f>HYPERLINK("https://ceds.ed.gov/cedselementdetails.aspx?termid=21308")</f>
        <v>https://ceds.ed.gov/cedselementdetails.aspx?termid=21308</v>
      </c>
      <c r="Q264" s="22">
        <v>58638</v>
      </c>
    </row>
    <row r="265" spans="1:17" ht="28.8" x14ac:dyDescent="0.3">
      <c r="A265" s="22" t="s">
        <v>7709</v>
      </c>
      <c r="B265" s="22" t="s">
        <v>9194</v>
      </c>
      <c r="C265" s="22" t="s">
        <v>7747</v>
      </c>
      <c r="D265" s="22" t="s">
        <v>7710</v>
      </c>
      <c r="E265" s="22" t="s">
        <v>4289</v>
      </c>
      <c r="F265" s="24" t="s">
        <v>4290</v>
      </c>
      <c r="G265" s="23" t="s">
        <v>32</v>
      </c>
      <c r="H265" s="22"/>
      <c r="I265" s="22"/>
      <c r="J265" s="22" t="s">
        <v>118</v>
      </c>
      <c r="K265" s="24"/>
      <c r="L265" s="24"/>
      <c r="M265" s="25" t="s">
        <v>4291</v>
      </c>
      <c r="N265" s="22"/>
      <c r="O265" s="22" t="s">
        <v>4292</v>
      </c>
      <c r="P265" s="22" t="str">
        <f>HYPERLINK("https://ceds.ed.gov/cedselementdetails.aspx?termid=21681")</f>
        <v>https://ceds.ed.gov/cedselementdetails.aspx?termid=21681</v>
      </c>
      <c r="Q265" s="22">
        <v>58669</v>
      </c>
    </row>
    <row r="266" spans="1:17" ht="43.2" x14ac:dyDescent="0.3">
      <c r="A266" s="22" t="s">
        <v>7709</v>
      </c>
      <c r="B266" s="22" t="s">
        <v>9194</v>
      </c>
      <c r="C266" s="22" t="s">
        <v>7747</v>
      </c>
      <c r="D266" s="22" t="s">
        <v>7710</v>
      </c>
      <c r="E266" s="22" t="s">
        <v>4293</v>
      </c>
      <c r="F266" s="24" t="s">
        <v>4294</v>
      </c>
      <c r="G266" s="26" t="s">
        <v>8917</v>
      </c>
      <c r="H266" s="22" t="s">
        <v>2015</v>
      </c>
      <c r="I266" s="22"/>
      <c r="J266" s="22"/>
      <c r="K266" s="24"/>
      <c r="L266" s="24"/>
      <c r="M266" s="25" t="s">
        <v>4295</v>
      </c>
      <c r="N266" s="22"/>
      <c r="O266" s="22" t="s">
        <v>4296</v>
      </c>
      <c r="P266" s="22" t="str">
        <f>HYPERLINK("https://ceds.ed.gov/cedselementdetails.aspx?termid=21309")</f>
        <v>https://ceds.ed.gov/cedselementdetails.aspx?termid=21309</v>
      </c>
      <c r="Q266" s="22">
        <v>58639</v>
      </c>
    </row>
    <row r="267" spans="1:17" ht="28.8" x14ac:dyDescent="0.3">
      <c r="A267" s="22" t="s">
        <v>7709</v>
      </c>
      <c r="B267" s="22" t="s">
        <v>9194</v>
      </c>
      <c r="C267" s="22" t="s">
        <v>7748</v>
      </c>
      <c r="D267" s="22" t="s">
        <v>7710</v>
      </c>
      <c r="E267" s="22" t="s">
        <v>3100</v>
      </c>
      <c r="F267" s="24" t="s">
        <v>3101</v>
      </c>
      <c r="G267" s="23" t="s">
        <v>32</v>
      </c>
      <c r="H267" s="22"/>
      <c r="I267" s="22"/>
      <c r="J267" s="22" t="s">
        <v>118</v>
      </c>
      <c r="K267" s="24"/>
      <c r="L267" s="24"/>
      <c r="M267" s="25" t="s">
        <v>3102</v>
      </c>
      <c r="N267" s="22"/>
      <c r="O267" s="22" t="s">
        <v>3103</v>
      </c>
      <c r="P267" s="22" t="str">
        <f>HYPERLINK("https://ceds.ed.gov/cedselementdetails.aspx?termid=21682")</f>
        <v>https://ceds.ed.gov/cedselementdetails.aspx?termid=21682</v>
      </c>
      <c r="Q267" s="22">
        <v>58670</v>
      </c>
    </row>
    <row r="268" spans="1:17" ht="115.2" x14ac:dyDescent="0.3">
      <c r="A268" s="22" t="s">
        <v>7709</v>
      </c>
      <c r="B268" s="22" t="s">
        <v>9194</v>
      </c>
      <c r="C268" s="22" t="s">
        <v>7748</v>
      </c>
      <c r="D268" s="22" t="s">
        <v>7710</v>
      </c>
      <c r="E268" s="22" t="s">
        <v>3104</v>
      </c>
      <c r="F268" s="24" t="s">
        <v>3105</v>
      </c>
      <c r="G268" s="26" t="s">
        <v>8789</v>
      </c>
      <c r="H268" s="22" t="s">
        <v>2015</v>
      </c>
      <c r="I268" s="22"/>
      <c r="J268" s="22"/>
      <c r="K268" s="24"/>
      <c r="L268" s="24"/>
      <c r="M268" s="25" t="s">
        <v>3106</v>
      </c>
      <c r="N268" s="22"/>
      <c r="O268" s="22" t="s">
        <v>3107</v>
      </c>
      <c r="P268" s="22" t="str">
        <f>HYPERLINK("https://ceds.ed.gov/cedselementdetails.aspx?termid=21310")</f>
        <v>https://ceds.ed.gov/cedselementdetails.aspx?termid=21310</v>
      </c>
      <c r="Q268" s="22">
        <v>58640</v>
      </c>
    </row>
    <row r="269" spans="1:17" ht="158.4" x14ac:dyDescent="0.3">
      <c r="A269" s="22" t="s">
        <v>7709</v>
      </c>
      <c r="B269" s="22" t="s">
        <v>9194</v>
      </c>
      <c r="C269" s="22" t="s">
        <v>7749</v>
      </c>
      <c r="D269" s="22" t="s">
        <v>7710</v>
      </c>
      <c r="E269" s="22" t="s">
        <v>4826</v>
      </c>
      <c r="F269" s="24" t="s">
        <v>4827</v>
      </c>
      <c r="G269" s="26" t="s">
        <v>8786</v>
      </c>
      <c r="H269" s="22" t="s">
        <v>3099</v>
      </c>
      <c r="I269" s="22"/>
      <c r="J269" s="22"/>
      <c r="K269" s="24"/>
      <c r="L269" s="24" t="s">
        <v>8077</v>
      </c>
      <c r="M269" s="25" t="s">
        <v>4828</v>
      </c>
      <c r="N269" s="22"/>
      <c r="O269" s="22" t="s">
        <v>4829</v>
      </c>
      <c r="P269" s="22" t="str">
        <f>HYPERLINK("https://ceds.ed.gov/cedselementdetails.aspx?termid=21334")</f>
        <v>https://ceds.ed.gov/cedselementdetails.aspx?termid=21334</v>
      </c>
      <c r="Q269" s="22">
        <v>58657</v>
      </c>
    </row>
    <row r="270" spans="1:17" ht="158.4" x14ac:dyDescent="0.3">
      <c r="A270" s="22" t="s">
        <v>7709</v>
      </c>
      <c r="B270" s="22" t="s">
        <v>9194</v>
      </c>
      <c r="C270" s="22" t="s">
        <v>7749</v>
      </c>
      <c r="D270" s="22" t="s">
        <v>7710</v>
      </c>
      <c r="E270" s="22" t="s">
        <v>3095</v>
      </c>
      <c r="F270" s="24" t="s">
        <v>3096</v>
      </c>
      <c r="G270" s="26" t="s">
        <v>8786</v>
      </c>
      <c r="H270" s="22" t="s">
        <v>3099</v>
      </c>
      <c r="I270" s="22"/>
      <c r="J270" s="22"/>
      <c r="K270" s="24"/>
      <c r="L270" s="24" t="s">
        <v>8077</v>
      </c>
      <c r="M270" s="25" t="s">
        <v>3097</v>
      </c>
      <c r="N270" s="22"/>
      <c r="O270" s="22" t="s">
        <v>3098</v>
      </c>
      <c r="P270" s="22" t="str">
        <f>HYPERLINK("https://ceds.ed.gov/cedselementdetails.aspx?termid=21335")</f>
        <v>https://ceds.ed.gov/cedselementdetails.aspx?termid=21335</v>
      </c>
      <c r="Q270" s="22">
        <v>58658</v>
      </c>
    </row>
    <row r="271" spans="1:17" ht="28.8" x14ac:dyDescent="0.3">
      <c r="A271" s="22" t="s">
        <v>7709</v>
      </c>
      <c r="B271" s="22" t="s">
        <v>9194</v>
      </c>
      <c r="C271" s="22" t="s">
        <v>7750</v>
      </c>
      <c r="D271" s="22" t="s">
        <v>7710</v>
      </c>
      <c r="E271" s="22" t="s">
        <v>7382</v>
      </c>
      <c r="F271" s="24" t="s">
        <v>7383</v>
      </c>
      <c r="G271" s="23" t="s">
        <v>32</v>
      </c>
      <c r="H271" s="22" t="s">
        <v>2015</v>
      </c>
      <c r="I271" s="22"/>
      <c r="J271" s="22" t="s">
        <v>328</v>
      </c>
      <c r="K271" s="24"/>
      <c r="L271" s="24"/>
      <c r="M271" s="25" t="s">
        <v>7384</v>
      </c>
      <c r="N271" s="22"/>
      <c r="O271" s="22" t="s">
        <v>7385</v>
      </c>
      <c r="P271" s="22" t="str">
        <f>HYPERLINK("https://ceds.ed.gov/cedselementdetails.aspx?termid=21312")</f>
        <v>https://ceds.ed.gov/cedselementdetails.aspx?termid=21312</v>
      </c>
      <c r="Q271" s="22">
        <v>58641</v>
      </c>
    </row>
    <row r="272" spans="1:17" ht="28.8" x14ac:dyDescent="0.3">
      <c r="A272" s="22" t="s">
        <v>7709</v>
      </c>
      <c r="B272" s="22" t="s">
        <v>9194</v>
      </c>
      <c r="C272" s="22" t="s">
        <v>7750</v>
      </c>
      <c r="D272" s="22" t="s">
        <v>7710</v>
      </c>
      <c r="E272" s="22" t="s">
        <v>7378</v>
      </c>
      <c r="F272" s="24" t="s">
        <v>7379</v>
      </c>
      <c r="G272" s="23" t="s">
        <v>32</v>
      </c>
      <c r="H272" s="22" t="s">
        <v>2015</v>
      </c>
      <c r="I272" s="22"/>
      <c r="J272" s="22" t="s">
        <v>317</v>
      </c>
      <c r="K272" s="24"/>
      <c r="L272" s="24"/>
      <c r="M272" s="25" t="s">
        <v>7380</v>
      </c>
      <c r="N272" s="22"/>
      <c r="O272" s="22" t="s">
        <v>7381</v>
      </c>
      <c r="P272" s="22" t="str">
        <f>HYPERLINK("https://ceds.ed.gov/cedselementdetails.aspx?termid=21313")</f>
        <v>https://ceds.ed.gov/cedselementdetails.aspx?termid=21313</v>
      </c>
      <c r="Q272" s="22">
        <v>58642</v>
      </c>
    </row>
    <row r="273" spans="1:17" ht="72" x14ac:dyDescent="0.3">
      <c r="A273" s="22" t="s">
        <v>7709</v>
      </c>
      <c r="B273" s="22" t="s">
        <v>9194</v>
      </c>
      <c r="C273" s="22" t="s">
        <v>7750</v>
      </c>
      <c r="D273" s="22" t="s">
        <v>7710</v>
      </c>
      <c r="E273" s="22" t="s">
        <v>7292</v>
      </c>
      <c r="F273" s="24" t="s">
        <v>7293</v>
      </c>
      <c r="G273" s="26" t="s">
        <v>9179</v>
      </c>
      <c r="H273" s="22"/>
      <c r="I273" s="22"/>
      <c r="J273" s="22"/>
      <c r="K273" s="24"/>
      <c r="L273" s="24"/>
      <c r="M273" s="25" t="s">
        <v>7294</v>
      </c>
      <c r="N273" s="22"/>
      <c r="O273" s="22" t="s">
        <v>7295</v>
      </c>
      <c r="P273" s="22" t="str">
        <f>HYPERLINK("https://ceds.ed.gov/cedselementdetails.aspx?termid=22611")</f>
        <v>https://ceds.ed.gov/cedselementdetails.aspx?termid=22611</v>
      </c>
      <c r="Q273" s="22">
        <v>62112</v>
      </c>
    </row>
    <row r="274" spans="1:17" ht="230.4" x14ac:dyDescent="0.3">
      <c r="A274" s="22" t="s">
        <v>7709</v>
      </c>
      <c r="B274" s="22" t="s">
        <v>9194</v>
      </c>
      <c r="C274" s="22" t="s">
        <v>7751</v>
      </c>
      <c r="D274" s="22" t="s">
        <v>7710</v>
      </c>
      <c r="E274" s="22" t="s">
        <v>6573</v>
      </c>
      <c r="F274" s="24" t="s">
        <v>6574</v>
      </c>
      <c r="G274" s="26" t="s">
        <v>9134</v>
      </c>
      <c r="H274" s="22"/>
      <c r="I274" s="22"/>
      <c r="J274" s="22"/>
      <c r="K274" s="24"/>
      <c r="L274" s="24"/>
      <c r="M274" s="25" t="s">
        <v>6575</v>
      </c>
      <c r="N274" s="22"/>
      <c r="O274" s="22" t="s">
        <v>6576</v>
      </c>
      <c r="P274" s="22" t="str">
        <f>HYPERLINK("https://ceds.ed.gov/cedselementdetails.aspx?termid=22602")</f>
        <v>https://ceds.ed.gov/cedselementdetails.aspx?termid=22602</v>
      </c>
      <c r="Q274" s="22">
        <v>62101</v>
      </c>
    </row>
    <row r="275" spans="1:17" ht="28.8" x14ac:dyDescent="0.3">
      <c r="A275" s="22" t="s">
        <v>7709</v>
      </c>
      <c r="B275" s="22" t="s">
        <v>9194</v>
      </c>
      <c r="C275" s="22" t="s">
        <v>7751</v>
      </c>
      <c r="D275" s="22" t="s">
        <v>7710</v>
      </c>
      <c r="E275" s="22" t="s">
        <v>7386</v>
      </c>
      <c r="F275" s="24" t="s">
        <v>7387</v>
      </c>
      <c r="G275" s="23" t="s">
        <v>32</v>
      </c>
      <c r="H275" s="22"/>
      <c r="I275" s="22"/>
      <c r="J275" s="22" t="s">
        <v>118</v>
      </c>
      <c r="K275" s="24"/>
      <c r="L275" s="24"/>
      <c r="M275" s="25" t="s">
        <v>7388</v>
      </c>
      <c r="N275" s="22"/>
      <c r="O275" s="22" t="s">
        <v>7389</v>
      </c>
      <c r="P275" s="22" t="str">
        <f>HYPERLINK("https://ceds.ed.gov/cedselementdetails.aspx?termid=22612")</f>
        <v>https://ceds.ed.gov/cedselementdetails.aspx?termid=22612</v>
      </c>
      <c r="Q275" s="22">
        <v>62113</v>
      </c>
    </row>
    <row r="276" spans="1:17" ht="100.8" x14ac:dyDescent="0.3">
      <c r="A276" s="22" t="s">
        <v>7709</v>
      </c>
      <c r="B276" s="22" t="s">
        <v>9194</v>
      </c>
      <c r="C276" s="22" t="s">
        <v>7752</v>
      </c>
      <c r="D276" s="22" t="s">
        <v>7710</v>
      </c>
      <c r="E276" s="22" t="s">
        <v>2011</v>
      </c>
      <c r="F276" s="24" t="s">
        <v>2012</v>
      </c>
      <c r="G276" s="26" t="s">
        <v>8721</v>
      </c>
      <c r="H276" s="22" t="s">
        <v>2015</v>
      </c>
      <c r="I276" s="22"/>
      <c r="J276" s="22"/>
      <c r="K276" s="24"/>
      <c r="L276" s="24"/>
      <c r="M276" s="25" t="s">
        <v>2013</v>
      </c>
      <c r="N276" s="22"/>
      <c r="O276" s="22" t="s">
        <v>2014</v>
      </c>
      <c r="P276" s="22" t="str">
        <f>HYPERLINK("https://ceds.ed.gov/cedselementdetails.aspx?termid=21314")</f>
        <v>https://ceds.ed.gov/cedselementdetails.aspx?termid=21314</v>
      </c>
      <c r="Q276" s="22">
        <v>58643</v>
      </c>
    </row>
    <row r="277" spans="1:17" ht="172.8" x14ac:dyDescent="0.3">
      <c r="A277" s="22" t="s">
        <v>7709</v>
      </c>
      <c r="B277" s="22" t="s">
        <v>9194</v>
      </c>
      <c r="C277" s="22" t="s">
        <v>7752</v>
      </c>
      <c r="D277" s="22" t="s">
        <v>7710</v>
      </c>
      <c r="E277" s="22" t="s">
        <v>3130</v>
      </c>
      <c r="F277" s="24" t="s">
        <v>3131</v>
      </c>
      <c r="G277" s="26" t="s">
        <v>8793</v>
      </c>
      <c r="H277" s="22" t="s">
        <v>2015</v>
      </c>
      <c r="I277" s="22"/>
      <c r="J277" s="22"/>
      <c r="K277" s="24"/>
      <c r="L277" s="24"/>
      <c r="M277" s="25" t="s">
        <v>3132</v>
      </c>
      <c r="N277" s="22"/>
      <c r="O277" s="22" t="s">
        <v>3133</v>
      </c>
      <c r="P277" s="22" t="str">
        <f>HYPERLINK("https://ceds.ed.gov/cedselementdetails.aspx?termid=21315")</f>
        <v>https://ceds.ed.gov/cedselementdetails.aspx?termid=21315</v>
      </c>
      <c r="Q277" s="22">
        <v>58644</v>
      </c>
    </row>
    <row r="278" spans="1:17" ht="273.60000000000002" x14ac:dyDescent="0.3">
      <c r="A278" s="22" t="s">
        <v>7709</v>
      </c>
      <c r="B278" s="22" t="s">
        <v>9194</v>
      </c>
      <c r="C278" s="22" t="s">
        <v>7752</v>
      </c>
      <c r="D278" s="22" t="s">
        <v>7710</v>
      </c>
      <c r="E278" s="22" t="s">
        <v>499</v>
      </c>
      <c r="F278" s="24" t="s">
        <v>500</v>
      </c>
      <c r="G278" s="26" t="s">
        <v>8610</v>
      </c>
      <c r="H278" s="24" t="s">
        <v>503</v>
      </c>
      <c r="I278" s="22"/>
      <c r="J278" s="22"/>
      <c r="K278" s="24"/>
      <c r="L278" s="24" t="s">
        <v>7968</v>
      </c>
      <c r="M278" s="25" t="s">
        <v>501</v>
      </c>
      <c r="N278" s="22"/>
      <c r="O278" s="22" t="s">
        <v>502</v>
      </c>
      <c r="P278" s="22" t="str">
        <f>HYPERLINK("https://ceds.ed.gov/cedselementdetails.aspx?termid=22003")</f>
        <v>https://ceds.ed.gov/cedselementdetails.aspx?termid=22003</v>
      </c>
      <c r="Q278" s="22">
        <v>59419</v>
      </c>
    </row>
    <row r="279" spans="1:17" ht="360" x14ac:dyDescent="0.3">
      <c r="A279" s="22" t="s">
        <v>7709</v>
      </c>
      <c r="B279" s="22" t="s">
        <v>9194</v>
      </c>
      <c r="C279" s="22" t="s">
        <v>7752</v>
      </c>
      <c r="D279" s="22" t="s">
        <v>7710</v>
      </c>
      <c r="E279" s="22" t="s">
        <v>971</v>
      </c>
      <c r="F279" s="24" t="s">
        <v>972</v>
      </c>
      <c r="G279" s="26" t="s">
        <v>8399</v>
      </c>
      <c r="H279" s="24" t="s">
        <v>975</v>
      </c>
      <c r="I279" s="22" t="s">
        <v>172</v>
      </c>
      <c r="J279" s="22"/>
      <c r="K279" s="24" t="s">
        <v>7995</v>
      </c>
      <c r="L279" s="24"/>
      <c r="M279" s="25" t="s">
        <v>973</v>
      </c>
      <c r="N279" s="22"/>
      <c r="O279" s="22" t="s">
        <v>974</v>
      </c>
      <c r="P279" s="22" t="str">
        <f>HYPERLINK("https://ceds.ed.gov/cedselementdetails.aspx?termid=21177")</f>
        <v>https://ceds.ed.gov/cedselementdetails.aspx?termid=21177</v>
      </c>
      <c r="Q279" s="22">
        <v>59505</v>
      </c>
    </row>
    <row r="280" spans="1:17" ht="216" x14ac:dyDescent="0.3">
      <c r="A280" s="22" t="s">
        <v>7709</v>
      </c>
      <c r="B280" s="22" t="s">
        <v>9194</v>
      </c>
      <c r="C280" s="22" t="s">
        <v>7753</v>
      </c>
      <c r="D280" s="22" t="s">
        <v>7710</v>
      </c>
      <c r="E280" s="22" t="s">
        <v>3389</v>
      </c>
      <c r="F280" s="24" t="s">
        <v>3390</v>
      </c>
      <c r="G280" s="26" t="s">
        <v>8825</v>
      </c>
      <c r="H280" s="22" t="s">
        <v>3099</v>
      </c>
      <c r="I280" s="22"/>
      <c r="J280" s="22"/>
      <c r="K280" s="24"/>
      <c r="L280" s="24"/>
      <c r="M280" s="25" t="s">
        <v>3391</v>
      </c>
      <c r="N280" s="22"/>
      <c r="O280" s="22" t="s">
        <v>3392</v>
      </c>
      <c r="P280" s="22" t="str">
        <f>HYPERLINK("https://ceds.ed.gov/cedselementdetails.aspx?termid=21304")</f>
        <v>https://ceds.ed.gov/cedselementdetails.aspx?termid=21304</v>
      </c>
      <c r="Q280" s="22">
        <v>58635</v>
      </c>
    </row>
    <row r="281" spans="1:17" ht="72" x14ac:dyDescent="0.3">
      <c r="A281" s="22" t="s">
        <v>7709</v>
      </c>
      <c r="B281" s="22" t="s">
        <v>9194</v>
      </c>
      <c r="C281" s="22" t="s">
        <v>7753</v>
      </c>
      <c r="D281" s="22" t="s">
        <v>7710</v>
      </c>
      <c r="E281" s="22" t="s">
        <v>3396</v>
      </c>
      <c r="F281" s="24" t="s">
        <v>3397</v>
      </c>
      <c r="G281" s="26" t="s">
        <v>8826</v>
      </c>
      <c r="H281" s="22"/>
      <c r="I281" s="22"/>
      <c r="J281" s="22"/>
      <c r="K281" s="24"/>
      <c r="L281" s="24"/>
      <c r="M281" s="25" t="s">
        <v>3398</v>
      </c>
      <c r="N281" s="22"/>
      <c r="O281" s="22" t="s">
        <v>3399</v>
      </c>
      <c r="P281" s="22" t="str">
        <f>HYPERLINK("https://ceds.ed.gov/cedselementdetails.aspx?termid=22306")</f>
        <v>https://ceds.ed.gov/cedselementdetails.aspx?termid=22306</v>
      </c>
      <c r="Q281" s="22">
        <v>61146</v>
      </c>
    </row>
    <row r="282" spans="1:17" x14ac:dyDescent="0.3">
      <c r="A282" s="22" t="s">
        <v>7709</v>
      </c>
      <c r="B282" s="22" t="s">
        <v>9194</v>
      </c>
      <c r="C282" s="22" t="s">
        <v>7753</v>
      </c>
      <c r="D282" s="22" t="s">
        <v>7710</v>
      </c>
      <c r="E282" s="22" t="s">
        <v>3400</v>
      </c>
      <c r="F282" s="24" t="s">
        <v>3401</v>
      </c>
      <c r="G282" s="23" t="s">
        <v>32</v>
      </c>
      <c r="H282" s="22"/>
      <c r="I282" s="22"/>
      <c r="J282" s="22" t="s">
        <v>118</v>
      </c>
      <c r="K282" s="24"/>
      <c r="L282" s="24"/>
      <c r="M282" s="25" t="s">
        <v>3402</v>
      </c>
      <c r="N282" s="22"/>
      <c r="O282" s="22" t="s">
        <v>3403</v>
      </c>
      <c r="P282" s="22" t="str">
        <f>HYPERLINK("https://ceds.ed.gov/cedselementdetails.aspx?termid=22307")</f>
        <v>https://ceds.ed.gov/cedselementdetails.aspx?termid=22307</v>
      </c>
      <c r="Q282" s="22">
        <v>61147</v>
      </c>
    </row>
    <row r="283" spans="1:17" ht="28.8" x14ac:dyDescent="0.3">
      <c r="A283" s="22" t="s">
        <v>7709</v>
      </c>
      <c r="B283" s="22" t="s">
        <v>9194</v>
      </c>
      <c r="C283" s="22" t="s">
        <v>7753</v>
      </c>
      <c r="D283" s="22" t="s">
        <v>7710</v>
      </c>
      <c r="E283" s="22" t="s">
        <v>3393</v>
      </c>
      <c r="F283" s="24" t="s">
        <v>8098</v>
      </c>
      <c r="G283" s="23" t="s">
        <v>32</v>
      </c>
      <c r="H283" s="22"/>
      <c r="I283" s="22"/>
      <c r="J283" s="22" t="s">
        <v>118</v>
      </c>
      <c r="K283" s="24"/>
      <c r="L283" s="24"/>
      <c r="M283" s="25" t="s">
        <v>3394</v>
      </c>
      <c r="N283" s="22"/>
      <c r="O283" s="22" t="s">
        <v>3395</v>
      </c>
      <c r="P283" s="22" t="str">
        <f>HYPERLINK("https://ceds.ed.gov/cedselementdetails.aspx?termid=22305")</f>
        <v>https://ceds.ed.gov/cedselementdetails.aspx?termid=22305</v>
      </c>
      <c r="Q283" s="22">
        <v>61144</v>
      </c>
    </row>
    <row r="284" spans="1:17" ht="129.6" x14ac:dyDescent="0.3">
      <c r="A284" s="22" t="s">
        <v>7709</v>
      </c>
      <c r="B284" s="22" t="s">
        <v>9194</v>
      </c>
      <c r="C284" s="22" t="s">
        <v>7754</v>
      </c>
      <c r="D284" s="22" t="s">
        <v>7710</v>
      </c>
      <c r="E284" s="22" t="s">
        <v>4965</v>
      </c>
      <c r="F284" s="24" t="s">
        <v>4966</v>
      </c>
      <c r="G284" s="26" t="s">
        <v>8993</v>
      </c>
      <c r="H284" s="24" t="s">
        <v>4927</v>
      </c>
      <c r="I284" s="22"/>
      <c r="J284" s="22"/>
      <c r="K284" s="24"/>
      <c r="L284" s="24"/>
      <c r="M284" s="25" t="s">
        <v>4967</v>
      </c>
      <c r="N284" s="22"/>
      <c r="O284" s="22" t="s">
        <v>4968</v>
      </c>
      <c r="P284" s="22" t="str">
        <f>HYPERLINK("https://ceds.ed.gov/cedselementdetails.aspx?termid=21316")</f>
        <v>https://ceds.ed.gov/cedselementdetails.aspx?termid=21316</v>
      </c>
      <c r="Q284" s="22">
        <v>58645</v>
      </c>
    </row>
    <row r="285" spans="1:17" ht="115.2" x14ac:dyDescent="0.3">
      <c r="A285" s="22" t="s">
        <v>7709</v>
      </c>
      <c r="B285" s="22" t="s">
        <v>9194</v>
      </c>
      <c r="C285" s="22" t="s">
        <v>7754</v>
      </c>
      <c r="D285" s="22" t="s">
        <v>7710</v>
      </c>
      <c r="E285" s="22" t="s">
        <v>4923</v>
      </c>
      <c r="F285" s="24" t="s">
        <v>4924</v>
      </c>
      <c r="G285" s="23" t="s">
        <v>7423</v>
      </c>
      <c r="H285" s="24" t="s">
        <v>4927</v>
      </c>
      <c r="I285" s="22"/>
      <c r="J285" s="22"/>
      <c r="K285" s="24"/>
      <c r="L285" s="24" t="s">
        <v>7994</v>
      </c>
      <c r="M285" s="25" t="s">
        <v>4925</v>
      </c>
      <c r="N285" s="22"/>
      <c r="O285" s="22" t="s">
        <v>4926</v>
      </c>
      <c r="P285" s="22" t="str">
        <f>HYPERLINK("https://ceds.ed.gov/cedselementdetails.aspx?termid=21317")</f>
        <v>https://ceds.ed.gov/cedselementdetails.aspx?termid=21317</v>
      </c>
      <c r="Q285" s="22">
        <v>58646</v>
      </c>
    </row>
    <row r="286" spans="1:17" ht="115.2" x14ac:dyDescent="0.3">
      <c r="A286" s="22" t="s">
        <v>7709</v>
      </c>
      <c r="B286" s="22" t="s">
        <v>9194</v>
      </c>
      <c r="C286" s="22" t="s">
        <v>7754</v>
      </c>
      <c r="D286" s="22" t="s">
        <v>7710</v>
      </c>
      <c r="E286" s="22" t="s">
        <v>4928</v>
      </c>
      <c r="F286" s="24" t="s">
        <v>4924</v>
      </c>
      <c r="G286" s="23" t="s">
        <v>7423</v>
      </c>
      <c r="H286" s="22"/>
      <c r="I286" s="22" t="s">
        <v>172</v>
      </c>
      <c r="J286" s="22"/>
      <c r="K286" s="24" t="s">
        <v>8231</v>
      </c>
      <c r="L286" s="24" t="s">
        <v>8232</v>
      </c>
      <c r="M286" s="25" t="s">
        <v>4929</v>
      </c>
      <c r="N286" s="22"/>
      <c r="O286" s="22" t="s">
        <v>4930</v>
      </c>
      <c r="P286" s="22" t="str">
        <f>HYPERLINK("https://ceds.ed.gov/cedselementdetails.aspx?termid=22618")</f>
        <v>https://ceds.ed.gov/cedselementdetails.aspx?termid=22618</v>
      </c>
      <c r="Q286" s="22">
        <v>62219</v>
      </c>
    </row>
    <row r="287" spans="1:17" ht="409.6" x14ac:dyDescent="0.3">
      <c r="A287" s="22" t="s">
        <v>7709</v>
      </c>
      <c r="B287" s="22" t="s">
        <v>9194</v>
      </c>
      <c r="C287" s="22" t="s">
        <v>7754</v>
      </c>
      <c r="D287" s="22" t="s">
        <v>7710</v>
      </c>
      <c r="E287" s="22" t="s">
        <v>4931</v>
      </c>
      <c r="F287" s="24" t="s">
        <v>4932</v>
      </c>
      <c r="G287" s="26" t="s">
        <v>8988</v>
      </c>
      <c r="H287" s="22"/>
      <c r="I287" s="22"/>
      <c r="J287" s="22"/>
      <c r="K287" s="24"/>
      <c r="L287" s="24" t="s">
        <v>8233</v>
      </c>
      <c r="M287" s="25" t="s">
        <v>4933</v>
      </c>
      <c r="N287" s="22"/>
      <c r="O287" s="22" t="s">
        <v>4934</v>
      </c>
      <c r="P287" s="22" t="str">
        <f>HYPERLINK("https://ceds.ed.gov/cedselementdetails.aspx?termid=22619")</f>
        <v>https://ceds.ed.gov/cedselementdetails.aspx?termid=22619</v>
      </c>
      <c r="Q287" s="22">
        <v>62226</v>
      </c>
    </row>
    <row r="288" spans="1:17" ht="43.2" x14ac:dyDescent="0.3">
      <c r="A288" s="22" t="s">
        <v>7709</v>
      </c>
      <c r="B288" s="22" t="s">
        <v>9194</v>
      </c>
      <c r="C288" s="22" t="s">
        <v>7755</v>
      </c>
      <c r="D288" s="22" t="s">
        <v>7710</v>
      </c>
      <c r="E288" s="22" t="s">
        <v>396</v>
      </c>
      <c r="F288" s="24" t="s">
        <v>7963</v>
      </c>
      <c r="G288" s="23" t="s">
        <v>32</v>
      </c>
      <c r="H288" s="24" t="s">
        <v>399</v>
      </c>
      <c r="I288" s="22"/>
      <c r="J288" s="22" t="s">
        <v>118</v>
      </c>
      <c r="K288" s="24"/>
      <c r="L288" s="24"/>
      <c r="M288" s="25" t="s">
        <v>397</v>
      </c>
      <c r="N288" s="22"/>
      <c r="O288" s="22" t="s">
        <v>398</v>
      </c>
      <c r="P288" s="22" t="str">
        <f>HYPERLINK("https://ceds.ed.gov/cedselementdetails.aspx?termid=21323")</f>
        <v>https://ceds.ed.gov/cedselementdetails.aspx?termid=21323</v>
      </c>
      <c r="Q288" s="22">
        <v>58652</v>
      </c>
    </row>
    <row r="289" spans="1:17" ht="201.6" x14ac:dyDescent="0.3">
      <c r="A289" s="22" t="s">
        <v>7709</v>
      </c>
      <c r="B289" s="22" t="s">
        <v>9194</v>
      </c>
      <c r="C289" s="22" t="s">
        <v>7755</v>
      </c>
      <c r="D289" s="22" t="s">
        <v>7710</v>
      </c>
      <c r="E289" s="22" t="s">
        <v>4394</v>
      </c>
      <c r="F289" s="24" t="s">
        <v>4395</v>
      </c>
      <c r="G289" s="26" t="s">
        <v>8931</v>
      </c>
      <c r="H289" s="22" t="s">
        <v>226</v>
      </c>
      <c r="I289" s="22"/>
      <c r="J289" s="22"/>
      <c r="K289" s="24"/>
      <c r="L289" s="24"/>
      <c r="M289" s="25" t="s">
        <v>4396</v>
      </c>
      <c r="N289" s="22"/>
      <c r="O289" s="22" t="s">
        <v>4397</v>
      </c>
      <c r="P289" s="22" t="str">
        <f>HYPERLINK("https://ceds.ed.gov/cedselementdetails.aspx?termid=21550")</f>
        <v>https://ceds.ed.gov/cedselementdetails.aspx?termid=21550</v>
      </c>
      <c r="Q289" s="22">
        <v>58660</v>
      </c>
    </row>
    <row r="290" spans="1:17" ht="43.2" x14ac:dyDescent="0.3">
      <c r="A290" s="22" t="s">
        <v>7709</v>
      </c>
      <c r="B290" s="22" t="s">
        <v>9194</v>
      </c>
      <c r="C290" s="22" t="s">
        <v>7755</v>
      </c>
      <c r="D290" s="22" t="s">
        <v>7710</v>
      </c>
      <c r="E290" s="22" t="s">
        <v>3581</v>
      </c>
      <c r="F290" s="24" t="s">
        <v>3582</v>
      </c>
      <c r="G290" s="23" t="s">
        <v>32</v>
      </c>
      <c r="H290" s="24" t="s">
        <v>399</v>
      </c>
      <c r="I290" s="22"/>
      <c r="J290" s="22" t="s">
        <v>118</v>
      </c>
      <c r="K290" s="24"/>
      <c r="L290" s="24"/>
      <c r="M290" s="25" t="s">
        <v>3583</v>
      </c>
      <c r="N290" s="22"/>
      <c r="O290" s="22" t="s">
        <v>3584</v>
      </c>
      <c r="P290" s="22" t="str">
        <f>HYPERLINK("https://ceds.ed.gov/cedselementdetails.aspx?termid=21324")</f>
        <v>https://ceds.ed.gov/cedselementdetails.aspx?termid=21324</v>
      </c>
      <c r="Q290" s="22">
        <v>58653</v>
      </c>
    </row>
    <row r="291" spans="1:17" ht="172.8" x14ac:dyDescent="0.3">
      <c r="A291" s="22" t="s">
        <v>7709</v>
      </c>
      <c r="B291" s="22" t="s">
        <v>9194</v>
      </c>
      <c r="C291" s="22" t="s">
        <v>7755</v>
      </c>
      <c r="D291" s="22" t="s">
        <v>7710</v>
      </c>
      <c r="E291" s="22" t="s">
        <v>3585</v>
      </c>
      <c r="F291" s="24" t="s">
        <v>3586</v>
      </c>
      <c r="G291" s="23" t="s">
        <v>32</v>
      </c>
      <c r="H291" s="24" t="s">
        <v>3589</v>
      </c>
      <c r="I291" s="22" t="s">
        <v>172</v>
      </c>
      <c r="J291" s="22" t="s">
        <v>118</v>
      </c>
      <c r="K291" s="24" t="s">
        <v>7946</v>
      </c>
      <c r="L291" s="24"/>
      <c r="M291" s="25" t="s">
        <v>3587</v>
      </c>
      <c r="N291" s="22"/>
      <c r="O291" s="22" t="s">
        <v>3588</v>
      </c>
      <c r="P291" s="22" t="str">
        <f>HYPERLINK("https://ceds.ed.gov/cedselementdetails.aspx?termid=21097")</f>
        <v>https://ceds.ed.gov/cedselementdetails.aspx?termid=21097</v>
      </c>
      <c r="Q291" s="22">
        <v>58620</v>
      </c>
    </row>
    <row r="292" spans="1:17" ht="57.6" x14ac:dyDescent="0.3">
      <c r="A292" s="22" t="s">
        <v>7709</v>
      </c>
      <c r="B292" s="22" t="s">
        <v>9194</v>
      </c>
      <c r="C292" s="22" t="s">
        <v>7755</v>
      </c>
      <c r="D292" s="22" t="s">
        <v>7710</v>
      </c>
      <c r="E292" s="22" t="s">
        <v>3590</v>
      </c>
      <c r="F292" s="24" t="s">
        <v>3591</v>
      </c>
      <c r="G292" s="23" t="s">
        <v>32</v>
      </c>
      <c r="H292" s="22" t="s">
        <v>58</v>
      </c>
      <c r="I292" s="22"/>
      <c r="J292" s="22" t="s">
        <v>118</v>
      </c>
      <c r="K292" s="24"/>
      <c r="L292" s="24" t="s">
        <v>143</v>
      </c>
      <c r="M292" s="25" t="s">
        <v>3592</v>
      </c>
      <c r="N292" s="22"/>
      <c r="O292" s="22" t="s">
        <v>3593</v>
      </c>
      <c r="P292" s="22" t="str">
        <f>HYPERLINK("https://ceds.ed.gov/cedselementdetails.aspx?termid=21107")</f>
        <v>https://ceds.ed.gov/cedselementdetails.aspx?termid=21107</v>
      </c>
      <c r="Q292" s="22">
        <v>58621</v>
      </c>
    </row>
    <row r="293" spans="1:17" ht="409.6" x14ac:dyDescent="0.3">
      <c r="A293" s="22" t="s">
        <v>7709</v>
      </c>
      <c r="B293" s="22" t="s">
        <v>9194</v>
      </c>
      <c r="C293" s="22" t="s">
        <v>7755</v>
      </c>
      <c r="D293" s="22" t="s">
        <v>7710</v>
      </c>
      <c r="E293" s="22" t="s">
        <v>3629</v>
      </c>
      <c r="F293" s="24" t="s">
        <v>3630</v>
      </c>
      <c r="G293" s="26" t="s">
        <v>8858</v>
      </c>
      <c r="H293" s="22"/>
      <c r="I293" s="22"/>
      <c r="J293" s="22"/>
      <c r="K293" s="24"/>
      <c r="L293" s="24"/>
      <c r="M293" s="25" t="s">
        <v>3631</v>
      </c>
      <c r="N293" s="22"/>
      <c r="O293" s="22" t="s">
        <v>3632</v>
      </c>
      <c r="P293" s="22" t="str">
        <f>HYPERLINK("https://ceds.ed.gov/cedselementdetails.aspx?termid=21222")</f>
        <v>https://ceds.ed.gov/cedselementdetails.aspx?termid=21222</v>
      </c>
      <c r="Q293" s="22">
        <v>61457</v>
      </c>
    </row>
    <row r="294" spans="1:17" ht="230.4" x14ac:dyDescent="0.3">
      <c r="A294" s="22" t="s">
        <v>7709</v>
      </c>
      <c r="B294" s="22" t="s">
        <v>9194</v>
      </c>
      <c r="C294" s="22" t="s">
        <v>7755</v>
      </c>
      <c r="D294" s="22" t="s">
        <v>7710</v>
      </c>
      <c r="E294" s="22" t="s">
        <v>5612</v>
      </c>
      <c r="F294" s="24" t="s">
        <v>5613</v>
      </c>
      <c r="G294" s="23" t="s">
        <v>32</v>
      </c>
      <c r="H294" s="24" t="s">
        <v>5616</v>
      </c>
      <c r="I294" s="22" t="s">
        <v>172</v>
      </c>
      <c r="J294" s="22" t="s">
        <v>1518</v>
      </c>
      <c r="K294" s="24" t="s">
        <v>7946</v>
      </c>
      <c r="L294" s="24" t="s">
        <v>8258</v>
      </c>
      <c r="M294" s="25" t="s">
        <v>5614</v>
      </c>
      <c r="N294" s="22"/>
      <c r="O294" s="22" t="s">
        <v>5615</v>
      </c>
      <c r="P294" s="22" t="str">
        <f>HYPERLINK("https://ceds.ed.gov/cedselementdetails.aspx?termid=21202")</f>
        <v>https://ceds.ed.gov/cedselementdetails.aspx?termid=21202</v>
      </c>
      <c r="Q294" s="22">
        <v>58629</v>
      </c>
    </row>
    <row r="295" spans="1:17" ht="230.4" x14ac:dyDescent="0.3">
      <c r="A295" s="22" t="s">
        <v>7709</v>
      </c>
      <c r="B295" s="22" t="s">
        <v>9194</v>
      </c>
      <c r="C295" s="22" t="s">
        <v>7755</v>
      </c>
      <c r="D295" s="22" t="s">
        <v>7710</v>
      </c>
      <c r="E295" s="22" t="s">
        <v>5781</v>
      </c>
      <c r="F295" s="24" t="s">
        <v>5782</v>
      </c>
      <c r="G295" s="26" t="s">
        <v>9059</v>
      </c>
      <c r="H295" s="24" t="s">
        <v>399</v>
      </c>
      <c r="I295" s="22"/>
      <c r="J295" s="22"/>
      <c r="K295" s="24"/>
      <c r="L295" s="24"/>
      <c r="M295" s="25" t="s">
        <v>5783</v>
      </c>
      <c r="N295" s="22"/>
      <c r="O295" s="22" t="s">
        <v>5784</v>
      </c>
      <c r="P295" s="22" t="str">
        <f>HYPERLINK("https://ceds.ed.gov/cedselementdetails.aspx?termid=21325")</f>
        <v>https://ceds.ed.gov/cedselementdetails.aspx?termid=21325</v>
      </c>
      <c r="Q295" s="22">
        <v>58654</v>
      </c>
    </row>
    <row r="296" spans="1:17" ht="187.2" x14ac:dyDescent="0.3">
      <c r="A296" s="22" t="s">
        <v>7709</v>
      </c>
      <c r="B296" s="22" t="s">
        <v>9194</v>
      </c>
      <c r="C296" s="22" t="s">
        <v>7755</v>
      </c>
      <c r="D296" s="22" t="s">
        <v>7710</v>
      </c>
      <c r="E296" s="22" t="s">
        <v>5679</v>
      </c>
      <c r="F296" s="24" t="s">
        <v>5680</v>
      </c>
      <c r="G296" s="26" t="s">
        <v>8485</v>
      </c>
      <c r="H296" s="22" t="s">
        <v>109</v>
      </c>
      <c r="I296" s="22" t="s">
        <v>172</v>
      </c>
      <c r="J296" s="22"/>
      <c r="K296" s="24" t="s">
        <v>7946</v>
      </c>
      <c r="L296" s="24"/>
      <c r="M296" s="25" t="s">
        <v>5681</v>
      </c>
      <c r="N296" s="22"/>
      <c r="O296" s="22" t="s">
        <v>5682</v>
      </c>
      <c r="P296" s="22" t="str">
        <f>HYPERLINK("https://ceds.ed.gov/cedselementdetails.aspx?termid=21827")</f>
        <v>https://ceds.ed.gov/cedselementdetails.aspx?termid=21827</v>
      </c>
      <c r="Q296" s="22">
        <v>62377</v>
      </c>
    </row>
    <row r="297" spans="1:17" ht="230.4" x14ac:dyDescent="0.3">
      <c r="A297" s="22" t="s">
        <v>7709</v>
      </c>
      <c r="B297" s="22" t="s">
        <v>9194</v>
      </c>
      <c r="C297" s="22" t="s">
        <v>7755</v>
      </c>
      <c r="D297" s="22" t="s">
        <v>7710</v>
      </c>
      <c r="E297" s="22" t="s">
        <v>6451</v>
      </c>
      <c r="F297" s="24" t="s">
        <v>8296</v>
      </c>
      <c r="G297" s="23" t="s">
        <v>32</v>
      </c>
      <c r="H297" s="22"/>
      <c r="I297" s="22"/>
      <c r="J297" s="22" t="s">
        <v>132</v>
      </c>
      <c r="K297" s="24"/>
      <c r="L297" s="24" t="s">
        <v>8297</v>
      </c>
      <c r="M297" s="25" t="s">
        <v>6453</v>
      </c>
      <c r="N297" s="22"/>
      <c r="O297" s="22" t="s">
        <v>6454</v>
      </c>
      <c r="P297" s="22" t="str">
        <f>HYPERLINK("https://ceds.ed.gov/cedselementdetails.aspx?termid=22438")</f>
        <v>https://ceds.ed.gov/cedselementdetails.aspx?termid=22438</v>
      </c>
      <c r="Q297" s="22">
        <v>62381</v>
      </c>
    </row>
    <row r="298" spans="1:17" ht="115.2" x14ac:dyDescent="0.3">
      <c r="A298" s="22" t="s">
        <v>7709</v>
      </c>
      <c r="B298" s="22" t="s">
        <v>9194</v>
      </c>
      <c r="C298" s="22" t="s">
        <v>7755</v>
      </c>
      <c r="D298" s="22" t="s">
        <v>7710</v>
      </c>
      <c r="E298" s="22" t="s">
        <v>6455</v>
      </c>
      <c r="F298" s="24" t="s">
        <v>6456</v>
      </c>
      <c r="G298" s="26" t="s">
        <v>9132</v>
      </c>
      <c r="H298" s="22"/>
      <c r="I298" s="22"/>
      <c r="J298" s="22"/>
      <c r="K298" s="24"/>
      <c r="L298" s="24" t="s">
        <v>6452</v>
      </c>
      <c r="M298" s="25" t="s">
        <v>6457</v>
      </c>
      <c r="N298" s="22"/>
      <c r="O298" s="22" t="s">
        <v>6458</v>
      </c>
      <c r="P298" s="22" t="str">
        <f>HYPERLINK("https://ceds.ed.gov/cedselementdetails.aspx?termid=22439")</f>
        <v>https://ceds.ed.gov/cedselementdetails.aspx?termid=22439</v>
      </c>
      <c r="Q298" s="22">
        <v>62384</v>
      </c>
    </row>
    <row r="299" spans="1:17" ht="216" x14ac:dyDescent="0.3">
      <c r="A299" s="22" t="s">
        <v>7709</v>
      </c>
      <c r="B299" s="22" t="s">
        <v>9194</v>
      </c>
      <c r="C299" s="22" t="s">
        <v>7755</v>
      </c>
      <c r="D299" s="22" t="s">
        <v>7710</v>
      </c>
      <c r="E299" s="22" t="s">
        <v>7656</v>
      </c>
      <c r="F299" s="24" t="s">
        <v>7657</v>
      </c>
      <c r="G299" s="26" t="s">
        <v>8514</v>
      </c>
      <c r="H299" s="22"/>
      <c r="I299" s="22" t="s">
        <v>172</v>
      </c>
      <c r="J299" s="22"/>
      <c r="K299" s="24" t="s">
        <v>7995</v>
      </c>
      <c r="L299" s="24"/>
      <c r="M299" s="25" t="s">
        <v>7658</v>
      </c>
      <c r="N299" s="22"/>
      <c r="O299" s="22" t="s">
        <v>7656</v>
      </c>
      <c r="P299" s="22" t="str">
        <f>HYPERLINK("https://ceds.ed.gov/cedselementdetails.aspx?termid=22959")</f>
        <v>https://ceds.ed.gov/cedselementdetails.aspx?termid=22959</v>
      </c>
      <c r="Q299" s="22">
        <v>63505</v>
      </c>
    </row>
    <row r="300" spans="1:17" ht="100.8" x14ac:dyDescent="0.3">
      <c r="A300" s="22" t="s">
        <v>7709</v>
      </c>
      <c r="B300" s="22" t="s">
        <v>9194</v>
      </c>
      <c r="C300" s="22" t="s">
        <v>7755</v>
      </c>
      <c r="D300" s="22" t="s">
        <v>7741</v>
      </c>
      <c r="E300" s="22" t="s">
        <v>5603</v>
      </c>
      <c r="F300" s="24" t="s">
        <v>5604</v>
      </c>
      <c r="G300" s="23" t="s">
        <v>32</v>
      </c>
      <c r="H300" s="24" t="s">
        <v>5607</v>
      </c>
      <c r="I300" s="22" t="s">
        <v>172</v>
      </c>
      <c r="J300" s="22" t="s">
        <v>1518</v>
      </c>
      <c r="K300" s="24" t="s">
        <v>7946</v>
      </c>
      <c r="L300" s="24"/>
      <c r="M300" s="25" t="s">
        <v>5605</v>
      </c>
      <c r="N300" s="22"/>
      <c r="O300" s="22" t="s">
        <v>5606</v>
      </c>
      <c r="P300" s="22" t="str">
        <f>HYPERLINK("https://ceds.ed.gov/cedselementdetails.aspx?termid=21201")</f>
        <v>https://ceds.ed.gov/cedselementdetails.aspx?termid=21201</v>
      </c>
      <c r="Q300" s="22">
        <v>63735</v>
      </c>
    </row>
    <row r="301" spans="1:17" ht="230.4" x14ac:dyDescent="0.3">
      <c r="A301" s="22" t="s">
        <v>7709</v>
      </c>
      <c r="B301" s="22" t="s">
        <v>9194</v>
      </c>
      <c r="C301" s="22" t="s">
        <v>7755</v>
      </c>
      <c r="D301" s="22" t="s">
        <v>7741</v>
      </c>
      <c r="E301" s="22" t="s">
        <v>5612</v>
      </c>
      <c r="F301" s="24" t="s">
        <v>5613</v>
      </c>
      <c r="G301" s="23" t="s">
        <v>32</v>
      </c>
      <c r="H301" s="24" t="s">
        <v>5616</v>
      </c>
      <c r="I301" s="22" t="s">
        <v>172</v>
      </c>
      <c r="J301" s="22" t="s">
        <v>1518</v>
      </c>
      <c r="K301" s="24" t="s">
        <v>7946</v>
      </c>
      <c r="L301" s="24" t="s">
        <v>8258</v>
      </c>
      <c r="M301" s="25" t="s">
        <v>5614</v>
      </c>
      <c r="N301" s="22"/>
      <c r="O301" s="22" t="s">
        <v>5615</v>
      </c>
      <c r="P301" s="22" t="str">
        <f>HYPERLINK("https://ceds.ed.gov/cedselementdetails.aspx?termid=21202")</f>
        <v>https://ceds.ed.gov/cedselementdetails.aspx?termid=21202</v>
      </c>
      <c r="Q301" s="22">
        <v>63736</v>
      </c>
    </row>
    <row r="302" spans="1:17" ht="144" x14ac:dyDescent="0.3">
      <c r="A302" s="22" t="s">
        <v>7709</v>
      </c>
      <c r="B302" s="22" t="s">
        <v>9194</v>
      </c>
      <c r="C302" s="22" t="s">
        <v>7755</v>
      </c>
      <c r="D302" s="22" t="s">
        <v>7741</v>
      </c>
      <c r="E302" s="22" t="s">
        <v>6463</v>
      </c>
      <c r="F302" s="24" t="s">
        <v>6464</v>
      </c>
      <c r="G302" s="26" t="s">
        <v>8512</v>
      </c>
      <c r="H302" s="22" t="s">
        <v>226</v>
      </c>
      <c r="I302" s="22" t="s">
        <v>172</v>
      </c>
      <c r="J302" s="22"/>
      <c r="K302" s="24" t="s">
        <v>7946</v>
      </c>
      <c r="L302" s="24"/>
      <c r="M302" s="25" t="s">
        <v>6465</v>
      </c>
      <c r="N302" s="22"/>
      <c r="O302" s="22" t="s">
        <v>6466</v>
      </c>
      <c r="P302" s="22" t="str">
        <f>HYPERLINK("https://ceds.ed.gov/cedselementdetails.aspx?termid=21588")</f>
        <v>https://ceds.ed.gov/cedselementdetails.aspx?termid=21588</v>
      </c>
      <c r="Q302" s="22">
        <v>63737</v>
      </c>
    </row>
    <row r="303" spans="1:17" ht="403.2" x14ac:dyDescent="0.3">
      <c r="A303" s="22" t="s">
        <v>7709</v>
      </c>
      <c r="B303" s="22" t="s">
        <v>9194</v>
      </c>
      <c r="C303" s="22" t="s">
        <v>7730</v>
      </c>
      <c r="D303" s="22" t="s">
        <v>7710</v>
      </c>
      <c r="E303" s="22" t="s">
        <v>3344</v>
      </c>
      <c r="F303" s="24" t="s">
        <v>3345</v>
      </c>
      <c r="G303" s="26" t="s">
        <v>8427</v>
      </c>
      <c r="H303" s="22"/>
      <c r="I303" s="22" t="s">
        <v>172</v>
      </c>
      <c r="J303" s="22"/>
      <c r="K303" s="24" t="s">
        <v>7995</v>
      </c>
      <c r="L303" s="24"/>
      <c r="M303" s="25" t="s">
        <v>3346</v>
      </c>
      <c r="N303" s="22"/>
      <c r="O303" s="22" t="s">
        <v>3347</v>
      </c>
      <c r="P303" s="22" t="str">
        <f>HYPERLINK("https://ceds.ed.gov/cedselementdetails.aspx?termid=22294")</f>
        <v>https://ceds.ed.gov/cedselementdetails.aspx?termid=22294</v>
      </c>
      <c r="Q303" s="22">
        <v>61134</v>
      </c>
    </row>
    <row r="304" spans="1:17" ht="100.8" x14ac:dyDescent="0.3">
      <c r="A304" s="22" t="s">
        <v>7709</v>
      </c>
      <c r="B304" s="22" t="s">
        <v>9194</v>
      </c>
      <c r="C304" s="22" t="s">
        <v>7730</v>
      </c>
      <c r="D304" s="22" t="s">
        <v>7710</v>
      </c>
      <c r="E304" s="22" t="s">
        <v>3364</v>
      </c>
      <c r="F304" s="24" t="s">
        <v>3365</v>
      </c>
      <c r="G304" s="26" t="s">
        <v>8820</v>
      </c>
      <c r="H304" s="22"/>
      <c r="I304" s="22"/>
      <c r="J304" s="22"/>
      <c r="K304" s="24"/>
      <c r="L304" s="24"/>
      <c r="M304" s="25" t="s">
        <v>3366</v>
      </c>
      <c r="N304" s="22"/>
      <c r="O304" s="22" t="s">
        <v>3367</v>
      </c>
      <c r="P304" s="22" t="str">
        <f>HYPERLINK("https://ceds.ed.gov/cedselementdetails.aspx?termid=22302")</f>
        <v>https://ceds.ed.gov/cedselementdetails.aspx?termid=22302</v>
      </c>
      <c r="Q304" s="22">
        <v>61141</v>
      </c>
    </row>
    <row r="305" spans="1:17" ht="72" x14ac:dyDescent="0.3">
      <c r="A305" s="22" t="s">
        <v>7709</v>
      </c>
      <c r="B305" s="22" t="s">
        <v>9194</v>
      </c>
      <c r="C305" s="22" t="s">
        <v>7730</v>
      </c>
      <c r="D305" s="22" t="s">
        <v>7710</v>
      </c>
      <c r="E305" s="22" t="s">
        <v>3916</v>
      </c>
      <c r="F305" s="24" t="s">
        <v>8121</v>
      </c>
      <c r="G305" s="23" t="s">
        <v>32</v>
      </c>
      <c r="H305" s="22" t="s">
        <v>226</v>
      </c>
      <c r="I305" s="22" t="s">
        <v>172</v>
      </c>
      <c r="J305" s="22" t="s">
        <v>3917</v>
      </c>
      <c r="K305" s="24" t="s">
        <v>8122</v>
      </c>
      <c r="L305" s="24"/>
      <c r="M305" s="25" t="s">
        <v>3918</v>
      </c>
      <c r="N305" s="22"/>
      <c r="O305" s="22" t="s">
        <v>3919</v>
      </c>
      <c r="P305" s="22" t="str">
        <f>HYPERLINK("https://ceds.ed.gov/cedselementdetails.aspx?termid=21538")</f>
        <v>https://ceds.ed.gov/cedselementdetails.aspx?termid=21538</v>
      </c>
      <c r="Q305" s="22">
        <v>61161</v>
      </c>
    </row>
    <row r="306" spans="1:17" ht="57.6" x14ac:dyDescent="0.3">
      <c r="A306" s="22" t="s">
        <v>7709</v>
      </c>
      <c r="B306" s="22" t="s">
        <v>9194</v>
      </c>
      <c r="C306" s="22" t="s">
        <v>7756</v>
      </c>
      <c r="D306" s="22" t="s">
        <v>7710</v>
      </c>
      <c r="E306" s="22" t="s">
        <v>1531</v>
      </c>
      <c r="F306" s="24" t="s">
        <v>8031</v>
      </c>
      <c r="G306" s="26" t="s">
        <v>22</v>
      </c>
      <c r="H306" s="22" t="s">
        <v>25</v>
      </c>
      <c r="I306" s="22"/>
      <c r="J306" s="22"/>
      <c r="K306" s="24"/>
      <c r="L306" s="24"/>
      <c r="M306" s="25" t="s">
        <v>1532</v>
      </c>
      <c r="N306" s="22"/>
      <c r="O306" s="22" t="s">
        <v>1533</v>
      </c>
      <c r="P306" s="22" t="str">
        <f>HYPERLINK("https://ceds.ed.gov/cedselementdetails.aspx?termid=21031")</f>
        <v>https://ceds.ed.gov/cedselementdetails.aspx?termid=21031</v>
      </c>
      <c r="Q306" s="22">
        <v>62715</v>
      </c>
    </row>
    <row r="307" spans="1:17" ht="230.4" x14ac:dyDescent="0.3">
      <c r="A307" s="22" t="s">
        <v>7709</v>
      </c>
      <c r="B307" s="22" t="s">
        <v>9194</v>
      </c>
      <c r="C307" s="22" t="s">
        <v>7756</v>
      </c>
      <c r="D307" s="22" t="s">
        <v>7710</v>
      </c>
      <c r="E307" s="22" t="s">
        <v>4411</v>
      </c>
      <c r="F307" s="24" t="s">
        <v>4412</v>
      </c>
      <c r="G307" s="26" t="s">
        <v>22</v>
      </c>
      <c r="H307" s="24" t="s">
        <v>4415</v>
      </c>
      <c r="I307" s="22"/>
      <c r="J307" s="22"/>
      <c r="K307" s="24"/>
      <c r="L307" s="24"/>
      <c r="M307" s="25" t="s">
        <v>4413</v>
      </c>
      <c r="N307" s="22"/>
      <c r="O307" s="22" t="s">
        <v>4414</v>
      </c>
      <c r="P307" s="22" t="str">
        <f>HYPERLINK("https://ceds.ed.gov/cedselementdetails.aspx?termid=21151")</f>
        <v>https://ceds.ed.gov/cedselementdetails.aspx?termid=21151</v>
      </c>
      <c r="Q307" s="22">
        <v>62716</v>
      </c>
    </row>
    <row r="308" spans="1:17" ht="43.2" x14ac:dyDescent="0.3">
      <c r="A308" s="22" t="s">
        <v>7709</v>
      </c>
      <c r="B308" s="22" t="s">
        <v>9194</v>
      </c>
      <c r="C308" s="22" t="s">
        <v>7756</v>
      </c>
      <c r="D308" s="22" t="s">
        <v>7710</v>
      </c>
      <c r="E308" s="22" t="s">
        <v>3169</v>
      </c>
      <c r="F308" s="24" t="s">
        <v>3170</v>
      </c>
      <c r="G308" s="26" t="s">
        <v>22</v>
      </c>
      <c r="H308" s="22" t="s">
        <v>226</v>
      </c>
      <c r="I308" s="22"/>
      <c r="J308" s="22"/>
      <c r="K308" s="24"/>
      <c r="L308" s="24"/>
      <c r="M308" s="25" t="s">
        <v>3171</v>
      </c>
      <c r="N308" s="22"/>
      <c r="O308" s="22" t="s">
        <v>3172</v>
      </c>
      <c r="P308" s="22" t="str">
        <f>HYPERLINK("https://ceds.ed.gov/cedselementdetails.aspx?termid=21569")</f>
        <v>https://ceds.ed.gov/cedselementdetails.aspx?termid=21569</v>
      </c>
      <c r="Q308" s="22">
        <v>62718</v>
      </c>
    </row>
    <row r="309" spans="1:17" ht="86.4" x14ac:dyDescent="0.3">
      <c r="A309" s="22" t="s">
        <v>7709</v>
      </c>
      <c r="B309" s="22" t="s">
        <v>9194</v>
      </c>
      <c r="C309" s="22" t="s">
        <v>7756</v>
      </c>
      <c r="D309" s="22" t="s">
        <v>7710</v>
      </c>
      <c r="E309" s="22" t="s">
        <v>6676</v>
      </c>
      <c r="F309" s="24" t="s">
        <v>6677</v>
      </c>
      <c r="G309" s="26" t="s">
        <v>22</v>
      </c>
      <c r="H309" s="24" t="s">
        <v>4415</v>
      </c>
      <c r="I309" s="22"/>
      <c r="J309" s="22"/>
      <c r="K309" s="24"/>
      <c r="L309" s="24"/>
      <c r="M309" s="25" t="s">
        <v>6678</v>
      </c>
      <c r="N309" s="22"/>
      <c r="O309" s="22" t="s">
        <v>6679</v>
      </c>
      <c r="P309" s="22" t="str">
        <f>HYPERLINK("https://ceds.ed.gov/cedselementdetails.aspx?termid=21249")</f>
        <v>https://ceds.ed.gov/cedselementdetails.aspx?termid=21249</v>
      </c>
      <c r="Q309" s="22">
        <v>62717</v>
      </c>
    </row>
    <row r="310" spans="1:17" ht="201.6" x14ac:dyDescent="0.3">
      <c r="A310" s="22" t="s">
        <v>7709</v>
      </c>
      <c r="B310" s="22" t="s">
        <v>9194</v>
      </c>
      <c r="C310" s="22" t="s">
        <v>7756</v>
      </c>
      <c r="D310" s="22" t="s">
        <v>7710</v>
      </c>
      <c r="E310" s="22" t="s">
        <v>5959</v>
      </c>
      <c r="F310" s="24" t="s">
        <v>5960</v>
      </c>
      <c r="G310" s="26" t="s">
        <v>9076</v>
      </c>
      <c r="H310" s="24" t="s">
        <v>5964</v>
      </c>
      <c r="I310" s="22"/>
      <c r="J310" s="22"/>
      <c r="K310" s="24"/>
      <c r="L310" s="24" t="s">
        <v>5961</v>
      </c>
      <c r="M310" s="25" t="s">
        <v>5962</v>
      </c>
      <c r="N310" s="22"/>
      <c r="O310" s="22" t="s">
        <v>5963</v>
      </c>
      <c r="P310" s="22" t="str">
        <f>HYPERLINK("https://ceds.ed.gov/cedselementdetails.aspx?termid=21218")</f>
        <v>https://ceds.ed.gov/cedselementdetails.aspx?termid=21218</v>
      </c>
      <c r="Q310" s="22">
        <v>58631</v>
      </c>
    </row>
    <row r="311" spans="1:17" ht="216" x14ac:dyDescent="0.3">
      <c r="A311" s="22" t="s">
        <v>7709</v>
      </c>
      <c r="B311" s="22" t="s">
        <v>9194</v>
      </c>
      <c r="C311" s="22" t="s">
        <v>7756</v>
      </c>
      <c r="D311" s="22" t="s">
        <v>7710</v>
      </c>
      <c r="E311" s="22" t="s">
        <v>3160</v>
      </c>
      <c r="F311" s="24" t="s">
        <v>3161</v>
      </c>
      <c r="G311" s="26" t="s">
        <v>8796</v>
      </c>
      <c r="H311" s="22"/>
      <c r="I311" s="22"/>
      <c r="J311" s="22"/>
      <c r="K311" s="24"/>
      <c r="L311" s="24" t="s">
        <v>3162</v>
      </c>
      <c r="M311" s="25" t="s">
        <v>3163</v>
      </c>
      <c r="N311" s="22"/>
      <c r="O311" s="22" t="s">
        <v>3164</v>
      </c>
      <c r="P311" s="22" t="str">
        <f>HYPERLINK("https://ceds.ed.gov/cedselementdetails.aspx?termid=22286")</f>
        <v>https://ceds.ed.gov/cedselementdetails.aspx?termid=22286</v>
      </c>
      <c r="Q311" s="22">
        <v>61661</v>
      </c>
    </row>
    <row r="312" spans="1:17" ht="144" x14ac:dyDescent="0.3">
      <c r="A312" s="22" t="s">
        <v>7709</v>
      </c>
      <c r="B312" s="22" t="s">
        <v>9194</v>
      </c>
      <c r="C312" s="22" t="s">
        <v>7756</v>
      </c>
      <c r="D312" s="22" t="s">
        <v>7710</v>
      </c>
      <c r="E312" s="22" t="s">
        <v>3165</v>
      </c>
      <c r="F312" s="24" t="s">
        <v>3166</v>
      </c>
      <c r="G312" s="26" t="s">
        <v>8798</v>
      </c>
      <c r="H312" s="22"/>
      <c r="I312" s="22"/>
      <c r="J312" s="22"/>
      <c r="K312" s="24"/>
      <c r="L312" s="24" t="s">
        <v>3162</v>
      </c>
      <c r="M312" s="25" t="s">
        <v>3167</v>
      </c>
      <c r="N312" s="22"/>
      <c r="O312" s="22" t="s">
        <v>3168</v>
      </c>
      <c r="P312" s="22" t="str">
        <f>HYPERLINK("https://ceds.ed.gov/cedselementdetails.aspx?termid=22287")</f>
        <v>https://ceds.ed.gov/cedselementdetails.aspx?termid=22287</v>
      </c>
      <c r="Q312" s="22">
        <v>61663</v>
      </c>
    </row>
    <row r="313" spans="1:17" ht="201.6" x14ac:dyDescent="0.3">
      <c r="A313" s="22" t="s">
        <v>7709</v>
      </c>
      <c r="B313" s="22" t="s">
        <v>9194</v>
      </c>
      <c r="C313" s="22" t="s">
        <v>7756</v>
      </c>
      <c r="D313" s="22" t="s">
        <v>7710</v>
      </c>
      <c r="E313" s="22" t="s">
        <v>4394</v>
      </c>
      <c r="F313" s="24" t="s">
        <v>4395</v>
      </c>
      <c r="G313" s="26" t="s">
        <v>8931</v>
      </c>
      <c r="H313" s="22" t="s">
        <v>226</v>
      </c>
      <c r="I313" s="22"/>
      <c r="J313" s="22"/>
      <c r="K313" s="24"/>
      <c r="L313" s="24"/>
      <c r="M313" s="25" t="s">
        <v>4396</v>
      </c>
      <c r="N313" s="22"/>
      <c r="O313" s="22" t="s">
        <v>4397</v>
      </c>
      <c r="P313" s="22" t="str">
        <f>HYPERLINK("https://ceds.ed.gov/cedselementdetails.aspx?termid=21550")</f>
        <v>https://ceds.ed.gov/cedselementdetails.aspx?termid=21550</v>
      </c>
      <c r="Q313" s="22">
        <v>62453</v>
      </c>
    </row>
    <row r="314" spans="1:17" ht="86.4" x14ac:dyDescent="0.3">
      <c r="A314" s="22" t="s">
        <v>7709</v>
      </c>
      <c r="B314" s="22" t="s">
        <v>9194</v>
      </c>
      <c r="C314" s="22" t="s">
        <v>7757</v>
      </c>
      <c r="D314" s="22" t="s">
        <v>7710</v>
      </c>
      <c r="E314" s="22" t="s">
        <v>6818</v>
      </c>
      <c r="F314" s="24" t="s">
        <v>6819</v>
      </c>
      <c r="G314" s="23" t="s">
        <v>32</v>
      </c>
      <c r="H314" s="22"/>
      <c r="I314" s="22"/>
      <c r="J314" s="22" t="s">
        <v>4141</v>
      </c>
      <c r="K314" s="24"/>
      <c r="L314" s="24"/>
      <c r="M314" s="25" t="s">
        <v>6820</v>
      </c>
      <c r="N314" s="22" t="s">
        <v>6821</v>
      </c>
      <c r="O314" s="22" t="s">
        <v>6822</v>
      </c>
      <c r="P314" s="22" t="str">
        <f>HYPERLINK("https://ceds.ed.gov/cedselementdetails.aspx?termid=22208")</f>
        <v>https://ceds.ed.gov/cedselementdetails.aspx?termid=22208</v>
      </c>
      <c r="Q314" s="22">
        <v>59707</v>
      </c>
    </row>
    <row r="315" spans="1:17" ht="43.2" x14ac:dyDescent="0.3">
      <c r="A315" s="22" t="s">
        <v>7709</v>
      </c>
      <c r="B315" s="22" t="s">
        <v>9194</v>
      </c>
      <c r="C315" s="22" t="s">
        <v>7757</v>
      </c>
      <c r="D315" s="22" t="s">
        <v>7710</v>
      </c>
      <c r="E315" s="22" t="s">
        <v>6688</v>
      </c>
      <c r="F315" s="24" t="s">
        <v>6689</v>
      </c>
      <c r="G315" s="23" t="s">
        <v>32</v>
      </c>
      <c r="H315" s="22"/>
      <c r="I315" s="22"/>
      <c r="J315" s="22" t="s">
        <v>118</v>
      </c>
      <c r="K315" s="24"/>
      <c r="L315" s="24"/>
      <c r="M315" s="25" t="s">
        <v>6690</v>
      </c>
      <c r="N315" s="22"/>
      <c r="O315" s="22" t="s">
        <v>6691</v>
      </c>
      <c r="P315" s="22" t="str">
        <f>HYPERLINK("https://ceds.ed.gov/cedselementdetails.aspx?termid=21326")</f>
        <v>https://ceds.ed.gov/cedselementdetails.aspx?termid=21326</v>
      </c>
      <c r="Q315" s="22">
        <v>58655</v>
      </c>
    </row>
    <row r="316" spans="1:17" ht="57.6" x14ac:dyDescent="0.3">
      <c r="A316" s="22" t="s">
        <v>7709</v>
      </c>
      <c r="B316" s="22" t="s">
        <v>9194</v>
      </c>
      <c r="C316" s="22" t="s">
        <v>7757</v>
      </c>
      <c r="D316" s="22" t="s">
        <v>7710</v>
      </c>
      <c r="E316" s="22" t="s">
        <v>6692</v>
      </c>
      <c r="F316" s="24" t="s">
        <v>6693</v>
      </c>
      <c r="G316" s="23" t="s">
        <v>32</v>
      </c>
      <c r="H316" s="22"/>
      <c r="I316" s="22"/>
      <c r="J316" s="22" t="s">
        <v>118</v>
      </c>
      <c r="K316" s="24"/>
      <c r="L316" s="24" t="s">
        <v>143</v>
      </c>
      <c r="M316" s="25" t="s">
        <v>6694</v>
      </c>
      <c r="N316" s="22"/>
      <c r="O316" s="22" t="s">
        <v>6695</v>
      </c>
      <c r="P316" s="22" t="str">
        <f>HYPERLINK("https://ceds.ed.gov/cedselementdetails.aspx?termid=21327")</f>
        <v>https://ceds.ed.gov/cedselementdetails.aspx?termid=21327</v>
      </c>
      <c r="Q316" s="22">
        <v>58656</v>
      </c>
    </row>
    <row r="317" spans="1:17" ht="57.6" x14ac:dyDescent="0.3">
      <c r="A317" s="22" t="s">
        <v>7709</v>
      </c>
      <c r="B317" s="22" t="s">
        <v>9194</v>
      </c>
      <c r="C317" s="22" t="s">
        <v>7757</v>
      </c>
      <c r="D317" s="22" t="s">
        <v>7710</v>
      </c>
      <c r="E317" s="22" t="s">
        <v>3273</v>
      </c>
      <c r="F317" s="24" t="s">
        <v>3274</v>
      </c>
      <c r="G317" s="26" t="s">
        <v>22</v>
      </c>
      <c r="H317" s="22"/>
      <c r="I317" s="22"/>
      <c r="J317" s="22"/>
      <c r="K317" s="24"/>
      <c r="L317" s="24"/>
      <c r="M317" s="25" t="s">
        <v>3275</v>
      </c>
      <c r="N317" s="22"/>
      <c r="O317" s="22" t="s">
        <v>3276</v>
      </c>
      <c r="P317" s="22" t="str">
        <f>HYPERLINK("https://ceds.ed.gov/cedselementdetails.aspx?termid=22570")</f>
        <v>https://ceds.ed.gov/cedselementdetails.aspx?termid=22570</v>
      </c>
      <c r="Q317" s="22">
        <v>62060</v>
      </c>
    </row>
    <row r="318" spans="1:17" ht="302.39999999999998" x14ac:dyDescent="0.3">
      <c r="A318" s="22" t="s">
        <v>7709</v>
      </c>
      <c r="B318" s="22" t="s">
        <v>9194</v>
      </c>
      <c r="C318" s="22" t="s">
        <v>7757</v>
      </c>
      <c r="D318" s="22" t="s">
        <v>7710</v>
      </c>
      <c r="E318" s="22" t="s">
        <v>3281</v>
      </c>
      <c r="F318" s="24" t="s">
        <v>3282</v>
      </c>
      <c r="G318" s="26" t="s">
        <v>8812</v>
      </c>
      <c r="H318" s="22"/>
      <c r="I318" s="22"/>
      <c r="J318" s="22"/>
      <c r="K318" s="24"/>
      <c r="L318" s="24"/>
      <c r="M318" s="25" t="s">
        <v>3283</v>
      </c>
      <c r="N318" s="22"/>
      <c r="O318" s="22" t="s">
        <v>3284</v>
      </c>
      <c r="P318" s="22" t="str">
        <f>HYPERLINK("https://ceds.ed.gov/cedselementdetails.aspx?termid=22529")</f>
        <v>https://ceds.ed.gov/cedselementdetails.aspx?termid=22529</v>
      </c>
      <c r="Q318" s="22">
        <v>61840</v>
      </c>
    </row>
    <row r="319" spans="1:17" ht="302.39999999999998" x14ac:dyDescent="0.3">
      <c r="A319" s="22" t="s">
        <v>7709</v>
      </c>
      <c r="B319" s="22" t="s">
        <v>9194</v>
      </c>
      <c r="C319" s="22" t="s">
        <v>7757</v>
      </c>
      <c r="D319" s="22" t="s">
        <v>7710</v>
      </c>
      <c r="E319" s="22" t="s">
        <v>3285</v>
      </c>
      <c r="F319" s="24" t="s">
        <v>3286</v>
      </c>
      <c r="G319" s="26" t="s">
        <v>8812</v>
      </c>
      <c r="H319" s="22" t="s">
        <v>2015</v>
      </c>
      <c r="I319" s="22"/>
      <c r="J319" s="22"/>
      <c r="K319" s="24"/>
      <c r="L319" s="24"/>
      <c r="M319" s="25" t="s">
        <v>3287</v>
      </c>
      <c r="N319" s="22"/>
      <c r="O319" s="22" t="s">
        <v>3288</v>
      </c>
      <c r="P319" s="22" t="str">
        <f>HYPERLINK("https://ceds.ed.gov/cedselementdetails.aspx?termid=21321")</f>
        <v>https://ceds.ed.gov/cedselementdetails.aspx?termid=21321</v>
      </c>
      <c r="Q319" s="22">
        <v>58650</v>
      </c>
    </row>
    <row r="320" spans="1:17" ht="28.8" x14ac:dyDescent="0.3">
      <c r="A320" s="22" t="s">
        <v>7709</v>
      </c>
      <c r="B320" s="22" t="s">
        <v>9194</v>
      </c>
      <c r="C320" s="22" t="s">
        <v>7757</v>
      </c>
      <c r="D320" s="22" t="s">
        <v>7710</v>
      </c>
      <c r="E320" s="22" t="s">
        <v>6349</v>
      </c>
      <c r="F320" s="24" t="s">
        <v>6350</v>
      </c>
      <c r="G320" s="23" t="s">
        <v>32</v>
      </c>
      <c r="H320" s="22"/>
      <c r="I320" s="22"/>
      <c r="J320" s="22" t="s">
        <v>328</v>
      </c>
      <c r="K320" s="24"/>
      <c r="L320" s="24"/>
      <c r="M320" s="25" t="s">
        <v>6351</v>
      </c>
      <c r="N320" s="22"/>
      <c r="O320" s="22" t="s">
        <v>6352</v>
      </c>
      <c r="P320" s="22" t="str">
        <f>HYPERLINK("https://ceds.ed.gov/cedselementdetails.aspx?termid=22460")</f>
        <v>https://ceds.ed.gov/cedselementdetails.aspx?termid=22460</v>
      </c>
      <c r="Q320" s="22">
        <v>61426</v>
      </c>
    </row>
    <row r="321" spans="1:17" ht="100.8" x14ac:dyDescent="0.3">
      <c r="A321" s="22" t="s">
        <v>7709</v>
      </c>
      <c r="B321" s="22" t="s">
        <v>9194</v>
      </c>
      <c r="C321" s="22" t="s">
        <v>7757</v>
      </c>
      <c r="D321" s="22" t="s">
        <v>7710</v>
      </c>
      <c r="E321" s="22" t="s">
        <v>3424</v>
      </c>
      <c r="F321" s="24" t="s">
        <v>3425</v>
      </c>
      <c r="G321" s="26" t="s">
        <v>8829</v>
      </c>
      <c r="H321" s="22"/>
      <c r="I321" s="22"/>
      <c r="J321" s="22"/>
      <c r="K321" s="24"/>
      <c r="L321" s="24"/>
      <c r="M321" s="25" t="s">
        <v>3426</v>
      </c>
      <c r="N321" s="22"/>
      <c r="O321" s="22" t="s">
        <v>3427</v>
      </c>
      <c r="P321" s="22" t="str">
        <f>HYPERLINK("https://ceds.ed.gov/cedselementdetails.aspx?termid=22583")</f>
        <v>https://ceds.ed.gov/cedselementdetails.aspx?termid=22583</v>
      </c>
      <c r="Q321" s="22">
        <v>62073</v>
      </c>
    </row>
    <row r="322" spans="1:17" ht="28.8" x14ac:dyDescent="0.3">
      <c r="A322" s="22" t="s">
        <v>7709</v>
      </c>
      <c r="B322" s="22" t="s">
        <v>9194</v>
      </c>
      <c r="C322" s="22" t="s">
        <v>7757</v>
      </c>
      <c r="D322" s="22" t="s">
        <v>7710</v>
      </c>
      <c r="E322" s="22" t="s">
        <v>3488</v>
      </c>
      <c r="F322" s="24" t="s">
        <v>3489</v>
      </c>
      <c r="G322" s="23" t="s">
        <v>32</v>
      </c>
      <c r="H322" s="22"/>
      <c r="I322" s="22"/>
      <c r="J322" s="22" t="s">
        <v>780</v>
      </c>
      <c r="K322" s="24"/>
      <c r="L322" s="24"/>
      <c r="M322" s="25" t="s">
        <v>3490</v>
      </c>
      <c r="N322" s="22"/>
      <c r="O322" s="22" t="s">
        <v>3491</v>
      </c>
      <c r="P322" s="22" t="str">
        <f>HYPERLINK("https://ceds.ed.gov/cedselementdetails.aspx?termid=22597")</f>
        <v>https://ceds.ed.gov/cedselementdetails.aspx?termid=22597</v>
      </c>
      <c r="Q322" s="22">
        <v>62096</v>
      </c>
    </row>
    <row r="323" spans="1:17" ht="28.8" x14ac:dyDescent="0.3">
      <c r="A323" s="22" t="s">
        <v>7709</v>
      </c>
      <c r="B323" s="22" t="s">
        <v>9194</v>
      </c>
      <c r="C323" s="22" t="s">
        <v>7757</v>
      </c>
      <c r="D323" s="22" t="s">
        <v>7710</v>
      </c>
      <c r="E323" s="22" t="s">
        <v>6684</v>
      </c>
      <c r="F323" s="24" t="s">
        <v>6685</v>
      </c>
      <c r="G323" s="23" t="s">
        <v>32</v>
      </c>
      <c r="H323" s="22"/>
      <c r="I323" s="22"/>
      <c r="J323" s="22" t="s">
        <v>118</v>
      </c>
      <c r="K323" s="24"/>
      <c r="L323" s="24"/>
      <c r="M323" s="25" t="s">
        <v>6686</v>
      </c>
      <c r="N323" s="22"/>
      <c r="O323" s="22" t="s">
        <v>6687</v>
      </c>
      <c r="P323" s="22" t="str">
        <f>HYPERLINK("https://ceds.ed.gov/cedselementdetails.aspx?termid=22616")</f>
        <v>https://ceds.ed.gov/cedselementdetails.aspx?termid=22616</v>
      </c>
      <c r="Q323" s="22">
        <v>62141</v>
      </c>
    </row>
    <row r="324" spans="1:17" ht="100.8" x14ac:dyDescent="0.3">
      <c r="A324" s="22" t="s">
        <v>7709</v>
      </c>
      <c r="B324" s="22" t="s">
        <v>9194</v>
      </c>
      <c r="C324" s="22" t="s">
        <v>7757</v>
      </c>
      <c r="D324" s="22" t="s">
        <v>7710</v>
      </c>
      <c r="E324" s="22" t="s">
        <v>4081</v>
      </c>
      <c r="F324" s="24" t="s">
        <v>8203</v>
      </c>
      <c r="G324" s="26" t="s">
        <v>8451</v>
      </c>
      <c r="H324" s="22"/>
      <c r="I324" s="22" t="s">
        <v>172</v>
      </c>
      <c r="J324" s="22"/>
      <c r="K324" s="24" t="s">
        <v>8204</v>
      </c>
      <c r="L324" s="24" t="s">
        <v>8205</v>
      </c>
      <c r="M324" s="25" t="s">
        <v>4082</v>
      </c>
      <c r="N324" s="22"/>
      <c r="O324" s="22" t="s">
        <v>4083</v>
      </c>
      <c r="P324" s="22" t="str">
        <f>HYPERLINK("https://ceds.ed.gov/cedselementdetails.aspx?termid=22323")</f>
        <v>https://ceds.ed.gov/cedselementdetails.aspx?termid=22323</v>
      </c>
      <c r="Q324" s="22">
        <v>61208</v>
      </c>
    </row>
    <row r="325" spans="1:17" ht="172.8" x14ac:dyDescent="0.3">
      <c r="A325" s="22" t="s">
        <v>7709</v>
      </c>
      <c r="B325" s="22" t="s">
        <v>9194</v>
      </c>
      <c r="C325" s="22" t="s">
        <v>7757</v>
      </c>
      <c r="D325" s="22" t="s">
        <v>7710</v>
      </c>
      <c r="E325" s="22" t="s">
        <v>4744</v>
      </c>
      <c r="F325" s="24" t="s">
        <v>4745</v>
      </c>
      <c r="G325" s="26" t="s">
        <v>8965</v>
      </c>
      <c r="H325" s="24" t="s">
        <v>399</v>
      </c>
      <c r="I325" s="22"/>
      <c r="J325" s="22"/>
      <c r="K325" s="24"/>
      <c r="L325" s="24"/>
      <c r="M325" s="25" t="s">
        <v>4746</v>
      </c>
      <c r="N325" s="22"/>
      <c r="O325" s="22" t="s">
        <v>4747</v>
      </c>
      <c r="P325" s="22" t="str">
        <f>HYPERLINK("https://ceds.ed.gov/cedselementdetails.aspx?termid=21320")</f>
        <v>https://ceds.ed.gov/cedselementdetails.aspx?termid=21320</v>
      </c>
      <c r="Q325" s="22">
        <v>62140</v>
      </c>
    </row>
    <row r="326" spans="1:17" ht="28.8" x14ac:dyDescent="0.3">
      <c r="A326" s="22" t="s">
        <v>7709</v>
      </c>
      <c r="B326" s="22" t="s">
        <v>9194</v>
      </c>
      <c r="C326" s="22" t="s">
        <v>7757</v>
      </c>
      <c r="D326" s="22" t="s">
        <v>7710</v>
      </c>
      <c r="E326" s="22" t="s">
        <v>4668</v>
      </c>
      <c r="F326" s="24" t="s">
        <v>4669</v>
      </c>
      <c r="G326" s="23" t="s">
        <v>32</v>
      </c>
      <c r="H326" s="22"/>
      <c r="I326" s="22"/>
      <c r="J326" s="22" t="s">
        <v>118</v>
      </c>
      <c r="K326" s="24"/>
      <c r="L326" s="24" t="s">
        <v>4670</v>
      </c>
      <c r="M326" s="25" t="s">
        <v>4671</v>
      </c>
      <c r="N326" s="22"/>
      <c r="O326" s="22" t="s">
        <v>4672</v>
      </c>
      <c r="P326" s="22" t="str">
        <f>HYPERLINK("https://ceds.ed.gov/cedselementdetails.aspx?termid=22350")</f>
        <v>https://ceds.ed.gov/cedselementdetails.aspx?termid=22350</v>
      </c>
      <c r="Q326" s="22">
        <v>61227</v>
      </c>
    </row>
    <row r="327" spans="1:17" ht="28.8" x14ac:dyDescent="0.3">
      <c r="A327" s="22" t="s">
        <v>7709</v>
      </c>
      <c r="B327" s="22" t="s">
        <v>9194</v>
      </c>
      <c r="C327" s="22" t="s">
        <v>7757</v>
      </c>
      <c r="D327" s="22" t="s">
        <v>7710</v>
      </c>
      <c r="E327" s="22" t="s">
        <v>4660</v>
      </c>
      <c r="F327" s="24" t="s">
        <v>4661</v>
      </c>
      <c r="G327" s="23" t="s">
        <v>32</v>
      </c>
      <c r="H327" s="22"/>
      <c r="I327" s="22"/>
      <c r="J327" s="22" t="s">
        <v>1518</v>
      </c>
      <c r="K327" s="24"/>
      <c r="L327" s="24"/>
      <c r="M327" s="25" t="s">
        <v>4662</v>
      </c>
      <c r="N327" s="22"/>
      <c r="O327" s="22" t="s">
        <v>4663</v>
      </c>
      <c r="P327" s="22" t="str">
        <f>HYPERLINK("https://ceds.ed.gov/cedselementdetails.aspx?termid=22493")</f>
        <v>https://ceds.ed.gov/cedselementdetails.aspx?termid=22493</v>
      </c>
      <c r="Q327" s="22">
        <v>61673</v>
      </c>
    </row>
    <row r="328" spans="1:17" ht="144" x14ac:dyDescent="0.3">
      <c r="A328" s="22" t="s">
        <v>7709</v>
      </c>
      <c r="B328" s="22" t="s">
        <v>9194</v>
      </c>
      <c r="C328" s="22" t="s">
        <v>7757</v>
      </c>
      <c r="D328" s="22" t="s">
        <v>7710</v>
      </c>
      <c r="E328" s="22" t="s">
        <v>4664</v>
      </c>
      <c r="F328" s="24" t="s">
        <v>4665</v>
      </c>
      <c r="G328" s="26" t="s">
        <v>8958</v>
      </c>
      <c r="H328" s="22"/>
      <c r="I328" s="22"/>
      <c r="J328" s="22"/>
      <c r="K328" s="24"/>
      <c r="L328" s="24"/>
      <c r="M328" s="25" t="s">
        <v>4666</v>
      </c>
      <c r="N328" s="22"/>
      <c r="O328" s="22" t="s">
        <v>4667</v>
      </c>
      <c r="P328" s="22" t="str">
        <f>HYPERLINK("https://ceds.ed.gov/cedselementdetails.aspx?termid=22492")</f>
        <v>https://ceds.ed.gov/cedselementdetails.aspx?termid=22492</v>
      </c>
      <c r="Q328" s="22">
        <v>61672</v>
      </c>
    </row>
    <row r="329" spans="1:17" ht="259.2" x14ac:dyDescent="0.3">
      <c r="A329" s="22" t="s">
        <v>7709</v>
      </c>
      <c r="B329" s="22" t="s">
        <v>9194</v>
      </c>
      <c r="C329" s="22" t="s">
        <v>7757</v>
      </c>
      <c r="D329" s="22" t="s">
        <v>7710</v>
      </c>
      <c r="E329" s="22" t="s">
        <v>4673</v>
      </c>
      <c r="F329" s="24" t="s">
        <v>4674</v>
      </c>
      <c r="G329" s="26" t="s">
        <v>8959</v>
      </c>
      <c r="H329" s="22"/>
      <c r="I329" s="22"/>
      <c r="J329" s="22"/>
      <c r="K329" s="24"/>
      <c r="L329" s="24"/>
      <c r="M329" s="25" t="s">
        <v>4675</v>
      </c>
      <c r="N329" s="22"/>
      <c r="O329" s="22" t="s">
        <v>4676</v>
      </c>
      <c r="P329" s="22" t="str">
        <f>HYPERLINK("https://ceds.ed.gov/cedselementdetails.aspx?termid=22352")</f>
        <v>https://ceds.ed.gov/cedselementdetails.aspx?termid=22352</v>
      </c>
      <c r="Q329" s="22">
        <v>61229</v>
      </c>
    </row>
    <row r="330" spans="1:17" ht="345.6" x14ac:dyDescent="0.3">
      <c r="A330" s="22" t="s">
        <v>7709</v>
      </c>
      <c r="B330" s="22" t="s">
        <v>9194</v>
      </c>
      <c r="C330" s="22" t="s">
        <v>7757</v>
      </c>
      <c r="D330" s="22" t="s">
        <v>7710</v>
      </c>
      <c r="E330" s="22" t="s">
        <v>6814</v>
      </c>
      <c r="F330" s="24" t="s">
        <v>6815</v>
      </c>
      <c r="G330" s="26" t="s">
        <v>9147</v>
      </c>
      <c r="H330" s="22" t="s">
        <v>226</v>
      </c>
      <c r="I330" s="22"/>
      <c r="J330" s="22"/>
      <c r="K330" s="24"/>
      <c r="L330" s="24"/>
      <c r="M330" s="25" t="s">
        <v>6816</v>
      </c>
      <c r="N330" s="22"/>
      <c r="O330" s="22" t="s">
        <v>6817</v>
      </c>
      <c r="P330" s="22" t="str">
        <f>HYPERLINK("https://ceds.ed.gov/cedselementdetails.aspx?termid=21260")</f>
        <v>https://ceds.ed.gov/cedselementdetails.aspx?termid=21260</v>
      </c>
      <c r="Q330" s="22">
        <v>61459</v>
      </c>
    </row>
    <row r="331" spans="1:17" ht="28.8" x14ac:dyDescent="0.3">
      <c r="A331" s="22" t="s">
        <v>7709</v>
      </c>
      <c r="B331" s="22" t="s">
        <v>9194</v>
      </c>
      <c r="C331" s="22" t="s">
        <v>7757</v>
      </c>
      <c r="D331" s="22" t="s">
        <v>7741</v>
      </c>
      <c r="E331" s="22" t="s">
        <v>4073</v>
      </c>
      <c r="F331" s="24" t="s">
        <v>4074</v>
      </c>
      <c r="G331" s="23" t="s">
        <v>32</v>
      </c>
      <c r="H331" s="22"/>
      <c r="I331" s="22" t="s">
        <v>172</v>
      </c>
      <c r="J331" s="22" t="s">
        <v>1699</v>
      </c>
      <c r="K331" s="24" t="s">
        <v>7946</v>
      </c>
      <c r="L331" s="24"/>
      <c r="M331" s="25" t="s">
        <v>4075</v>
      </c>
      <c r="N331" s="22"/>
      <c r="O331" s="22" t="s">
        <v>4076</v>
      </c>
      <c r="P331" s="22" t="str">
        <f>HYPERLINK("https://ceds.ed.gov/cedselementdetails.aspx?termid=22695")</f>
        <v>https://ceds.ed.gov/cedselementdetails.aspx?termid=22695</v>
      </c>
      <c r="Q331" s="22">
        <v>63739</v>
      </c>
    </row>
    <row r="332" spans="1:17" ht="86.4" x14ac:dyDescent="0.3">
      <c r="A332" s="22" t="s">
        <v>7709</v>
      </c>
      <c r="B332" s="22" t="s">
        <v>9194</v>
      </c>
      <c r="C332" s="22" t="s">
        <v>7757</v>
      </c>
      <c r="D332" s="22" t="s">
        <v>7741</v>
      </c>
      <c r="E332" s="22" t="s">
        <v>4077</v>
      </c>
      <c r="F332" s="24" t="s">
        <v>4078</v>
      </c>
      <c r="G332" s="23" t="s">
        <v>32</v>
      </c>
      <c r="H332" s="22"/>
      <c r="I332" s="22" t="s">
        <v>172</v>
      </c>
      <c r="J332" s="22" t="s">
        <v>1699</v>
      </c>
      <c r="K332" s="24" t="s">
        <v>7946</v>
      </c>
      <c r="L332" s="24"/>
      <c r="M332" s="25" t="s">
        <v>4079</v>
      </c>
      <c r="N332" s="22"/>
      <c r="O332" s="22" t="s">
        <v>4080</v>
      </c>
      <c r="P332" s="22" t="str">
        <f>HYPERLINK("https://ceds.ed.gov/cedselementdetails.aspx?termid=22696")</f>
        <v>https://ceds.ed.gov/cedselementdetails.aspx?termid=22696</v>
      </c>
      <c r="Q332" s="22">
        <v>63740</v>
      </c>
    </row>
    <row r="333" spans="1:17" ht="100.8" x14ac:dyDescent="0.3">
      <c r="A333" s="22" t="s">
        <v>7709</v>
      </c>
      <c r="B333" s="22" t="s">
        <v>9194</v>
      </c>
      <c r="C333" s="22" t="s">
        <v>7757</v>
      </c>
      <c r="D333" s="22" t="s">
        <v>7741</v>
      </c>
      <c r="E333" s="22" t="s">
        <v>4084</v>
      </c>
      <c r="F333" s="24" t="s">
        <v>4085</v>
      </c>
      <c r="G333" s="26" t="s">
        <v>8453</v>
      </c>
      <c r="H333" s="22"/>
      <c r="I333" s="22" t="s">
        <v>172</v>
      </c>
      <c r="J333" s="22"/>
      <c r="K333" s="24" t="s">
        <v>7946</v>
      </c>
      <c r="L333" s="24"/>
      <c r="M333" s="25" t="s">
        <v>4086</v>
      </c>
      <c r="N333" s="22"/>
      <c r="O333" s="22" t="s">
        <v>4087</v>
      </c>
      <c r="P333" s="22" t="str">
        <f>HYPERLINK("https://ceds.ed.gov/cedselementdetails.aspx?termid=22694")</f>
        <v>https://ceds.ed.gov/cedselementdetails.aspx?termid=22694</v>
      </c>
      <c r="Q333" s="22">
        <v>63741</v>
      </c>
    </row>
    <row r="334" spans="1:17" ht="43.2" x14ac:dyDescent="0.3">
      <c r="A334" s="22" t="s">
        <v>7709</v>
      </c>
      <c r="B334" s="22" t="s">
        <v>9194</v>
      </c>
      <c r="C334" s="22" t="s">
        <v>7758</v>
      </c>
      <c r="D334" s="22" t="s">
        <v>7710</v>
      </c>
      <c r="E334" s="22" t="s">
        <v>396</v>
      </c>
      <c r="F334" s="24" t="s">
        <v>7963</v>
      </c>
      <c r="G334" s="23" t="s">
        <v>32</v>
      </c>
      <c r="H334" s="24" t="s">
        <v>399</v>
      </c>
      <c r="I334" s="22"/>
      <c r="J334" s="22" t="s">
        <v>118</v>
      </c>
      <c r="K334" s="24"/>
      <c r="L334" s="24"/>
      <c r="M334" s="25" t="s">
        <v>397</v>
      </c>
      <c r="N334" s="22"/>
      <c r="O334" s="22" t="s">
        <v>398</v>
      </c>
      <c r="P334" s="22" t="str">
        <f>HYPERLINK("https://ceds.ed.gov/cedselementdetails.aspx?termid=21323")</f>
        <v>https://ceds.ed.gov/cedselementdetails.aspx?termid=21323</v>
      </c>
      <c r="Q334" s="22">
        <v>62000</v>
      </c>
    </row>
    <row r="335" spans="1:17" ht="172.8" x14ac:dyDescent="0.3">
      <c r="A335" s="22" t="s">
        <v>7709</v>
      </c>
      <c r="B335" s="22" t="s">
        <v>9194</v>
      </c>
      <c r="C335" s="22" t="s">
        <v>7758</v>
      </c>
      <c r="D335" s="22" t="s">
        <v>7710</v>
      </c>
      <c r="E335" s="22" t="s">
        <v>3292</v>
      </c>
      <c r="F335" s="24" t="s">
        <v>3293</v>
      </c>
      <c r="G335" s="23" t="s">
        <v>32</v>
      </c>
      <c r="H335" s="22"/>
      <c r="I335" s="22"/>
      <c r="J335" s="22" t="s">
        <v>132</v>
      </c>
      <c r="K335" s="24"/>
      <c r="L335" s="24" t="s">
        <v>7945</v>
      </c>
      <c r="M335" s="25" t="s">
        <v>3294</v>
      </c>
      <c r="N335" s="22"/>
      <c r="O335" s="22" t="s">
        <v>3295</v>
      </c>
      <c r="P335" s="22" t="str">
        <f>HYPERLINK("https://ceds.ed.gov/cedselementdetails.aspx?termid=22576")</f>
        <v>https://ceds.ed.gov/cedselementdetails.aspx?termid=22576</v>
      </c>
      <c r="Q335" s="22">
        <v>62066</v>
      </c>
    </row>
    <row r="336" spans="1:17" ht="43.2" x14ac:dyDescent="0.3">
      <c r="A336" s="22" t="s">
        <v>7709</v>
      </c>
      <c r="B336" s="22" t="s">
        <v>9194</v>
      </c>
      <c r="C336" s="22" t="s">
        <v>7758</v>
      </c>
      <c r="D336" s="22" t="s">
        <v>7710</v>
      </c>
      <c r="E336" s="22" t="s">
        <v>3296</v>
      </c>
      <c r="F336" s="24" t="s">
        <v>3297</v>
      </c>
      <c r="G336" s="26" t="s">
        <v>22</v>
      </c>
      <c r="H336" s="22"/>
      <c r="I336" s="22"/>
      <c r="J336" s="22"/>
      <c r="K336" s="24"/>
      <c r="L336" s="24"/>
      <c r="M336" s="25" t="s">
        <v>3298</v>
      </c>
      <c r="N336" s="22"/>
      <c r="O336" s="22" t="s">
        <v>3299</v>
      </c>
      <c r="P336" s="22" t="str">
        <f>HYPERLINK("https://ceds.ed.gov/cedselementdetails.aspx?termid=22578")</f>
        <v>https://ceds.ed.gov/cedselementdetails.aspx?termid=22578</v>
      </c>
      <c r="Q336" s="22">
        <v>62068</v>
      </c>
    </row>
    <row r="337" spans="1:17" ht="172.8" x14ac:dyDescent="0.3">
      <c r="A337" s="22" t="s">
        <v>7709</v>
      </c>
      <c r="B337" s="22" t="s">
        <v>9194</v>
      </c>
      <c r="C337" s="22" t="s">
        <v>7758</v>
      </c>
      <c r="D337" s="22" t="s">
        <v>7710</v>
      </c>
      <c r="E337" s="22" t="s">
        <v>3324</v>
      </c>
      <c r="F337" s="24" t="s">
        <v>3325</v>
      </c>
      <c r="G337" s="23" t="s">
        <v>32</v>
      </c>
      <c r="H337" s="22"/>
      <c r="I337" s="22"/>
      <c r="J337" s="22" t="s">
        <v>132</v>
      </c>
      <c r="K337" s="24"/>
      <c r="L337" s="24" t="s">
        <v>7945</v>
      </c>
      <c r="M337" s="25" t="s">
        <v>3326</v>
      </c>
      <c r="N337" s="22"/>
      <c r="O337" s="22" t="s">
        <v>3327</v>
      </c>
      <c r="P337" s="22" t="str">
        <f>HYPERLINK("https://ceds.ed.gov/cedselementdetails.aspx?termid=22572")</f>
        <v>https://ceds.ed.gov/cedselementdetails.aspx?termid=22572</v>
      </c>
      <c r="Q337" s="22">
        <v>62062</v>
      </c>
    </row>
    <row r="338" spans="1:17" ht="28.8" x14ac:dyDescent="0.3">
      <c r="A338" s="22" t="s">
        <v>7709</v>
      </c>
      <c r="B338" s="22" t="s">
        <v>9194</v>
      </c>
      <c r="C338" s="22" t="s">
        <v>7758</v>
      </c>
      <c r="D338" s="22" t="s">
        <v>7710</v>
      </c>
      <c r="E338" s="22" t="s">
        <v>3328</v>
      </c>
      <c r="F338" s="24" t="s">
        <v>3329</v>
      </c>
      <c r="G338" s="23" t="s">
        <v>32</v>
      </c>
      <c r="H338" s="22"/>
      <c r="I338" s="22"/>
      <c r="J338" s="22" t="s">
        <v>157</v>
      </c>
      <c r="K338" s="24"/>
      <c r="L338" s="24"/>
      <c r="M338" s="25" t="s">
        <v>3330</v>
      </c>
      <c r="N338" s="22"/>
      <c r="O338" s="22" t="s">
        <v>3331</v>
      </c>
      <c r="P338" s="22" t="str">
        <f>HYPERLINK("https://ceds.ed.gov/cedselementdetails.aspx?termid=22573")</f>
        <v>https://ceds.ed.gov/cedselementdetails.aspx?termid=22573</v>
      </c>
      <c r="Q338" s="22">
        <v>62063</v>
      </c>
    </row>
    <row r="339" spans="1:17" ht="28.8" x14ac:dyDescent="0.3">
      <c r="A339" s="22" t="s">
        <v>7709</v>
      </c>
      <c r="B339" s="22" t="s">
        <v>9194</v>
      </c>
      <c r="C339" s="22" t="s">
        <v>7758</v>
      </c>
      <c r="D339" s="22" t="s">
        <v>7710</v>
      </c>
      <c r="E339" s="22" t="s">
        <v>3332</v>
      </c>
      <c r="F339" s="24" t="s">
        <v>3333</v>
      </c>
      <c r="G339" s="23" t="s">
        <v>32</v>
      </c>
      <c r="H339" s="22"/>
      <c r="I339" s="22"/>
      <c r="J339" s="22" t="s">
        <v>780</v>
      </c>
      <c r="K339" s="24"/>
      <c r="L339" s="24"/>
      <c r="M339" s="25" t="s">
        <v>3334</v>
      </c>
      <c r="N339" s="22"/>
      <c r="O339" s="22" t="s">
        <v>3335</v>
      </c>
      <c r="P339" s="22" t="str">
        <f>HYPERLINK("https://ceds.ed.gov/cedselementdetails.aspx?termid=22574")</f>
        <v>https://ceds.ed.gov/cedselementdetails.aspx?termid=22574</v>
      </c>
      <c r="Q339" s="22">
        <v>62064</v>
      </c>
    </row>
    <row r="340" spans="1:17" ht="28.8" x14ac:dyDescent="0.3">
      <c r="A340" s="22" t="s">
        <v>7709</v>
      </c>
      <c r="B340" s="22" t="s">
        <v>9194</v>
      </c>
      <c r="C340" s="22" t="s">
        <v>7758</v>
      </c>
      <c r="D340" s="22" t="s">
        <v>7710</v>
      </c>
      <c r="E340" s="22" t="s">
        <v>3336</v>
      </c>
      <c r="F340" s="24" t="s">
        <v>3337</v>
      </c>
      <c r="G340" s="23" t="s">
        <v>32</v>
      </c>
      <c r="H340" s="22"/>
      <c r="I340" s="22"/>
      <c r="J340" s="22" t="s">
        <v>118</v>
      </c>
      <c r="K340" s="24"/>
      <c r="L340" s="24"/>
      <c r="M340" s="25" t="s">
        <v>3338</v>
      </c>
      <c r="N340" s="22"/>
      <c r="O340" s="22" t="s">
        <v>3339</v>
      </c>
      <c r="P340" s="22" t="str">
        <f>HYPERLINK("https://ceds.ed.gov/cedselementdetails.aspx?termid=22571")</f>
        <v>https://ceds.ed.gov/cedselementdetails.aspx?termid=22571</v>
      </c>
      <c r="Q340" s="22">
        <v>62061</v>
      </c>
    </row>
    <row r="341" spans="1:17" ht="28.8" x14ac:dyDescent="0.3">
      <c r="A341" s="22" t="s">
        <v>7709</v>
      </c>
      <c r="B341" s="22" t="s">
        <v>9194</v>
      </c>
      <c r="C341" s="22" t="s">
        <v>7758</v>
      </c>
      <c r="D341" s="22" t="s">
        <v>7710</v>
      </c>
      <c r="E341" s="22" t="s">
        <v>3340</v>
      </c>
      <c r="F341" s="24" t="s">
        <v>3341</v>
      </c>
      <c r="G341" s="23" t="s">
        <v>32</v>
      </c>
      <c r="H341" s="22"/>
      <c r="I341" s="22"/>
      <c r="J341" s="22" t="s">
        <v>780</v>
      </c>
      <c r="K341" s="24"/>
      <c r="L341" s="24"/>
      <c r="M341" s="25" t="s">
        <v>3342</v>
      </c>
      <c r="N341" s="22"/>
      <c r="O341" s="22" t="s">
        <v>3343</v>
      </c>
      <c r="P341" s="22" t="str">
        <f>HYPERLINK("https://ceds.ed.gov/cedselementdetails.aspx?termid=22579")</f>
        <v>https://ceds.ed.gov/cedselementdetails.aspx?termid=22579</v>
      </c>
      <c r="Q341" s="22">
        <v>62069</v>
      </c>
    </row>
    <row r="342" spans="1:17" ht="28.8" x14ac:dyDescent="0.3">
      <c r="A342" s="22" t="s">
        <v>7709</v>
      </c>
      <c r="B342" s="22" t="s">
        <v>9194</v>
      </c>
      <c r="C342" s="22" t="s">
        <v>7758</v>
      </c>
      <c r="D342" s="22" t="s">
        <v>7710</v>
      </c>
      <c r="E342" s="22" t="s">
        <v>6790</v>
      </c>
      <c r="F342" s="24" t="s">
        <v>6791</v>
      </c>
      <c r="G342" s="23" t="s">
        <v>32</v>
      </c>
      <c r="H342" s="22"/>
      <c r="I342" s="22"/>
      <c r="J342" s="22" t="s">
        <v>113</v>
      </c>
      <c r="K342" s="24"/>
      <c r="L342" s="24"/>
      <c r="M342" s="25" t="s">
        <v>6792</v>
      </c>
      <c r="N342" s="22"/>
      <c r="O342" s="22" t="s">
        <v>6793</v>
      </c>
      <c r="P342" s="22" t="str">
        <f>HYPERLINK("https://ceds.ed.gov/cedselementdetails.aspx?termid=22608")</f>
        <v>https://ceds.ed.gov/cedselementdetails.aspx?termid=22608</v>
      </c>
      <c r="Q342" s="22">
        <v>62108</v>
      </c>
    </row>
    <row r="343" spans="1:17" ht="72" x14ac:dyDescent="0.3">
      <c r="A343" s="22" t="s">
        <v>7709</v>
      </c>
      <c r="B343" s="22" t="s">
        <v>9194</v>
      </c>
      <c r="C343" s="22" t="s">
        <v>7759</v>
      </c>
      <c r="D343" s="22" t="s">
        <v>7710</v>
      </c>
      <c r="E343" s="22" t="s">
        <v>6708</v>
      </c>
      <c r="F343" s="24" t="s">
        <v>6709</v>
      </c>
      <c r="G343" s="23" t="s">
        <v>32</v>
      </c>
      <c r="H343" s="22"/>
      <c r="I343" s="22"/>
      <c r="J343" s="22" t="s">
        <v>780</v>
      </c>
      <c r="K343" s="24"/>
      <c r="L343" s="24"/>
      <c r="M343" s="25" t="s">
        <v>6710</v>
      </c>
      <c r="N343" s="22"/>
      <c r="O343" s="22" t="s">
        <v>6711</v>
      </c>
      <c r="P343" s="22" t="str">
        <f>HYPERLINK("https://ceds.ed.gov/cedselementdetails.aspx?termid=22606")</f>
        <v>https://ceds.ed.gov/cedselementdetails.aspx?termid=22606</v>
      </c>
      <c r="Q343" s="22">
        <v>62105</v>
      </c>
    </row>
    <row r="344" spans="1:17" ht="28.8" x14ac:dyDescent="0.3">
      <c r="A344" s="22" t="s">
        <v>7709</v>
      </c>
      <c r="B344" s="22" t="s">
        <v>9194</v>
      </c>
      <c r="C344" s="22" t="s">
        <v>7759</v>
      </c>
      <c r="D344" s="22" t="s">
        <v>7710</v>
      </c>
      <c r="E344" s="22" t="s">
        <v>6704</v>
      </c>
      <c r="F344" s="24" t="s">
        <v>6705</v>
      </c>
      <c r="G344" s="23" t="s">
        <v>32</v>
      </c>
      <c r="H344" s="22"/>
      <c r="I344" s="22"/>
      <c r="J344" s="22" t="s">
        <v>113</v>
      </c>
      <c r="K344" s="24"/>
      <c r="L344" s="24"/>
      <c r="M344" s="25" t="s">
        <v>6706</v>
      </c>
      <c r="N344" s="22"/>
      <c r="O344" s="22" t="s">
        <v>6707</v>
      </c>
      <c r="P344" s="22" t="str">
        <f>HYPERLINK("https://ceds.ed.gov/cedselementdetails.aspx?termid=22603")</f>
        <v>https://ceds.ed.gov/cedselementdetails.aspx?termid=22603</v>
      </c>
      <c r="Q344" s="22">
        <v>62102</v>
      </c>
    </row>
    <row r="345" spans="1:17" ht="172.8" x14ac:dyDescent="0.3">
      <c r="A345" s="22" t="s">
        <v>7709</v>
      </c>
      <c r="B345" s="22" t="s">
        <v>9194</v>
      </c>
      <c r="C345" s="22" t="s">
        <v>7760</v>
      </c>
      <c r="D345" s="22" t="s">
        <v>7710</v>
      </c>
      <c r="E345" s="22" t="s">
        <v>4744</v>
      </c>
      <c r="F345" s="24" t="s">
        <v>4745</v>
      </c>
      <c r="G345" s="26" t="s">
        <v>8965</v>
      </c>
      <c r="H345" s="24" t="s">
        <v>399</v>
      </c>
      <c r="I345" s="22"/>
      <c r="J345" s="22"/>
      <c r="K345" s="24"/>
      <c r="L345" s="24"/>
      <c r="M345" s="25" t="s">
        <v>4746</v>
      </c>
      <c r="N345" s="22"/>
      <c r="O345" s="22" t="s">
        <v>4747</v>
      </c>
      <c r="P345" s="22" t="str">
        <f>HYPERLINK("https://ceds.ed.gov/cedselementdetails.aspx?termid=21320")</f>
        <v>https://ceds.ed.gov/cedselementdetails.aspx?termid=21320</v>
      </c>
      <c r="Q345" s="22">
        <v>58649</v>
      </c>
    </row>
    <row r="346" spans="1:17" ht="86.4" x14ac:dyDescent="0.3">
      <c r="A346" s="22" t="s">
        <v>7709</v>
      </c>
      <c r="B346" s="22" t="s">
        <v>9194</v>
      </c>
      <c r="C346" s="22" t="s">
        <v>7760</v>
      </c>
      <c r="D346" s="22" t="s">
        <v>7710</v>
      </c>
      <c r="E346" s="22" t="s">
        <v>4690</v>
      </c>
      <c r="F346" s="24" t="s">
        <v>4691</v>
      </c>
      <c r="G346" s="26" t="s">
        <v>8960</v>
      </c>
      <c r="H346" s="22"/>
      <c r="I346" s="22"/>
      <c r="J346" s="22"/>
      <c r="K346" s="24"/>
      <c r="L346" s="24"/>
      <c r="M346" s="25" t="s">
        <v>4692</v>
      </c>
      <c r="N346" s="22"/>
      <c r="O346" s="22" t="s">
        <v>4693</v>
      </c>
      <c r="P346" s="22" t="str">
        <f>HYPERLINK("https://ceds.ed.gov/cedselementdetails.aspx?termid=22196")</f>
        <v>https://ceds.ed.gov/cedselementdetails.aspx?termid=22196</v>
      </c>
      <c r="Q346" s="22">
        <v>59684</v>
      </c>
    </row>
    <row r="347" spans="1:17" ht="43.2" x14ac:dyDescent="0.3">
      <c r="A347" s="22" t="s">
        <v>7709</v>
      </c>
      <c r="B347" s="22" t="s">
        <v>9194</v>
      </c>
      <c r="C347" s="22" t="s">
        <v>7760</v>
      </c>
      <c r="D347" s="22" t="s">
        <v>7710</v>
      </c>
      <c r="E347" s="22" t="s">
        <v>4686</v>
      </c>
      <c r="F347" s="24" t="s">
        <v>4687</v>
      </c>
      <c r="G347" s="23" t="s">
        <v>32</v>
      </c>
      <c r="H347" s="22"/>
      <c r="I347" s="22"/>
      <c r="J347" s="22" t="s">
        <v>118</v>
      </c>
      <c r="K347" s="24"/>
      <c r="L347" s="24"/>
      <c r="M347" s="25" t="s">
        <v>4688</v>
      </c>
      <c r="N347" s="22"/>
      <c r="O347" s="22" t="s">
        <v>4689</v>
      </c>
      <c r="P347" s="22" t="str">
        <f>HYPERLINK("https://ceds.ed.gov/cedselementdetails.aspx?termid=22201")</f>
        <v>https://ceds.ed.gov/cedselementdetails.aspx?termid=22201</v>
      </c>
      <c r="Q347" s="22">
        <v>59694</v>
      </c>
    </row>
    <row r="348" spans="1:17" ht="43.2" x14ac:dyDescent="0.3">
      <c r="A348" s="22" t="s">
        <v>7709</v>
      </c>
      <c r="B348" s="22" t="s">
        <v>9194</v>
      </c>
      <c r="C348" s="22" t="s">
        <v>7760</v>
      </c>
      <c r="D348" s="22" t="s">
        <v>7710</v>
      </c>
      <c r="E348" s="22" t="s">
        <v>4648</v>
      </c>
      <c r="F348" s="24" t="s">
        <v>4649</v>
      </c>
      <c r="G348" s="23" t="s">
        <v>32</v>
      </c>
      <c r="H348" s="22"/>
      <c r="I348" s="22"/>
      <c r="J348" s="22" t="s">
        <v>118</v>
      </c>
      <c r="K348" s="24"/>
      <c r="L348" s="24"/>
      <c r="M348" s="25" t="s">
        <v>4650</v>
      </c>
      <c r="N348" s="22"/>
      <c r="O348" s="22" t="s">
        <v>4651</v>
      </c>
      <c r="P348" s="22" t="str">
        <f>HYPERLINK("https://ceds.ed.gov/cedselementdetails.aspx?termid=22197")</f>
        <v>https://ceds.ed.gov/cedselementdetails.aspx?termid=22197</v>
      </c>
      <c r="Q348" s="22">
        <v>59686</v>
      </c>
    </row>
    <row r="349" spans="1:17" ht="201.6" x14ac:dyDescent="0.3">
      <c r="A349" s="22" t="s">
        <v>7709</v>
      </c>
      <c r="B349" s="22" t="s">
        <v>9194</v>
      </c>
      <c r="C349" s="22" t="s">
        <v>7760</v>
      </c>
      <c r="D349" s="22" t="s">
        <v>7710</v>
      </c>
      <c r="E349" s="22" t="s">
        <v>4702</v>
      </c>
      <c r="F349" s="24" t="s">
        <v>4703</v>
      </c>
      <c r="G349" s="26" t="s">
        <v>8961</v>
      </c>
      <c r="H349" s="22"/>
      <c r="I349" s="22"/>
      <c r="J349" s="22"/>
      <c r="K349" s="24"/>
      <c r="L349" s="24"/>
      <c r="M349" s="25" t="s">
        <v>4704</v>
      </c>
      <c r="N349" s="22"/>
      <c r="O349" s="22" t="s">
        <v>4705</v>
      </c>
      <c r="P349" s="22" t="str">
        <f>HYPERLINK("https://ceds.ed.gov/cedselementdetails.aspx?termid=22202")</f>
        <v>https://ceds.ed.gov/cedselementdetails.aspx?termid=22202</v>
      </c>
      <c r="Q349" s="22">
        <v>59696</v>
      </c>
    </row>
    <row r="350" spans="1:17" ht="28.8" x14ac:dyDescent="0.3">
      <c r="A350" s="22" t="s">
        <v>7709</v>
      </c>
      <c r="B350" s="22" t="s">
        <v>9194</v>
      </c>
      <c r="C350" s="22" t="s">
        <v>7760</v>
      </c>
      <c r="D350" s="22" t="s">
        <v>7710</v>
      </c>
      <c r="E350" s="22" t="s">
        <v>4706</v>
      </c>
      <c r="F350" s="24" t="s">
        <v>4707</v>
      </c>
      <c r="G350" s="23" t="s">
        <v>32</v>
      </c>
      <c r="H350" s="22"/>
      <c r="I350" s="22"/>
      <c r="J350" s="22" t="s">
        <v>328</v>
      </c>
      <c r="K350" s="24"/>
      <c r="L350" s="24"/>
      <c r="M350" s="25" t="s">
        <v>4708</v>
      </c>
      <c r="N350" s="22"/>
      <c r="O350" s="22" t="s">
        <v>4709</v>
      </c>
      <c r="P350" s="22" t="str">
        <f>HYPERLINK("https://ceds.ed.gov/cedselementdetails.aspx?termid=22203")</f>
        <v>https://ceds.ed.gov/cedselementdetails.aspx?termid=22203</v>
      </c>
      <c r="Q350" s="22">
        <v>59698</v>
      </c>
    </row>
    <row r="351" spans="1:17" ht="28.8" x14ac:dyDescent="0.3">
      <c r="A351" s="22" t="s">
        <v>7709</v>
      </c>
      <c r="B351" s="22" t="s">
        <v>9194</v>
      </c>
      <c r="C351" s="22" t="s">
        <v>7760</v>
      </c>
      <c r="D351" s="22" t="s">
        <v>7710</v>
      </c>
      <c r="E351" s="22" t="s">
        <v>4736</v>
      </c>
      <c r="F351" s="24" t="s">
        <v>4737</v>
      </c>
      <c r="G351" s="23" t="s">
        <v>32</v>
      </c>
      <c r="H351" s="22"/>
      <c r="I351" s="22"/>
      <c r="J351" s="22" t="s">
        <v>328</v>
      </c>
      <c r="K351" s="24"/>
      <c r="L351" s="24"/>
      <c r="M351" s="25" t="s">
        <v>4738</v>
      </c>
      <c r="N351" s="22"/>
      <c r="O351" s="22" t="s">
        <v>4739</v>
      </c>
      <c r="P351" s="22" t="str">
        <f>HYPERLINK("https://ceds.ed.gov/cedselementdetails.aspx?termid=22204")</f>
        <v>https://ceds.ed.gov/cedselementdetails.aspx?termid=22204</v>
      </c>
      <c r="Q351" s="22">
        <v>59700</v>
      </c>
    </row>
    <row r="352" spans="1:17" ht="28.8" x14ac:dyDescent="0.3">
      <c r="A352" s="22" t="s">
        <v>7709</v>
      </c>
      <c r="B352" s="22" t="s">
        <v>9194</v>
      </c>
      <c r="C352" s="22" t="s">
        <v>7760</v>
      </c>
      <c r="D352" s="22" t="s">
        <v>7710</v>
      </c>
      <c r="E352" s="22" t="s">
        <v>4732</v>
      </c>
      <c r="F352" s="24" t="s">
        <v>4733</v>
      </c>
      <c r="G352" s="23" t="s">
        <v>32</v>
      </c>
      <c r="H352" s="22"/>
      <c r="I352" s="22"/>
      <c r="J352" s="22" t="s">
        <v>118</v>
      </c>
      <c r="K352" s="24"/>
      <c r="L352" s="24"/>
      <c r="M352" s="25" t="s">
        <v>4734</v>
      </c>
      <c r="N352" s="22"/>
      <c r="O352" s="22" t="s">
        <v>4735</v>
      </c>
      <c r="P352" s="22" t="str">
        <f>HYPERLINK("https://ceds.ed.gov/cedselementdetails.aspx?termid=22205")</f>
        <v>https://ceds.ed.gov/cedselementdetails.aspx?termid=22205</v>
      </c>
      <c r="Q352" s="22">
        <v>59702</v>
      </c>
    </row>
    <row r="353" spans="1:17" ht="43.2" x14ac:dyDescent="0.3">
      <c r="A353" s="22" t="s">
        <v>7709</v>
      </c>
      <c r="B353" s="22" t="s">
        <v>9194</v>
      </c>
      <c r="C353" s="22" t="s">
        <v>7760</v>
      </c>
      <c r="D353" s="22" t="s">
        <v>7710</v>
      </c>
      <c r="E353" s="22" t="s">
        <v>4728</v>
      </c>
      <c r="F353" s="24" t="s">
        <v>4729</v>
      </c>
      <c r="G353" s="23" t="s">
        <v>32</v>
      </c>
      <c r="H353" s="22"/>
      <c r="I353" s="22"/>
      <c r="J353" s="22" t="s">
        <v>118</v>
      </c>
      <c r="K353" s="24"/>
      <c r="L353" s="24"/>
      <c r="M353" s="25" t="s">
        <v>4730</v>
      </c>
      <c r="N353" s="22"/>
      <c r="O353" s="22" t="s">
        <v>4731</v>
      </c>
      <c r="P353" s="22" t="str">
        <f>HYPERLINK("https://ceds.ed.gov/cedselementdetails.aspx?termid=22207")</f>
        <v>https://ceds.ed.gov/cedselementdetails.aspx?termid=22207</v>
      </c>
      <c r="Q353" s="22">
        <v>59704</v>
      </c>
    </row>
    <row r="354" spans="1:17" ht="43.2" x14ac:dyDescent="0.3">
      <c r="A354" s="22" t="s">
        <v>7709</v>
      </c>
      <c r="B354" s="22" t="s">
        <v>9194</v>
      </c>
      <c r="C354" s="22" t="s">
        <v>7760</v>
      </c>
      <c r="D354" s="22" t="s">
        <v>7710</v>
      </c>
      <c r="E354" s="22" t="s">
        <v>5407</v>
      </c>
      <c r="F354" s="24" t="s">
        <v>5408</v>
      </c>
      <c r="G354" s="26" t="s">
        <v>9026</v>
      </c>
      <c r="H354" s="22"/>
      <c r="I354" s="22"/>
      <c r="J354" s="22" t="s">
        <v>157</v>
      </c>
      <c r="K354" s="24"/>
      <c r="L354" s="24"/>
      <c r="M354" s="25" t="s">
        <v>5409</v>
      </c>
      <c r="N354" s="22"/>
      <c r="O354" s="22" t="s">
        <v>5410</v>
      </c>
      <c r="P354" s="22" t="str">
        <f>HYPERLINK("https://ceds.ed.gov/cedselementdetails.aspx?termid=22482")</f>
        <v>https://ceds.ed.gov/cedselementdetails.aspx?termid=22482</v>
      </c>
      <c r="Q354" s="22">
        <v>61688</v>
      </c>
    </row>
    <row r="355" spans="1:17" ht="57.6" x14ac:dyDescent="0.3">
      <c r="A355" s="22" t="s">
        <v>7709</v>
      </c>
      <c r="B355" s="22" t="s">
        <v>9194</v>
      </c>
      <c r="C355" s="22" t="s">
        <v>7760</v>
      </c>
      <c r="D355" s="22" t="s">
        <v>7710</v>
      </c>
      <c r="E355" s="22" t="s">
        <v>4656</v>
      </c>
      <c r="F355" s="24" t="s">
        <v>4653</v>
      </c>
      <c r="G355" s="23" t="s">
        <v>32</v>
      </c>
      <c r="H355" s="22"/>
      <c r="I355" s="22" t="s">
        <v>172</v>
      </c>
      <c r="J355" s="22" t="s">
        <v>317</v>
      </c>
      <c r="K355" s="24" t="s">
        <v>8217</v>
      </c>
      <c r="L355" s="24"/>
      <c r="M355" s="25" t="s">
        <v>4658</v>
      </c>
      <c r="N355" s="22"/>
      <c r="O355" s="22" t="s">
        <v>4659</v>
      </c>
      <c r="P355" s="22" t="str">
        <f>HYPERLINK("https://ceds.ed.gov/cedselementdetails.aspx?termid=22198")</f>
        <v>https://ceds.ed.gov/cedselementdetails.aspx?termid=22198</v>
      </c>
      <c r="Q355" s="22">
        <v>59688</v>
      </c>
    </row>
    <row r="356" spans="1:17" ht="57.6" x14ac:dyDescent="0.3">
      <c r="A356" s="22" t="s">
        <v>7709</v>
      </c>
      <c r="B356" s="22" t="s">
        <v>9194</v>
      </c>
      <c r="C356" s="22" t="s">
        <v>7760</v>
      </c>
      <c r="D356" s="22" t="s">
        <v>7710</v>
      </c>
      <c r="E356" s="22" t="s">
        <v>4652</v>
      </c>
      <c r="F356" s="24" t="s">
        <v>4657</v>
      </c>
      <c r="G356" s="23" t="s">
        <v>32</v>
      </c>
      <c r="H356" s="22"/>
      <c r="I356" s="22" t="s">
        <v>172</v>
      </c>
      <c r="J356" s="22" t="s">
        <v>317</v>
      </c>
      <c r="K356" s="24" t="s">
        <v>8217</v>
      </c>
      <c r="L356" s="24"/>
      <c r="M356" s="25" t="s">
        <v>4654</v>
      </c>
      <c r="N356" s="22"/>
      <c r="O356" s="22" t="s">
        <v>4655</v>
      </c>
      <c r="P356" s="22" t="str">
        <f>HYPERLINK("https://ceds.ed.gov/cedselementdetails.aspx?termid=22199")</f>
        <v>https://ceds.ed.gov/cedselementdetails.aspx?termid=22199</v>
      </c>
      <c r="Q356" s="22">
        <v>59690</v>
      </c>
    </row>
    <row r="357" spans="1:17" ht="57.6" x14ac:dyDescent="0.3">
      <c r="A357" s="22" t="s">
        <v>7709</v>
      </c>
      <c r="B357" s="22" t="s">
        <v>9194</v>
      </c>
      <c r="C357" s="22" t="s">
        <v>7760</v>
      </c>
      <c r="D357" s="22" t="s">
        <v>7710</v>
      </c>
      <c r="E357" s="22" t="s">
        <v>4407</v>
      </c>
      <c r="F357" s="24" t="s">
        <v>4408</v>
      </c>
      <c r="G357" s="26" t="s">
        <v>8935</v>
      </c>
      <c r="H357" s="22"/>
      <c r="I357" s="22"/>
      <c r="J357" s="22"/>
      <c r="K357" s="24"/>
      <c r="L357" s="24"/>
      <c r="M357" s="25" t="s">
        <v>4409</v>
      </c>
      <c r="N357" s="22"/>
      <c r="O357" s="22" t="s">
        <v>4410</v>
      </c>
      <c r="P357" s="22" t="str">
        <f>HYPERLINK("https://ceds.ed.gov/cedselementdetails.aspx?termid=22473")</f>
        <v>https://ceds.ed.gov/cedselementdetails.aspx?termid=22473</v>
      </c>
      <c r="Q357" s="22">
        <v>61461</v>
      </c>
    </row>
    <row r="358" spans="1:17" ht="57.6" x14ac:dyDescent="0.3">
      <c r="A358" s="22" t="s">
        <v>7709</v>
      </c>
      <c r="B358" s="22" t="s">
        <v>9194</v>
      </c>
      <c r="C358" s="22" t="s">
        <v>7760</v>
      </c>
      <c r="D358" s="22" t="s">
        <v>7710</v>
      </c>
      <c r="E358" s="22" t="s">
        <v>4428</v>
      </c>
      <c r="F358" s="24" t="s">
        <v>4429</v>
      </c>
      <c r="G358" s="26" t="s">
        <v>8938</v>
      </c>
      <c r="H358" s="22"/>
      <c r="I358" s="22"/>
      <c r="J358" s="22"/>
      <c r="K358" s="24"/>
      <c r="L358" s="24" t="s">
        <v>8215</v>
      </c>
      <c r="M358" s="25" t="s">
        <v>4430</v>
      </c>
      <c r="N358" s="22"/>
      <c r="O358" s="22" t="s">
        <v>4431</v>
      </c>
      <c r="P358" s="22" t="str">
        <f>HYPERLINK("https://ceds.ed.gov/cedselementdetails.aspx?termid=22637")</f>
        <v>https://ceds.ed.gov/cedselementdetails.aspx?termid=22637</v>
      </c>
      <c r="Q358" s="22">
        <v>62354</v>
      </c>
    </row>
    <row r="359" spans="1:17" ht="43.2" x14ac:dyDescent="0.3">
      <c r="A359" s="22" t="s">
        <v>7709</v>
      </c>
      <c r="B359" s="22" t="s">
        <v>9194</v>
      </c>
      <c r="C359" s="22" t="s">
        <v>7760</v>
      </c>
      <c r="D359" s="22" t="s">
        <v>7710</v>
      </c>
      <c r="E359" s="22" t="s">
        <v>1929</v>
      </c>
      <c r="F359" s="24" t="s">
        <v>1930</v>
      </c>
      <c r="G359" s="23" t="s">
        <v>32</v>
      </c>
      <c r="H359" s="22"/>
      <c r="I359" s="22"/>
      <c r="J359" s="22" t="s">
        <v>118</v>
      </c>
      <c r="K359" s="24"/>
      <c r="L359" s="24"/>
      <c r="M359" s="25" t="s">
        <v>1931</v>
      </c>
      <c r="N359" s="22"/>
      <c r="O359" s="22" t="s">
        <v>1932</v>
      </c>
      <c r="P359" s="22" t="str">
        <f>HYPERLINK("https://ceds.ed.gov/cedselementdetails.aspx?termid=22255")</f>
        <v>https://ceds.ed.gov/cedselementdetails.aspx?termid=22255</v>
      </c>
      <c r="Q359" s="22">
        <v>61826</v>
      </c>
    </row>
    <row r="360" spans="1:17" ht="72" x14ac:dyDescent="0.3">
      <c r="A360" s="22" t="s">
        <v>7709</v>
      </c>
      <c r="B360" s="22" t="s">
        <v>9194</v>
      </c>
      <c r="C360" s="22" t="s">
        <v>7760</v>
      </c>
      <c r="D360" s="22" t="s">
        <v>7710</v>
      </c>
      <c r="E360" s="22" t="s">
        <v>1933</v>
      </c>
      <c r="F360" s="24" t="s">
        <v>1934</v>
      </c>
      <c r="G360" s="26" t="s">
        <v>8713</v>
      </c>
      <c r="H360" s="22"/>
      <c r="I360" s="22"/>
      <c r="J360" s="22"/>
      <c r="K360" s="24"/>
      <c r="L360" s="24"/>
      <c r="M360" s="25" t="s">
        <v>1935</v>
      </c>
      <c r="N360" s="22"/>
      <c r="O360" s="22" t="s">
        <v>1936</v>
      </c>
      <c r="P360" s="22" t="str">
        <f>HYPERLINK("https://ceds.ed.gov/cedselementdetails.aspx?termid=22256")</f>
        <v>https://ceds.ed.gov/cedselementdetails.aspx?termid=22256</v>
      </c>
      <c r="Q360" s="22">
        <v>61829</v>
      </c>
    </row>
    <row r="361" spans="1:17" ht="216" x14ac:dyDescent="0.3">
      <c r="A361" s="22" t="s">
        <v>7709</v>
      </c>
      <c r="B361" s="22" t="s">
        <v>9194</v>
      </c>
      <c r="C361" s="22" t="s">
        <v>7760</v>
      </c>
      <c r="D361" s="22" t="s">
        <v>7710</v>
      </c>
      <c r="E361" s="22" t="s">
        <v>7656</v>
      </c>
      <c r="F361" s="24" t="s">
        <v>7657</v>
      </c>
      <c r="G361" s="26" t="s">
        <v>8514</v>
      </c>
      <c r="H361" s="22"/>
      <c r="I361" s="22" t="s">
        <v>172</v>
      </c>
      <c r="J361" s="22"/>
      <c r="K361" s="24" t="s">
        <v>7995</v>
      </c>
      <c r="L361" s="24"/>
      <c r="M361" s="25" t="s">
        <v>7658</v>
      </c>
      <c r="N361" s="22"/>
      <c r="O361" s="22" t="s">
        <v>7656</v>
      </c>
      <c r="P361" s="22" t="str">
        <f>HYPERLINK("https://ceds.ed.gov/cedselementdetails.aspx?termid=22959")</f>
        <v>https://ceds.ed.gov/cedselementdetails.aspx?termid=22959</v>
      </c>
      <c r="Q361" s="22">
        <v>63507</v>
      </c>
    </row>
    <row r="362" spans="1:17" ht="409.6" x14ac:dyDescent="0.3">
      <c r="A362" s="22" t="s">
        <v>7709</v>
      </c>
      <c r="B362" s="22" t="s">
        <v>9194</v>
      </c>
      <c r="C362" s="22" t="s">
        <v>7760</v>
      </c>
      <c r="D362" s="22" t="s">
        <v>7741</v>
      </c>
      <c r="E362" s="22" t="s">
        <v>7048</v>
      </c>
      <c r="F362" s="24" t="s">
        <v>7049</v>
      </c>
      <c r="G362" s="26" t="s">
        <v>8542</v>
      </c>
      <c r="H362" s="22"/>
      <c r="I362" s="22" t="s">
        <v>172</v>
      </c>
      <c r="J362" s="22"/>
      <c r="K362" s="24" t="s">
        <v>7946</v>
      </c>
      <c r="L362" s="24" t="s">
        <v>7050</v>
      </c>
      <c r="M362" s="25" t="s">
        <v>7051</v>
      </c>
      <c r="N362" s="22"/>
      <c r="O362" s="22" t="s">
        <v>7052</v>
      </c>
      <c r="P362" s="22" t="str">
        <f>HYPERLINK("https://ceds.ed.gov/cedselementdetails.aspx?termid=21273")</f>
        <v>https://ceds.ed.gov/cedselementdetails.aspx?termid=21273</v>
      </c>
      <c r="Q362" s="22">
        <v>63738</v>
      </c>
    </row>
    <row r="363" spans="1:17" ht="28.8" x14ac:dyDescent="0.3">
      <c r="A363" s="22" t="s">
        <v>7709</v>
      </c>
      <c r="B363" s="22" t="s">
        <v>9194</v>
      </c>
      <c r="C363" s="22" t="s">
        <v>7761</v>
      </c>
      <c r="D363" s="22" t="s">
        <v>7710</v>
      </c>
      <c r="E363" s="22" t="s">
        <v>4168</v>
      </c>
      <c r="F363" s="24" t="s">
        <v>4169</v>
      </c>
      <c r="G363" s="23" t="s">
        <v>32</v>
      </c>
      <c r="H363" s="22"/>
      <c r="I363" s="22"/>
      <c r="J363" s="22" t="s">
        <v>118</v>
      </c>
      <c r="K363" s="24"/>
      <c r="L363" s="24"/>
      <c r="M363" s="25" t="s">
        <v>4170</v>
      </c>
      <c r="N363" s="22"/>
      <c r="O363" s="22" t="s">
        <v>4171</v>
      </c>
      <c r="P363" s="22" t="str">
        <f>HYPERLINK("https://ceds.ed.gov/cedselementdetails.aspx?termid=22169")</f>
        <v>https://ceds.ed.gov/cedselementdetails.aspx?termid=22169</v>
      </c>
      <c r="Q363" s="22">
        <v>61889</v>
      </c>
    </row>
    <row r="364" spans="1:17" ht="100.8" x14ac:dyDescent="0.3">
      <c r="A364" s="22" t="s">
        <v>7709</v>
      </c>
      <c r="B364" s="22" t="s">
        <v>9194</v>
      </c>
      <c r="C364" s="22" t="s">
        <v>7761</v>
      </c>
      <c r="D364" s="22" t="s">
        <v>7710</v>
      </c>
      <c r="E364" s="22" t="s">
        <v>4133</v>
      </c>
      <c r="F364" s="24" t="s">
        <v>4134</v>
      </c>
      <c r="G364" s="23" t="s">
        <v>32</v>
      </c>
      <c r="H364" s="22"/>
      <c r="I364" s="22"/>
      <c r="J364" s="22" t="s">
        <v>118</v>
      </c>
      <c r="K364" s="24"/>
      <c r="L364" s="24" t="s">
        <v>4135</v>
      </c>
      <c r="M364" s="25" t="s">
        <v>4136</v>
      </c>
      <c r="N364" s="22"/>
      <c r="O364" s="22" t="s">
        <v>4137</v>
      </c>
      <c r="P364" s="22" t="str">
        <f>HYPERLINK("https://ceds.ed.gov/cedselementdetails.aspx?termid=22170")</f>
        <v>https://ceds.ed.gov/cedselementdetails.aspx?termid=22170</v>
      </c>
      <c r="Q364" s="22">
        <v>62817</v>
      </c>
    </row>
    <row r="365" spans="1:17" ht="28.8" x14ac:dyDescent="0.3">
      <c r="A365" s="22" t="s">
        <v>7709</v>
      </c>
      <c r="B365" s="22" t="s">
        <v>9194</v>
      </c>
      <c r="C365" s="22" t="s">
        <v>7761</v>
      </c>
      <c r="D365" s="22" t="s">
        <v>7710</v>
      </c>
      <c r="E365" s="22" t="s">
        <v>4129</v>
      </c>
      <c r="F365" s="24" t="s">
        <v>4130</v>
      </c>
      <c r="G365" s="23" t="s">
        <v>32</v>
      </c>
      <c r="H365" s="22"/>
      <c r="I365" s="22" t="s">
        <v>172</v>
      </c>
      <c r="J365" s="22" t="s">
        <v>113</v>
      </c>
      <c r="K365" s="24" t="s">
        <v>8050</v>
      </c>
      <c r="L365" s="24"/>
      <c r="M365" s="25" t="s">
        <v>4131</v>
      </c>
      <c r="N365" s="22"/>
      <c r="O365" s="22" t="s">
        <v>4132</v>
      </c>
      <c r="P365" s="22" t="str">
        <f>HYPERLINK("https://ceds.ed.gov/cedselementdetails.aspx?termid=21903")</f>
        <v>https://ceds.ed.gov/cedselementdetails.aspx?termid=21903</v>
      </c>
      <c r="Q365" s="22">
        <v>61881</v>
      </c>
    </row>
    <row r="366" spans="1:17" ht="43.2" x14ac:dyDescent="0.3">
      <c r="A366" s="22" t="s">
        <v>7709</v>
      </c>
      <c r="B366" s="22" t="s">
        <v>9194</v>
      </c>
      <c r="C366" s="22" t="s">
        <v>7761</v>
      </c>
      <c r="D366" s="22" t="s">
        <v>7710</v>
      </c>
      <c r="E366" s="22" t="s">
        <v>4181</v>
      </c>
      <c r="F366" s="24" t="s">
        <v>4182</v>
      </c>
      <c r="G366" s="23" t="s">
        <v>32</v>
      </c>
      <c r="H366" s="22"/>
      <c r="I366" s="22" t="s">
        <v>172</v>
      </c>
      <c r="J366" s="22" t="s">
        <v>113</v>
      </c>
      <c r="K366" s="24" t="s">
        <v>8050</v>
      </c>
      <c r="L366" s="24"/>
      <c r="M366" s="25" t="s">
        <v>4183</v>
      </c>
      <c r="N366" s="22"/>
      <c r="O366" s="22" t="s">
        <v>4184</v>
      </c>
      <c r="P366" s="22" t="str">
        <f>HYPERLINK("https://ceds.ed.gov/cedselementdetails.aspx?termid=21902")</f>
        <v>https://ceds.ed.gov/cedselementdetails.aspx?termid=21902</v>
      </c>
      <c r="Q366" s="22">
        <v>61891</v>
      </c>
    </row>
    <row r="367" spans="1:17" ht="28.8" x14ac:dyDescent="0.3">
      <c r="A367" s="22" t="s">
        <v>7709</v>
      </c>
      <c r="B367" s="22" t="s">
        <v>9194</v>
      </c>
      <c r="C367" s="22" t="s">
        <v>7762</v>
      </c>
      <c r="D367" s="22" t="s">
        <v>7710</v>
      </c>
      <c r="E367" s="22" t="s">
        <v>3042</v>
      </c>
      <c r="F367" s="24" t="s">
        <v>3043</v>
      </c>
      <c r="G367" s="23" t="s">
        <v>32</v>
      </c>
      <c r="H367" s="22"/>
      <c r="I367" s="22"/>
      <c r="J367" s="22" t="s">
        <v>118</v>
      </c>
      <c r="K367" s="24"/>
      <c r="L367" s="24"/>
      <c r="M367" s="25" t="s">
        <v>3044</v>
      </c>
      <c r="N367" s="22"/>
      <c r="O367" s="22" t="s">
        <v>3045</v>
      </c>
      <c r="P367" s="22" t="str">
        <f>HYPERLINK("https://ceds.ed.gov/cedselementdetails.aspx?termid=22335")</f>
        <v>https://ceds.ed.gov/cedselementdetails.aspx?termid=22335</v>
      </c>
      <c r="Q367" s="22">
        <v>61222</v>
      </c>
    </row>
    <row r="368" spans="1:17" ht="43.2" x14ac:dyDescent="0.3">
      <c r="A368" s="22" t="s">
        <v>7709</v>
      </c>
      <c r="B368" s="22" t="s">
        <v>9194</v>
      </c>
      <c r="C368" s="22" t="s">
        <v>7762</v>
      </c>
      <c r="D368" s="22" t="s">
        <v>7710</v>
      </c>
      <c r="E368" s="22" t="s">
        <v>4424</v>
      </c>
      <c r="F368" s="24" t="s">
        <v>4425</v>
      </c>
      <c r="G368" s="26" t="s">
        <v>22</v>
      </c>
      <c r="H368" s="22"/>
      <c r="I368" s="22"/>
      <c r="J368" s="22"/>
      <c r="K368" s="24"/>
      <c r="L368" s="24"/>
      <c r="M368" s="25" t="s">
        <v>4426</v>
      </c>
      <c r="N368" s="22"/>
      <c r="O368" s="22" t="s">
        <v>4427</v>
      </c>
      <c r="P368" s="22" t="str">
        <f>HYPERLINK("https://ceds.ed.gov/cedselementdetails.aspx?termid=22327")</f>
        <v>https://ceds.ed.gov/cedselementdetails.aspx?termid=22327</v>
      </c>
      <c r="Q368" s="22">
        <v>61215</v>
      </c>
    </row>
    <row r="369" spans="1:17" ht="72" x14ac:dyDescent="0.3">
      <c r="A369" s="22" t="s">
        <v>7709</v>
      </c>
      <c r="B369" s="22" t="s">
        <v>9194</v>
      </c>
      <c r="C369" s="22" t="s">
        <v>7762</v>
      </c>
      <c r="D369" s="22" t="s">
        <v>7710</v>
      </c>
      <c r="E369" s="22" t="s">
        <v>4432</v>
      </c>
      <c r="F369" s="24" t="s">
        <v>4433</v>
      </c>
      <c r="G369" s="23" t="s">
        <v>32</v>
      </c>
      <c r="H369" s="22"/>
      <c r="I369" s="22"/>
      <c r="J369" s="22" t="s">
        <v>118</v>
      </c>
      <c r="K369" s="24"/>
      <c r="L369" s="24"/>
      <c r="M369" s="25" t="s">
        <v>4434</v>
      </c>
      <c r="N369" s="22"/>
      <c r="O369" s="22" t="s">
        <v>4435</v>
      </c>
      <c r="P369" s="22" t="str">
        <f>HYPERLINK("https://ceds.ed.gov/cedselementdetails.aspx?termid=22472")</f>
        <v>https://ceds.ed.gov/cedselementdetails.aspx?termid=22472</v>
      </c>
      <c r="Q369" s="22">
        <v>61458</v>
      </c>
    </row>
    <row r="370" spans="1:17" ht="57.6" x14ac:dyDescent="0.3">
      <c r="A370" s="22" t="s">
        <v>7709</v>
      </c>
      <c r="B370" s="22" t="s">
        <v>9194</v>
      </c>
      <c r="C370" s="22" t="s">
        <v>7762</v>
      </c>
      <c r="D370" s="22" t="s">
        <v>7710</v>
      </c>
      <c r="E370" s="22" t="s">
        <v>4440</v>
      </c>
      <c r="F370" s="24" t="s">
        <v>4441</v>
      </c>
      <c r="G370" s="26" t="s">
        <v>22</v>
      </c>
      <c r="H370" s="22"/>
      <c r="I370" s="22"/>
      <c r="J370" s="22"/>
      <c r="K370" s="24"/>
      <c r="L370" s="24"/>
      <c r="M370" s="25" t="s">
        <v>4442</v>
      </c>
      <c r="N370" s="22"/>
      <c r="O370" s="22" t="s">
        <v>4443</v>
      </c>
      <c r="P370" s="22" t="str">
        <f>HYPERLINK("https://ceds.ed.gov/cedselementdetails.aspx?termid=22330")</f>
        <v>https://ceds.ed.gov/cedselementdetails.aspx?termid=22330</v>
      </c>
      <c r="Q370" s="22">
        <v>61218</v>
      </c>
    </row>
    <row r="371" spans="1:17" ht="57.6" x14ac:dyDescent="0.3">
      <c r="A371" s="22" t="s">
        <v>7709</v>
      </c>
      <c r="B371" s="22" t="s">
        <v>9194</v>
      </c>
      <c r="C371" s="22" t="s">
        <v>7762</v>
      </c>
      <c r="D371" s="22" t="s">
        <v>7710</v>
      </c>
      <c r="E371" s="22" t="s">
        <v>4436</v>
      </c>
      <c r="F371" s="24" t="s">
        <v>4437</v>
      </c>
      <c r="G371" s="23" t="s">
        <v>32</v>
      </c>
      <c r="H371" s="22"/>
      <c r="I371" s="22"/>
      <c r="J371" s="22" t="s">
        <v>118</v>
      </c>
      <c r="K371" s="24"/>
      <c r="L371" s="24"/>
      <c r="M371" s="25" t="s">
        <v>4438</v>
      </c>
      <c r="N371" s="22"/>
      <c r="O371" s="22" t="s">
        <v>4439</v>
      </c>
      <c r="P371" s="22" t="str">
        <f>HYPERLINK("https://ceds.ed.gov/cedselementdetails.aspx?termid=22331")</f>
        <v>https://ceds.ed.gov/cedselementdetails.aspx?termid=22331</v>
      </c>
      <c r="Q371" s="22">
        <v>61219</v>
      </c>
    </row>
    <row r="372" spans="1:17" ht="43.2" x14ac:dyDescent="0.3">
      <c r="A372" s="22" t="s">
        <v>7709</v>
      </c>
      <c r="B372" s="22" t="s">
        <v>9194</v>
      </c>
      <c r="C372" s="22" t="s">
        <v>7762</v>
      </c>
      <c r="D372" s="22" t="s">
        <v>7710</v>
      </c>
      <c r="E372" s="22" t="s">
        <v>7280</v>
      </c>
      <c r="F372" s="24" t="s">
        <v>7281</v>
      </c>
      <c r="G372" s="23" t="s">
        <v>32</v>
      </c>
      <c r="H372" s="22"/>
      <c r="I372" s="22"/>
      <c r="J372" s="22" t="s">
        <v>118</v>
      </c>
      <c r="K372" s="24"/>
      <c r="L372" s="24"/>
      <c r="M372" s="25" t="s">
        <v>7282</v>
      </c>
      <c r="N372" s="22"/>
      <c r="O372" s="22" t="s">
        <v>7283</v>
      </c>
      <c r="P372" s="22" t="str">
        <f>HYPERLINK("https://ceds.ed.gov/cedselementdetails.aspx?termid=22333")</f>
        <v>https://ceds.ed.gov/cedselementdetails.aspx?termid=22333</v>
      </c>
      <c r="Q372" s="22">
        <v>61220</v>
      </c>
    </row>
    <row r="373" spans="1:17" ht="86.4" x14ac:dyDescent="0.3">
      <c r="A373" s="22" t="s">
        <v>7709</v>
      </c>
      <c r="B373" s="22" t="s">
        <v>9194</v>
      </c>
      <c r="C373" s="22" t="s">
        <v>7762</v>
      </c>
      <c r="D373" s="22" t="s">
        <v>7710</v>
      </c>
      <c r="E373" s="22" t="s">
        <v>6353</v>
      </c>
      <c r="F373" s="24" t="s">
        <v>6354</v>
      </c>
      <c r="G373" s="26" t="s">
        <v>9123</v>
      </c>
      <c r="H373" s="22"/>
      <c r="I373" s="22"/>
      <c r="J373" s="22"/>
      <c r="K373" s="24"/>
      <c r="L373" s="24"/>
      <c r="M373" s="25" t="s">
        <v>6355</v>
      </c>
      <c r="N373" s="22"/>
      <c r="O373" s="22" t="s">
        <v>6356</v>
      </c>
      <c r="P373" s="22" t="str">
        <f>HYPERLINK("https://ceds.ed.gov/cedselementdetails.aspx?termid=22494")</f>
        <v>https://ceds.ed.gov/cedselementdetails.aspx?termid=22494</v>
      </c>
      <c r="Q373" s="22">
        <v>61674</v>
      </c>
    </row>
    <row r="374" spans="1:17" ht="57.6" x14ac:dyDescent="0.3">
      <c r="A374" s="22" t="s">
        <v>7709</v>
      </c>
      <c r="B374" s="22" t="s">
        <v>9194</v>
      </c>
      <c r="C374" s="22" t="s">
        <v>7762</v>
      </c>
      <c r="D374" s="22" t="s">
        <v>7710</v>
      </c>
      <c r="E374" s="22" t="s">
        <v>7284</v>
      </c>
      <c r="F374" s="24" t="s">
        <v>7285</v>
      </c>
      <c r="G374" s="23" t="s">
        <v>32</v>
      </c>
      <c r="H374" s="22"/>
      <c r="I374" s="22"/>
      <c r="J374" s="22" t="s">
        <v>118</v>
      </c>
      <c r="K374" s="24"/>
      <c r="L374" s="24"/>
      <c r="M374" s="25" t="s">
        <v>7286</v>
      </c>
      <c r="N374" s="22"/>
      <c r="O374" s="22" t="s">
        <v>7287</v>
      </c>
      <c r="P374" s="22" t="str">
        <f>HYPERLINK("https://ceds.ed.gov/cedselementdetails.aspx?termid=22334")</f>
        <v>https://ceds.ed.gov/cedselementdetails.aspx?termid=22334</v>
      </c>
      <c r="Q374" s="22">
        <v>61221</v>
      </c>
    </row>
    <row r="375" spans="1:17" ht="43.2" x14ac:dyDescent="0.3">
      <c r="A375" s="22" t="s">
        <v>7709</v>
      </c>
      <c r="B375" s="22" t="s">
        <v>9194</v>
      </c>
      <c r="C375" s="22" t="s">
        <v>7763</v>
      </c>
      <c r="D375" s="22" t="s">
        <v>7710</v>
      </c>
      <c r="E375" s="22" t="s">
        <v>2025</v>
      </c>
      <c r="F375" s="24" t="s">
        <v>2026</v>
      </c>
      <c r="G375" s="26" t="s">
        <v>22</v>
      </c>
      <c r="H375" s="22"/>
      <c r="I375" s="22"/>
      <c r="J375" s="22"/>
      <c r="K375" s="24"/>
      <c r="L375" s="24"/>
      <c r="M375" s="25" t="s">
        <v>2027</v>
      </c>
      <c r="N375" s="22" t="s">
        <v>2028</v>
      </c>
      <c r="O375" s="22" t="s">
        <v>2029</v>
      </c>
      <c r="P375" s="22" t="str">
        <f>HYPERLINK("https://ceds.ed.gov/cedselementdetails.aspx?termid=22476")</f>
        <v>https://ceds.ed.gov/cedselementdetails.aspx?termid=22476</v>
      </c>
      <c r="Q375" s="22">
        <v>61694</v>
      </c>
    </row>
    <row r="376" spans="1:17" ht="57.6" x14ac:dyDescent="0.3">
      <c r="A376" s="22" t="s">
        <v>7709</v>
      </c>
      <c r="B376" s="22" t="s">
        <v>9194</v>
      </c>
      <c r="C376" s="22" t="s">
        <v>7763</v>
      </c>
      <c r="D376" s="22" t="s">
        <v>7710</v>
      </c>
      <c r="E376" s="22" t="s">
        <v>2030</v>
      </c>
      <c r="F376" s="24" t="s">
        <v>2031</v>
      </c>
      <c r="G376" s="26" t="s">
        <v>22</v>
      </c>
      <c r="H376" s="22"/>
      <c r="I376" s="22"/>
      <c r="J376" s="22"/>
      <c r="K376" s="24"/>
      <c r="L376" s="24"/>
      <c r="M376" s="25" t="s">
        <v>2032</v>
      </c>
      <c r="N376" s="22" t="s">
        <v>2033</v>
      </c>
      <c r="O376" s="22" t="s">
        <v>2034</v>
      </c>
      <c r="P376" s="22" t="str">
        <f>HYPERLINK("https://ceds.ed.gov/cedselementdetails.aspx?termid=22477")</f>
        <v>https://ceds.ed.gov/cedselementdetails.aspx?termid=22477</v>
      </c>
      <c r="Q376" s="22">
        <v>61693</v>
      </c>
    </row>
    <row r="377" spans="1:17" ht="43.2" x14ac:dyDescent="0.3">
      <c r="A377" s="22" t="s">
        <v>7709</v>
      </c>
      <c r="B377" s="22" t="s">
        <v>9194</v>
      </c>
      <c r="C377" s="22" t="s">
        <v>7763</v>
      </c>
      <c r="D377" s="22" t="s">
        <v>7710</v>
      </c>
      <c r="E377" s="22" t="s">
        <v>2035</v>
      </c>
      <c r="F377" s="24" t="s">
        <v>2036</v>
      </c>
      <c r="G377" s="26" t="s">
        <v>22</v>
      </c>
      <c r="H377" s="22"/>
      <c r="I377" s="22"/>
      <c r="J377" s="22"/>
      <c r="K377" s="24"/>
      <c r="L377" s="24"/>
      <c r="M377" s="25" t="s">
        <v>2037</v>
      </c>
      <c r="N377" s="22" t="s">
        <v>2038</v>
      </c>
      <c r="O377" s="22" t="s">
        <v>2039</v>
      </c>
      <c r="P377" s="22" t="str">
        <f>HYPERLINK("https://ceds.ed.gov/cedselementdetails.aspx?termid=22478")</f>
        <v>https://ceds.ed.gov/cedselementdetails.aspx?termid=22478</v>
      </c>
      <c r="Q377" s="22">
        <v>61692</v>
      </c>
    </row>
    <row r="378" spans="1:17" ht="216" x14ac:dyDescent="0.3">
      <c r="A378" s="22" t="s">
        <v>7709</v>
      </c>
      <c r="B378" s="22" t="s">
        <v>9194</v>
      </c>
      <c r="C378" s="22" t="s">
        <v>7763</v>
      </c>
      <c r="D378" s="22" t="s">
        <v>7710</v>
      </c>
      <c r="E378" s="22" t="s">
        <v>2040</v>
      </c>
      <c r="F378" s="24" t="s">
        <v>2041</v>
      </c>
      <c r="G378" s="26" t="s">
        <v>8724</v>
      </c>
      <c r="H378" s="22"/>
      <c r="I378" s="22"/>
      <c r="J378" s="22"/>
      <c r="K378" s="24"/>
      <c r="L378" s="24"/>
      <c r="M378" s="25" t="s">
        <v>2042</v>
      </c>
      <c r="N378" s="22" t="s">
        <v>2043</v>
      </c>
      <c r="O378" s="22" t="s">
        <v>2044</v>
      </c>
      <c r="P378" s="22" t="str">
        <f>HYPERLINK("https://ceds.ed.gov/cedselementdetails.aspx?termid=22479")</f>
        <v>https://ceds.ed.gov/cedselementdetails.aspx?termid=22479</v>
      </c>
      <c r="Q378" s="22">
        <v>61689</v>
      </c>
    </row>
    <row r="379" spans="1:17" ht="216" x14ac:dyDescent="0.3">
      <c r="A379" s="22" t="s">
        <v>7709</v>
      </c>
      <c r="B379" s="22" t="s">
        <v>9194</v>
      </c>
      <c r="C379" s="22" t="s">
        <v>7763</v>
      </c>
      <c r="D379" s="22" t="s">
        <v>7710</v>
      </c>
      <c r="E379" s="22" t="s">
        <v>2045</v>
      </c>
      <c r="F379" s="24" t="s">
        <v>2046</v>
      </c>
      <c r="G379" s="26" t="s">
        <v>8724</v>
      </c>
      <c r="H379" s="22"/>
      <c r="I379" s="22"/>
      <c r="J379" s="22"/>
      <c r="K379" s="24"/>
      <c r="L379" s="24"/>
      <c r="M379" s="25" t="s">
        <v>2047</v>
      </c>
      <c r="N379" s="22" t="s">
        <v>2048</v>
      </c>
      <c r="O379" s="22" t="s">
        <v>2049</v>
      </c>
      <c r="P379" s="22" t="str">
        <f>HYPERLINK("https://ceds.ed.gov/cedselementdetails.aspx?termid=22480")</f>
        <v>https://ceds.ed.gov/cedselementdetails.aspx?termid=22480</v>
      </c>
      <c r="Q379" s="22">
        <v>61690</v>
      </c>
    </row>
    <row r="380" spans="1:17" ht="216" x14ac:dyDescent="0.3">
      <c r="A380" s="22" t="s">
        <v>7709</v>
      </c>
      <c r="B380" s="22" t="s">
        <v>9194</v>
      </c>
      <c r="C380" s="22" t="s">
        <v>7763</v>
      </c>
      <c r="D380" s="22" t="s">
        <v>7710</v>
      </c>
      <c r="E380" s="22" t="s">
        <v>2050</v>
      </c>
      <c r="F380" s="24" t="s">
        <v>2051</v>
      </c>
      <c r="G380" s="26" t="s">
        <v>8724</v>
      </c>
      <c r="H380" s="22"/>
      <c r="I380" s="22"/>
      <c r="J380" s="22"/>
      <c r="K380" s="24"/>
      <c r="L380" s="24"/>
      <c r="M380" s="25" t="s">
        <v>2052</v>
      </c>
      <c r="N380" s="22" t="s">
        <v>2053</v>
      </c>
      <c r="O380" s="22" t="s">
        <v>2054</v>
      </c>
      <c r="P380" s="22" t="str">
        <f>HYPERLINK("https://ceds.ed.gov/cedselementdetails.aspx?termid=22481")</f>
        <v>https://ceds.ed.gov/cedselementdetails.aspx?termid=22481</v>
      </c>
      <c r="Q380" s="22">
        <v>61691</v>
      </c>
    </row>
    <row r="381" spans="1:17" ht="72" x14ac:dyDescent="0.3">
      <c r="A381" s="22" t="s">
        <v>7709</v>
      </c>
      <c r="B381" s="22" t="s">
        <v>9194</v>
      </c>
      <c r="C381" s="22" t="s">
        <v>7763</v>
      </c>
      <c r="D381" s="22" t="s">
        <v>7710</v>
      </c>
      <c r="E381" s="22" t="s">
        <v>3368</v>
      </c>
      <c r="F381" s="24" t="s">
        <v>3369</v>
      </c>
      <c r="G381" s="26" t="s">
        <v>8821</v>
      </c>
      <c r="H381" s="22"/>
      <c r="I381" s="22"/>
      <c r="J381" s="22"/>
      <c r="K381" s="24"/>
      <c r="L381" s="24"/>
      <c r="M381" s="25" t="s">
        <v>3370</v>
      </c>
      <c r="N381" s="22"/>
      <c r="O381" s="22" t="s">
        <v>3371</v>
      </c>
      <c r="P381" s="22" t="str">
        <f>HYPERLINK("https://ceds.ed.gov/cedselementdetails.aspx?termid=22303")</f>
        <v>https://ceds.ed.gov/cedselementdetails.aspx?termid=22303</v>
      </c>
      <c r="Q381" s="22">
        <v>62375</v>
      </c>
    </row>
    <row r="382" spans="1:17" ht="72" x14ac:dyDescent="0.3">
      <c r="A382" s="22" t="s">
        <v>7709</v>
      </c>
      <c r="B382" s="22" t="s">
        <v>9194</v>
      </c>
      <c r="C382" s="22" t="s">
        <v>7763</v>
      </c>
      <c r="D382" s="22" t="s">
        <v>7710</v>
      </c>
      <c r="E382" s="22" t="s">
        <v>3372</v>
      </c>
      <c r="F382" s="24" t="s">
        <v>3373</v>
      </c>
      <c r="G382" s="26" t="s">
        <v>8822</v>
      </c>
      <c r="H382" s="22"/>
      <c r="I382" s="22"/>
      <c r="J382" s="22"/>
      <c r="K382" s="24"/>
      <c r="L382" s="24"/>
      <c r="M382" s="25" t="s">
        <v>3374</v>
      </c>
      <c r="N382" s="22"/>
      <c r="O382" s="22" t="s">
        <v>3375</v>
      </c>
      <c r="P382" s="22" t="str">
        <f>HYPERLINK("https://ceds.ed.gov/cedselementdetails.aspx?termid=22475")</f>
        <v>https://ceds.ed.gov/cedselementdetails.aspx?termid=22475</v>
      </c>
      <c r="Q382" s="22">
        <v>62376</v>
      </c>
    </row>
    <row r="383" spans="1:17" ht="409.6" x14ac:dyDescent="0.3">
      <c r="A383" s="22" t="s">
        <v>7709</v>
      </c>
      <c r="B383" s="22" t="s">
        <v>9194</v>
      </c>
      <c r="C383" s="22" t="s">
        <v>7764</v>
      </c>
      <c r="D383" s="22" t="s">
        <v>7710</v>
      </c>
      <c r="E383" s="22" t="s">
        <v>6230</v>
      </c>
      <c r="F383" s="24" t="s">
        <v>6231</v>
      </c>
      <c r="G383" s="26" t="s">
        <v>8506</v>
      </c>
      <c r="H383" s="24" t="s">
        <v>64</v>
      </c>
      <c r="I383" s="22" t="s">
        <v>172</v>
      </c>
      <c r="J383" s="22"/>
      <c r="K383" s="24" t="s">
        <v>8285</v>
      </c>
      <c r="L383" s="24"/>
      <c r="M383" s="25" t="s">
        <v>6232</v>
      </c>
      <c r="N383" s="22"/>
      <c r="O383" s="22" t="s">
        <v>6233</v>
      </c>
      <c r="P383" s="22" t="str">
        <f>HYPERLINK("https://ceds.ed.gov/cedselementdetails.aspx?termid=21225")</f>
        <v>https://ceds.ed.gov/cedselementdetails.aspx?termid=21225</v>
      </c>
      <c r="Q383" s="22">
        <v>62446</v>
      </c>
    </row>
    <row r="384" spans="1:17" ht="187.2" x14ac:dyDescent="0.3">
      <c r="A384" s="22" t="s">
        <v>7709</v>
      </c>
      <c r="B384" s="22" t="s">
        <v>9194</v>
      </c>
      <c r="C384" s="22" t="s">
        <v>7764</v>
      </c>
      <c r="D384" s="22" t="s">
        <v>7710</v>
      </c>
      <c r="E384" s="22" t="s">
        <v>3277</v>
      </c>
      <c r="F384" s="24" t="s">
        <v>3278</v>
      </c>
      <c r="G384" s="26" t="s">
        <v>8811</v>
      </c>
      <c r="H384" s="22" t="s">
        <v>109</v>
      </c>
      <c r="I384" s="22"/>
      <c r="J384" s="22"/>
      <c r="K384" s="24"/>
      <c r="L384" s="24"/>
      <c r="M384" s="25" t="s">
        <v>3279</v>
      </c>
      <c r="N384" s="22"/>
      <c r="O384" s="22" t="s">
        <v>3280</v>
      </c>
      <c r="P384" s="22" t="str">
        <f>HYPERLINK("https://ceds.ed.gov/cedselementdetails.aspx?termid=21829")</f>
        <v>https://ceds.ed.gov/cedselementdetails.aspx?termid=21829</v>
      </c>
      <c r="Q384" s="22">
        <v>62133</v>
      </c>
    </row>
    <row r="385" spans="1:17" ht="115.2" x14ac:dyDescent="0.3">
      <c r="A385" s="22" t="s">
        <v>7709</v>
      </c>
      <c r="B385" s="22" t="s">
        <v>9194</v>
      </c>
      <c r="C385" s="22" t="s">
        <v>7764</v>
      </c>
      <c r="D385" s="22" t="s">
        <v>7710</v>
      </c>
      <c r="E385" s="22" t="s">
        <v>6202</v>
      </c>
      <c r="F385" s="24" t="s">
        <v>6203</v>
      </c>
      <c r="G385" s="26" t="s">
        <v>9109</v>
      </c>
      <c r="H385" s="22" t="s">
        <v>2608</v>
      </c>
      <c r="I385" s="22"/>
      <c r="J385" s="22"/>
      <c r="K385" s="24"/>
      <c r="L385" s="24"/>
      <c r="M385" s="25" t="s">
        <v>6204</v>
      </c>
      <c r="N385" s="22"/>
      <c r="O385" s="22" t="s">
        <v>6205</v>
      </c>
      <c r="P385" s="22" t="str">
        <f>HYPERLINK("https://ceds.ed.gov/cedselementdetails.aspx?termid=22209")</f>
        <v>https://ceds.ed.gov/cedselementdetails.aspx?termid=22209</v>
      </c>
      <c r="Q385" s="22">
        <v>62447</v>
      </c>
    </row>
    <row r="386" spans="1:17" ht="57.6" x14ac:dyDescent="0.3">
      <c r="A386" s="22" t="s">
        <v>7709</v>
      </c>
      <c r="B386" s="22" t="s">
        <v>9194</v>
      </c>
      <c r="C386" s="22" t="s">
        <v>7764</v>
      </c>
      <c r="D386" s="22" t="s">
        <v>7710</v>
      </c>
      <c r="E386" s="22" t="s">
        <v>6197</v>
      </c>
      <c r="F386" s="24" t="s">
        <v>6198</v>
      </c>
      <c r="G386" s="23" t="s">
        <v>32</v>
      </c>
      <c r="H386" s="24" t="s">
        <v>6201</v>
      </c>
      <c r="I386" s="22"/>
      <c r="J386" s="22" t="s">
        <v>118</v>
      </c>
      <c r="K386" s="24"/>
      <c r="L386" s="24"/>
      <c r="M386" s="25" t="s">
        <v>6199</v>
      </c>
      <c r="N386" s="22"/>
      <c r="O386" s="22" t="s">
        <v>6200</v>
      </c>
      <c r="P386" s="22" t="str">
        <f>HYPERLINK("https://ceds.ed.gov/cedselementdetails.aspx?termid=21583")</f>
        <v>https://ceds.ed.gov/cedselementdetails.aspx?termid=21583</v>
      </c>
      <c r="Q386" s="22">
        <v>58661</v>
      </c>
    </row>
    <row r="387" spans="1:17" ht="57.6" x14ac:dyDescent="0.3">
      <c r="A387" s="22" t="s">
        <v>7709</v>
      </c>
      <c r="B387" s="22" t="s">
        <v>9194</v>
      </c>
      <c r="C387" s="22" t="s">
        <v>7764</v>
      </c>
      <c r="D387" s="22" t="s">
        <v>7710</v>
      </c>
      <c r="E387" s="22" t="s">
        <v>6193</v>
      </c>
      <c r="F387" s="24" t="s">
        <v>1938</v>
      </c>
      <c r="G387" s="23" t="s">
        <v>32</v>
      </c>
      <c r="H387" s="24" t="s">
        <v>6196</v>
      </c>
      <c r="I387" s="22"/>
      <c r="J387" s="22" t="s">
        <v>118</v>
      </c>
      <c r="K387" s="24"/>
      <c r="L387" s="24" t="s">
        <v>143</v>
      </c>
      <c r="M387" s="25" t="s">
        <v>6194</v>
      </c>
      <c r="N387" s="22"/>
      <c r="O387" s="22" t="s">
        <v>6195</v>
      </c>
      <c r="P387" s="22" t="str">
        <f>HYPERLINK("https://ceds.ed.gov/cedselementdetails.aspx?termid=21584")</f>
        <v>https://ceds.ed.gov/cedselementdetails.aspx?termid=21584</v>
      </c>
      <c r="Q387" s="22">
        <v>58662</v>
      </c>
    </row>
    <row r="388" spans="1:17" ht="409.6" x14ac:dyDescent="0.3">
      <c r="A388" s="22" t="s">
        <v>7709</v>
      </c>
      <c r="B388" s="22" t="s">
        <v>9194</v>
      </c>
      <c r="C388" s="22" t="s">
        <v>7764</v>
      </c>
      <c r="D388" s="22" t="s">
        <v>7710</v>
      </c>
      <c r="E388" s="22" t="s">
        <v>3629</v>
      </c>
      <c r="F388" s="24" t="s">
        <v>3630</v>
      </c>
      <c r="G388" s="26" t="s">
        <v>8858</v>
      </c>
      <c r="H388" s="22"/>
      <c r="I388" s="22"/>
      <c r="J388" s="22"/>
      <c r="K388" s="24"/>
      <c r="L388" s="24"/>
      <c r="M388" s="25" t="s">
        <v>3631</v>
      </c>
      <c r="N388" s="22"/>
      <c r="O388" s="22" t="s">
        <v>3632</v>
      </c>
      <c r="P388" s="22" t="str">
        <f>HYPERLINK("https://ceds.ed.gov/cedselementdetails.aspx?termid=21222")</f>
        <v>https://ceds.ed.gov/cedselementdetails.aspx?termid=21222</v>
      </c>
      <c r="Q388" s="22">
        <v>62450</v>
      </c>
    </row>
    <row r="389" spans="1:17" ht="115.2" x14ac:dyDescent="0.3">
      <c r="A389" s="22" t="s">
        <v>7709</v>
      </c>
      <c r="B389" s="22" t="s">
        <v>9194</v>
      </c>
      <c r="C389" s="22" t="s">
        <v>7764</v>
      </c>
      <c r="D389" s="22" t="s">
        <v>7710</v>
      </c>
      <c r="E389" s="22" t="s">
        <v>2127</v>
      </c>
      <c r="F389" s="24" t="s">
        <v>2128</v>
      </c>
      <c r="G389" s="26" t="s">
        <v>8730</v>
      </c>
      <c r="H389" s="22"/>
      <c r="I389" s="22"/>
      <c r="J389" s="22"/>
      <c r="K389" s="24"/>
      <c r="L389" s="24"/>
      <c r="M389" s="25" t="s">
        <v>2129</v>
      </c>
      <c r="N389" s="22"/>
      <c r="O389" s="22" t="s">
        <v>2130</v>
      </c>
      <c r="P389" s="22" t="str">
        <f>HYPERLINK("https://ceds.ed.gov/cedselementdetails.aspx?termid=22614")</f>
        <v>https://ceds.ed.gov/cedselementdetails.aspx?termid=22614</v>
      </c>
      <c r="Q389" s="22">
        <v>62130</v>
      </c>
    </row>
    <row r="390" spans="1:17" ht="43.2" x14ac:dyDescent="0.3">
      <c r="A390" s="22" t="s">
        <v>7709</v>
      </c>
      <c r="B390" s="22" t="s">
        <v>9194</v>
      </c>
      <c r="C390" s="22" t="s">
        <v>7764</v>
      </c>
      <c r="D390" s="22" t="s">
        <v>7710</v>
      </c>
      <c r="E390" s="22" t="s">
        <v>4622</v>
      </c>
      <c r="F390" s="24" t="s">
        <v>4623</v>
      </c>
      <c r="G390" s="26" t="s">
        <v>22</v>
      </c>
      <c r="H390" s="22"/>
      <c r="I390" s="22"/>
      <c r="J390" s="22"/>
      <c r="K390" s="24"/>
      <c r="L390" s="24"/>
      <c r="M390" s="25" t="s">
        <v>4624</v>
      </c>
      <c r="N390" s="22"/>
      <c r="O390" s="22" t="s">
        <v>4625</v>
      </c>
      <c r="P390" s="22" t="str">
        <f>HYPERLINK("https://ceds.ed.gov/cedselementdetails.aspx?termid=22615")</f>
        <v>https://ceds.ed.gov/cedselementdetails.aspx?termid=22615</v>
      </c>
      <c r="Q390" s="22">
        <v>62139</v>
      </c>
    </row>
    <row r="391" spans="1:17" ht="187.2" x14ac:dyDescent="0.3">
      <c r="A391" s="22" t="s">
        <v>7709</v>
      </c>
      <c r="B391" s="22" t="s">
        <v>9194</v>
      </c>
      <c r="C391" s="22" t="s">
        <v>7764</v>
      </c>
      <c r="D391" s="22" t="s">
        <v>7710</v>
      </c>
      <c r="E391" s="22" t="s">
        <v>5679</v>
      </c>
      <c r="F391" s="24" t="s">
        <v>5680</v>
      </c>
      <c r="G391" s="26" t="s">
        <v>8485</v>
      </c>
      <c r="H391" s="22" t="s">
        <v>109</v>
      </c>
      <c r="I391" s="22" t="s">
        <v>172</v>
      </c>
      <c r="J391" s="22"/>
      <c r="K391" s="24" t="s">
        <v>7946</v>
      </c>
      <c r="L391" s="24"/>
      <c r="M391" s="25" t="s">
        <v>5681</v>
      </c>
      <c r="N391" s="22"/>
      <c r="O391" s="22" t="s">
        <v>5682</v>
      </c>
      <c r="P391" s="22" t="str">
        <f>HYPERLINK("https://ceds.ed.gov/cedselementdetails.aspx?termid=21827")</f>
        <v>https://ceds.ed.gov/cedselementdetails.aspx?termid=21827</v>
      </c>
      <c r="Q391" s="22">
        <v>62379</v>
      </c>
    </row>
    <row r="392" spans="1:17" ht="230.4" x14ac:dyDescent="0.3">
      <c r="A392" s="22" t="s">
        <v>7709</v>
      </c>
      <c r="B392" s="22" t="s">
        <v>9194</v>
      </c>
      <c r="C392" s="22" t="s">
        <v>7764</v>
      </c>
      <c r="D392" s="22" t="s">
        <v>7710</v>
      </c>
      <c r="E392" s="22" t="s">
        <v>6451</v>
      </c>
      <c r="F392" s="24" t="s">
        <v>8296</v>
      </c>
      <c r="G392" s="23" t="s">
        <v>32</v>
      </c>
      <c r="H392" s="22"/>
      <c r="I392" s="22"/>
      <c r="J392" s="22" t="s">
        <v>132</v>
      </c>
      <c r="K392" s="24"/>
      <c r="L392" s="24" t="s">
        <v>8297</v>
      </c>
      <c r="M392" s="25" t="s">
        <v>6453</v>
      </c>
      <c r="N392" s="22"/>
      <c r="O392" s="22" t="s">
        <v>6454</v>
      </c>
      <c r="P392" s="22" t="str">
        <f>HYPERLINK("https://ceds.ed.gov/cedselementdetails.aspx?termid=22438")</f>
        <v>https://ceds.ed.gov/cedselementdetails.aspx?termid=22438</v>
      </c>
      <c r="Q392" s="22">
        <v>62383</v>
      </c>
    </row>
    <row r="393" spans="1:17" ht="115.2" x14ac:dyDescent="0.3">
      <c r="A393" s="22" t="s">
        <v>7709</v>
      </c>
      <c r="B393" s="22" t="s">
        <v>9194</v>
      </c>
      <c r="C393" s="22" t="s">
        <v>7764</v>
      </c>
      <c r="D393" s="22" t="s">
        <v>7710</v>
      </c>
      <c r="E393" s="22" t="s">
        <v>6455</v>
      </c>
      <c r="F393" s="24" t="s">
        <v>6456</v>
      </c>
      <c r="G393" s="26" t="s">
        <v>9132</v>
      </c>
      <c r="H393" s="22"/>
      <c r="I393" s="22"/>
      <c r="J393" s="22"/>
      <c r="K393" s="24"/>
      <c r="L393" s="24" t="s">
        <v>6452</v>
      </c>
      <c r="M393" s="25" t="s">
        <v>6457</v>
      </c>
      <c r="N393" s="22"/>
      <c r="O393" s="22" t="s">
        <v>6458</v>
      </c>
      <c r="P393" s="22" t="str">
        <f>HYPERLINK("https://ceds.ed.gov/cedselementdetails.aspx?termid=22439")</f>
        <v>https://ceds.ed.gov/cedselementdetails.aspx?termid=22439</v>
      </c>
      <c r="Q393" s="22">
        <v>62386</v>
      </c>
    </row>
    <row r="394" spans="1:17" ht="172.8" x14ac:dyDescent="0.3">
      <c r="A394" s="22" t="s">
        <v>7709</v>
      </c>
      <c r="B394" s="22" t="s">
        <v>9194</v>
      </c>
      <c r="C394" s="22" t="s">
        <v>7764</v>
      </c>
      <c r="D394" s="22" t="s">
        <v>7710</v>
      </c>
      <c r="E394" s="22" t="s">
        <v>6174</v>
      </c>
      <c r="F394" s="24" t="s">
        <v>6175</v>
      </c>
      <c r="G394" s="23" t="s">
        <v>32</v>
      </c>
      <c r="H394" s="22" t="s">
        <v>2608</v>
      </c>
      <c r="I394" s="22" t="s">
        <v>172</v>
      </c>
      <c r="J394" s="22" t="s">
        <v>132</v>
      </c>
      <c r="K394" s="24" t="s">
        <v>8282</v>
      </c>
      <c r="L394" s="24" t="s">
        <v>7945</v>
      </c>
      <c r="M394" s="25" t="s">
        <v>6176</v>
      </c>
      <c r="N394" s="22"/>
      <c r="O394" s="22" t="s">
        <v>6177</v>
      </c>
      <c r="P394" s="22" t="str">
        <f>HYPERLINK("https://ceds.ed.gov/cedselementdetails.aspx?termid=21618")</f>
        <v>https://ceds.ed.gov/cedselementdetails.aspx?termid=21618</v>
      </c>
      <c r="Q394" s="22">
        <v>62451</v>
      </c>
    </row>
    <row r="395" spans="1:17" ht="43.2" x14ac:dyDescent="0.3">
      <c r="A395" s="22" t="s">
        <v>7709</v>
      </c>
      <c r="B395" s="22" t="s">
        <v>9194</v>
      </c>
      <c r="C395" s="22" t="s">
        <v>7764</v>
      </c>
      <c r="D395" s="22" t="s">
        <v>7710</v>
      </c>
      <c r="E395" s="22" t="s">
        <v>6189</v>
      </c>
      <c r="F395" s="24" t="s">
        <v>6190</v>
      </c>
      <c r="G395" s="23" t="s">
        <v>32</v>
      </c>
      <c r="H395" s="22" t="s">
        <v>2608</v>
      </c>
      <c r="I395" s="22" t="s">
        <v>172</v>
      </c>
      <c r="J395" s="22" t="s">
        <v>157</v>
      </c>
      <c r="K395" s="24" t="s">
        <v>8282</v>
      </c>
      <c r="L395" s="24"/>
      <c r="M395" s="25" t="s">
        <v>6191</v>
      </c>
      <c r="N395" s="22"/>
      <c r="O395" s="22" t="s">
        <v>6192</v>
      </c>
      <c r="P395" s="22" t="str">
        <f>HYPERLINK("https://ceds.ed.gov/cedselementdetails.aspx?termid=21619")</f>
        <v>https://ceds.ed.gov/cedselementdetails.aspx?termid=21619</v>
      </c>
      <c r="Q395" s="22">
        <v>62452</v>
      </c>
    </row>
    <row r="396" spans="1:17" ht="28.8" x14ac:dyDescent="0.3">
      <c r="A396" s="22" t="s">
        <v>7709</v>
      </c>
      <c r="B396" s="22" t="s">
        <v>9194</v>
      </c>
      <c r="C396" s="22" t="s">
        <v>7764</v>
      </c>
      <c r="D396" s="22" t="s">
        <v>7710</v>
      </c>
      <c r="E396" s="22" t="s">
        <v>6157</v>
      </c>
      <c r="F396" s="24" t="s">
        <v>6158</v>
      </c>
      <c r="G396" s="23" t="s">
        <v>32</v>
      </c>
      <c r="H396" s="22"/>
      <c r="I396" s="22"/>
      <c r="J396" s="22" t="s">
        <v>113</v>
      </c>
      <c r="K396" s="24"/>
      <c r="L396" s="24"/>
      <c r="M396" s="25" t="s">
        <v>6159</v>
      </c>
      <c r="N396" s="22"/>
      <c r="O396" s="22" t="s">
        <v>6160</v>
      </c>
      <c r="P396" s="22" t="str">
        <f>HYPERLINK("https://ceds.ed.gov/cedselementdetails.aspx?termid=22909")</f>
        <v>https://ceds.ed.gov/cedselementdetails.aspx?termid=22909</v>
      </c>
      <c r="Q396" s="22">
        <v>63269</v>
      </c>
    </row>
    <row r="397" spans="1:17" ht="216" x14ac:dyDescent="0.3">
      <c r="A397" s="22" t="s">
        <v>7709</v>
      </c>
      <c r="B397" s="22" t="s">
        <v>9194</v>
      </c>
      <c r="C397" s="22" t="s">
        <v>7764</v>
      </c>
      <c r="D397" s="22" t="s">
        <v>7710</v>
      </c>
      <c r="E397" s="22" t="s">
        <v>7656</v>
      </c>
      <c r="F397" s="24" t="s">
        <v>7657</v>
      </c>
      <c r="G397" s="26" t="s">
        <v>8514</v>
      </c>
      <c r="H397" s="22"/>
      <c r="I397" s="22" t="s">
        <v>172</v>
      </c>
      <c r="J397" s="22"/>
      <c r="K397" s="24" t="s">
        <v>7995</v>
      </c>
      <c r="L397" s="24"/>
      <c r="M397" s="25" t="s">
        <v>7658</v>
      </c>
      <c r="N397" s="22"/>
      <c r="O397" s="22" t="s">
        <v>7656</v>
      </c>
      <c r="P397" s="22" t="str">
        <f>HYPERLINK("https://ceds.ed.gov/cedselementdetails.aspx?termid=22959")</f>
        <v>https://ceds.ed.gov/cedselementdetails.aspx?termid=22959</v>
      </c>
      <c r="Q397" s="22">
        <v>63508</v>
      </c>
    </row>
    <row r="398" spans="1:17" ht="43.2" x14ac:dyDescent="0.3">
      <c r="A398" s="22" t="s">
        <v>7709</v>
      </c>
      <c r="B398" s="22" t="s">
        <v>9194</v>
      </c>
      <c r="C398" s="22" t="s">
        <v>7765</v>
      </c>
      <c r="D398" s="22" t="s">
        <v>7710</v>
      </c>
      <c r="E398" s="22" t="s">
        <v>4355</v>
      </c>
      <c r="F398" s="24" t="s">
        <v>8213</v>
      </c>
      <c r="G398" s="26" t="s">
        <v>22</v>
      </c>
      <c r="H398" s="22"/>
      <c r="I398" s="22"/>
      <c r="J398" s="22"/>
      <c r="K398" s="24"/>
      <c r="L398" s="24"/>
      <c r="M398" s="25" t="s">
        <v>4356</v>
      </c>
      <c r="N398" s="22"/>
      <c r="O398" s="22" t="s">
        <v>4357</v>
      </c>
      <c r="P398" s="22" t="str">
        <f>HYPERLINK("https://ceds.ed.gov/cedselementdetails.aspx?termid=21147")</f>
        <v>https://ceds.ed.gov/cedselementdetails.aspx?termid=21147</v>
      </c>
      <c r="Q398" s="22">
        <v>63165</v>
      </c>
    </row>
    <row r="399" spans="1:17" ht="100.8" x14ac:dyDescent="0.3">
      <c r="A399" s="22" t="s">
        <v>7709</v>
      </c>
      <c r="B399" s="22" t="s">
        <v>9194</v>
      </c>
      <c r="C399" s="22" t="s">
        <v>7765</v>
      </c>
      <c r="D399" s="22" t="s">
        <v>7710</v>
      </c>
      <c r="E399" s="22" t="s">
        <v>4351</v>
      </c>
      <c r="F399" s="24" t="s">
        <v>4352</v>
      </c>
      <c r="G399" s="26" t="s">
        <v>8926</v>
      </c>
      <c r="H399" s="22" t="s">
        <v>226</v>
      </c>
      <c r="I399" s="22"/>
      <c r="J399" s="22"/>
      <c r="K399" s="24"/>
      <c r="L399" s="24"/>
      <c r="M399" s="25" t="s">
        <v>4353</v>
      </c>
      <c r="N399" s="22"/>
      <c r="O399" s="22" t="s">
        <v>4354</v>
      </c>
      <c r="P399" s="22" t="str">
        <f>HYPERLINK("https://ceds.ed.gov/cedselementdetails.aspx?termid=21146")</f>
        <v>https://ceds.ed.gov/cedselementdetails.aspx?termid=21146</v>
      </c>
      <c r="Q399" s="22">
        <v>63268</v>
      </c>
    </row>
    <row r="400" spans="1:17" ht="409.6" x14ac:dyDescent="0.3">
      <c r="A400" s="22" t="s">
        <v>7709</v>
      </c>
      <c r="B400" s="22" t="s">
        <v>9194</v>
      </c>
      <c r="C400" s="22" t="s">
        <v>7766</v>
      </c>
      <c r="D400" s="22" t="s">
        <v>7710</v>
      </c>
      <c r="E400" s="22" t="s">
        <v>5851</v>
      </c>
      <c r="F400" s="24" t="s">
        <v>5852</v>
      </c>
      <c r="G400" s="26" t="s">
        <v>9062</v>
      </c>
      <c r="H400" s="22" t="s">
        <v>1553</v>
      </c>
      <c r="I400" s="22"/>
      <c r="J400" s="22"/>
      <c r="K400" s="24"/>
      <c r="L400" s="24" t="s">
        <v>5853</v>
      </c>
      <c r="M400" s="25" t="s">
        <v>5854</v>
      </c>
      <c r="N400" s="22"/>
      <c r="O400" s="22" t="s">
        <v>5855</v>
      </c>
      <c r="P400" s="22" t="str">
        <f>HYPERLINK("https://ceds.ed.gov/cedselementdetails.aspx?termid=21415")</f>
        <v>https://ceds.ed.gov/cedselementdetails.aspx?termid=21415</v>
      </c>
      <c r="Q400" s="22">
        <v>63270</v>
      </c>
    </row>
    <row r="401" spans="1:17" ht="43.2" x14ac:dyDescent="0.3">
      <c r="A401" s="22" t="s">
        <v>7709</v>
      </c>
      <c r="B401" s="22" t="s">
        <v>9194</v>
      </c>
      <c r="C401" s="22" t="s">
        <v>4</v>
      </c>
      <c r="D401" s="22" t="s">
        <v>7710</v>
      </c>
      <c r="E401" s="22" t="s">
        <v>1527</v>
      </c>
      <c r="F401" s="24" t="s">
        <v>1528</v>
      </c>
      <c r="G401" s="26" t="s">
        <v>22</v>
      </c>
      <c r="H401" s="22"/>
      <c r="I401" s="22"/>
      <c r="J401" s="22"/>
      <c r="K401" s="24"/>
      <c r="L401" s="24"/>
      <c r="M401" s="25" t="s">
        <v>1529</v>
      </c>
      <c r="N401" s="22"/>
      <c r="O401" s="22" t="s">
        <v>1530</v>
      </c>
      <c r="P401" s="22" t="str">
        <f>HYPERLINK("https://ceds.ed.gov/cedselementdetails.aspx?termid=22903")</f>
        <v>https://ceds.ed.gov/cedselementdetails.aspx?termid=22903</v>
      </c>
      <c r="Q401" s="22">
        <v>63271</v>
      </c>
    </row>
    <row r="402" spans="1:17" ht="57.6" x14ac:dyDescent="0.3">
      <c r="A402" s="22" t="s">
        <v>7709</v>
      </c>
      <c r="B402" s="22" t="s">
        <v>9194</v>
      </c>
      <c r="C402" s="22" t="s">
        <v>4</v>
      </c>
      <c r="D402" s="22" t="s">
        <v>7710</v>
      </c>
      <c r="E402" s="22" t="s">
        <v>6262</v>
      </c>
      <c r="F402" s="24" t="s">
        <v>6263</v>
      </c>
      <c r="G402" s="26" t="s">
        <v>22</v>
      </c>
      <c r="H402" s="22"/>
      <c r="I402" s="22"/>
      <c r="J402" s="22"/>
      <c r="K402" s="24"/>
      <c r="L402" s="24"/>
      <c r="M402" s="25" t="s">
        <v>6264</v>
      </c>
      <c r="N402" s="22"/>
      <c r="O402" s="22" t="s">
        <v>6265</v>
      </c>
      <c r="P402" s="22" t="str">
        <f>HYPERLINK("https://ceds.ed.gov/cedselementdetails.aspx?termid=21760")</f>
        <v>https://ceds.ed.gov/cedselementdetails.aspx?termid=21760</v>
      </c>
      <c r="Q402" s="22">
        <v>63272</v>
      </c>
    </row>
    <row r="403" spans="1:17" ht="57.6" x14ac:dyDescent="0.3">
      <c r="A403" s="22" t="s">
        <v>7709</v>
      </c>
      <c r="B403" s="22" t="s">
        <v>9194</v>
      </c>
      <c r="C403" s="22" t="s">
        <v>7767</v>
      </c>
      <c r="D403" s="22" t="s">
        <v>7710</v>
      </c>
      <c r="E403" s="22" t="s">
        <v>7559</v>
      </c>
      <c r="F403" s="24" t="s">
        <v>7560</v>
      </c>
      <c r="G403" s="23" t="s">
        <v>32</v>
      </c>
      <c r="H403" s="22"/>
      <c r="I403" s="22"/>
      <c r="J403" s="22" t="s">
        <v>148</v>
      </c>
      <c r="K403" s="24"/>
      <c r="L403" s="24" t="s">
        <v>7561</v>
      </c>
      <c r="M403" s="25" t="s">
        <v>7562</v>
      </c>
      <c r="N403" s="22"/>
      <c r="O403" s="22" t="s">
        <v>7563</v>
      </c>
      <c r="P403" s="22" t="str">
        <f>HYPERLINK("https://ceds.ed.gov/cedselementdetails.aspx?termid=22938")</f>
        <v>https://ceds.ed.gov/cedselementdetails.aspx?termid=22938</v>
      </c>
      <c r="Q403" s="22">
        <v>63502</v>
      </c>
    </row>
    <row r="404" spans="1:17" ht="43.2" x14ac:dyDescent="0.3">
      <c r="A404" s="22" t="s">
        <v>7709</v>
      </c>
      <c r="B404" s="22" t="s">
        <v>9194</v>
      </c>
      <c r="C404" s="22" t="s">
        <v>7767</v>
      </c>
      <c r="D404" s="22" t="s">
        <v>7710</v>
      </c>
      <c r="E404" s="22" t="s">
        <v>7569</v>
      </c>
      <c r="F404" s="24" t="s">
        <v>7570</v>
      </c>
      <c r="G404" s="23" t="s">
        <v>32</v>
      </c>
      <c r="H404" s="22"/>
      <c r="I404" s="22"/>
      <c r="J404" s="22" t="s">
        <v>845</v>
      </c>
      <c r="K404" s="24"/>
      <c r="L404" s="24" t="s">
        <v>7571</v>
      </c>
      <c r="M404" s="25" t="s">
        <v>7572</v>
      </c>
      <c r="N404" s="22"/>
      <c r="O404" s="22" t="s">
        <v>7573</v>
      </c>
      <c r="P404" s="22" t="str">
        <f>HYPERLINK("https://ceds.ed.gov/cedselementdetails.aspx?termid=22940")</f>
        <v>https://ceds.ed.gov/cedselementdetails.aspx?termid=22940</v>
      </c>
      <c r="Q404" s="22">
        <v>63503</v>
      </c>
    </row>
    <row r="405" spans="1:17" ht="57.6" x14ac:dyDescent="0.3">
      <c r="A405" s="22" t="s">
        <v>7709</v>
      </c>
      <c r="B405" s="22" t="s">
        <v>9194</v>
      </c>
      <c r="C405" s="22" t="s">
        <v>7767</v>
      </c>
      <c r="D405" s="22" t="s">
        <v>7710</v>
      </c>
      <c r="E405" s="22" t="s">
        <v>7574</v>
      </c>
      <c r="F405" s="24" t="s">
        <v>7575</v>
      </c>
      <c r="G405" s="23" t="s">
        <v>32</v>
      </c>
      <c r="H405" s="22"/>
      <c r="I405" s="22"/>
      <c r="J405" s="22" t="s">
        <v>148</v>
      </c>
      <c r="K405" s="24"/>
      <c r="L405" s="24" t="s">
        <v>7576</v>
      </c>
      <c r="M405" s="25" t="s">
        <v>7577</v>
      </c>
      <c r="N405" s="22"/>
      <c r="O405" s="22" t="s">
        <v>7578</v>
      </c>
      <c r="P405" s="22" t="str">
        <f>HYPERLINK("https://ceds.ed.gov/cedselementdetails.aspx?termid=22941")</f>
        <v>https://ceds.ed.gov/cedselementdetails.aspx?termid=22941</v>
      </c>
      <c r="Q405" s="22">
        <v>63504</v>
      </c>
    </row>
    <row r="406" spans="1:17" ht="409.6" x14ac:dyDescent="0.3">
      <c r="A406" s="22" t="s">
        <v>7709</v>
      </c>
      <c r="B406" s="22" t="s">
        <v>9194</v>
      </c>
      <c r="C406" s="22" t="s">
        <v>7822</v>
      </c>
      <c r="D406" s="22" t="s">
        <v>7741</v>
      </c>
      <c r="E406" s="22" t="s">
        <v>3577</v>
      </c>
      <c r="F406" s="24" t="s">
        <v>8107</v>
      </c>
      <c r="G406" s="26" t="s">
        <v>22</v>
      </c>
      <c r="H406" s="24" t="s">
        <v>1901</v>
      </c>
      <c r="I406" s="22" t="s">
        <v>172</v>
      </c>
      <c r="J406" s="22"/>
      <c r="K406" s="24" t="s">
        <v>8108</v>
      </c>
      <c r="L406" s="24" t="s">
        <v>3578</v>
      </c>
      <c r="M406" s="25" t="s">
        <v>3579</v>
      </c>
      <c r="N406" s="22"/>
      <c r="O406" s="22" t="s">
        <v>3580</v>
      </c>
      <c r="P406" s="22" t="str">
        <f>HYPERLINK("https://ceds.ed.gov/cedselementdetails.aspx?termid=21180")</f>
        <v>https://ceds.ed.gov/cedselementdetails.aspx?termid=21180</v>
      </c>
      <c r="Q406" s="22">
        <v>63734</v>
      </c>
    </row>
    <row r="407" spans="1:17" ht="43.2" x14ac:dyDescent="0.3">
      <c r="A407" s="22" t="s">
        <v>7709</v>
      </c>
      <c r="B407" s="22" t="s">
        <v>7768</v>
      </c>
      <c r="C407" s="22"/>
      <c r="D407" s="22" t="s">
        <v>7710</v>
      </c>
      <c r="E407" s="22" t="s">
        <v>4618</v>
      </c>
      <c r="F407" s="24" t="s">
        <v>4619</v>
      </c>
      <c r="G407" s="26" t="s">
        <v>22</v>
      </c>
      <c r="H407" s="22"/>
      <c r="I407" s="22"/>
      <c r="J407" s="22"/>
      <c r="K407" s="24"/>
      <c r="L407" s="24"/>
      <c r="M407" s="25" t="s">
        <v>4620</v>
      </c>
      <c r="N407" s="22"/>
      <c r="O407" s="22" t="s">
        <v>4621</v>
      </c>
      <c r="P407" s="22" t="str">
        <f>HYPERLINK("https://ceds.ed.gov/cedselementdetails.aspx?termid=22591")</f>
        <v>https://ceds.ed.gov/cedselementdetails.aspx?termid=22591</v>
      </c>
      <c r="Q407" s="22">
        <v>62083</v>
      </c>
    </row>
    <row r="408" spans="1:17" ht="158.4" x14ac:dyDescent="0.3">
      <c r="A408" s="22" t="s">
        <v>7709</v>
      </c>
      <c r="B408" s="22" t="s">
        <v>7768</v>
      </c>
      <c r="C408" s="22" t="s">
        <v>7738</v>
      </c>
      <c r="D408" s="22" t="s">
        <v>7710</v>
      </c>
      <c r="E408" s="22" t="s">
        <v>4050</v>
      </c>
      <c r="F408" s="24" t="s">
        <v>4051</v>
      </c>
      <c r="G408" s="23" t="s">
        <v>32</v>
      </c>
      <c r="H408" s="24" t="s">
        <v>4054</v>
      </c>
      <c r="I408" s="22"/>
      <c r="J408" s="22" t="s">
        <v>7536</v>
      </c>
      <c r="K408" s="24"/>
      <c r="L408" s="24" t="s">
        <v>8200</v>
      </c>
      <c r="M408" s="25" t="s">
        <v>4052</v>
      </c>
      <c r="N408" s="22"/>
      <c r="O408" s="22" t="s">
        <v>4053</v>
      </c>
      <c r="P408" s="22" t="str">
        <f>HYPERLINK("https://ceds.ed.gov/cedselementdetails.aspx?termid=21115")</f>
        <v>https://ceds.ed.gov/cedselementdetails.aspx?termid=21115</v>
      </c>
      <c r="Q408" s="22">
        <v>59150</v>
      </c>
    </row>
    <row r="409" spans="1:17" ht="158.4" x14ac:dyDescent="0.3">
      <c r="A409" s="22" t="s">
        <v>7709</v>
      </c>
      <c r="B409" s="22" t="s">
        <v>7768</v>
      </c>
      <c r="C409" s="22" t="s">
        <v>7738</v>
      </c>
      <c r="D409" s="22" t="s">
        <v>7710</v>
      </c>
      <c r="E409" s="22" t="s">
        <v>5415</v>
      </c>
      <c r="F409" s="24" t="s">
        <v>5416</v>
      </c>
      <c r="G409" s="23" t="s">
        <v>32</v>
      </c>
      <c r="H409" s="24" t="s">
        <v>4054</v>
      </c>
      <c r="I409" s="22"/>
      <c r="J409" s="22" t="s">
        <v>7536</v>
      </c>
      <c r="K409" s="24"/>
      <c r="L409" s="24" t="s">
        <v>8207</v>
      </c>
      <c r="M409" s="25" t="s">
        <v>5417</v>
      </c>
      <c r="N409" s="22"/>
      <c r="O409" s="22" t="s">
        <v>5418</v>
      </c>
      <c r="P409" s="22" t="str">
        <f>HYPERLINK("https://ceds.ed.gov/cedselementdetails.aspx?termid=21184")</f>
        <v>https://ceds.ed.gov/cedselementdetails.aspx?termid=21184</v>
      </c>
      <c r="Q409" s="22">
        <v>59154</v>
      </c>
    </row>
    <row r="410" spans="1:17" ht="158.4" x14ac:dyDescent="0.3">
      <c r="A410" s="22" t="s">
        <v>7709</v>
      </c>
      <c r="B410" s="22" t="s">
        <v>7768</v>
      </c>
      <c r="C410" s="22" t="s">
        <v>7738</v>
      </c>
      <c r="D410" s="22" t="s">
        <v>7710</v>
      </c>
      <c r="E410" s="22" t="s">
        <v>4973</v>
      </c>
      <c r="F410" s="24" t="s">
        <v>4974</v>
      </c>
      <c r="G410" s="23" t="s">
        <v>32</v>
      </c>
      <c r="H410" s="24" t="s">
        <v>4054</v>
      </c>
      <c r="I410" s="22"/>
      <c r="J410" s="22" t="s">
        <v>7536</v>
      </c>
      <c r="K410" s="24"/>
      <c r="L410" s="24" t="s">
        <v>8207</v>
      </c>
      <c r="M410" s="25" t="s">
        <v>4975</v>
      </c>
      <c r="N410" s="22" t="s">
        <v>4976</v>
      </c>
      <c r="O410" s="22" t="s">
        <v>4977</v>
      </c>
      <c r="P410" s="22" t="str">
        <f>HYPERLINK("https://ceds.ed.gov/cedselementdetails.aspx?termid=21172")</f>
        <v>https://ceds.ed.gov/cedselementdetails.aspx?termid=21172</v>
      </c>
      <c r="Q410" s="22">
        <v>59153</v>
      </c>
    </row>
    <row r="411" spans="1:17" ht="129.6" x14ac:dyDescent="0.3">
      <c r="A411" s="22" t="s">
        <v>7709</v>
      </c>
      <c r="B411" s="22" t="s">
        <v>7768</v>
      </c>
      <c r="C411" s="22" t="s">
        <v>7738</v>
      </c>
      <c r="D411" s="22" t="s">
        <v>7710</v>
      </c>
      <c r="E411" s="22" t="s">
        <v>4114</v>
      </c>
      <c r="F411" s="24" t="s">
        <v>4115</v>
      </c>
      <c r="G411" s="23" t="s">
        <v>32</v>
      </c>
      <c r="H411" s="24" t="s">
        <v>4119</v>
      </c>
      <c r="I411" s="22"/>
      <c r="J411" s="22" t="s">
        <v>2743</v>
      </c>
      <c r="K411" s="24"/>
      <c r="L411" s="24" t="s">
        <v>8207</v>
      </c>
      <c r="M411" s="25" t="s">
        <v>4117</v>
      </c>
      <c r="N411" s="22"/>
      <c r="O411" s="22" t="s">
        <v>4118</v>
      </c>
      <c r="P411" s="22" t="str">
        <f>HYPERLINK("https://ceds.ed.gov/cedselementdetails.aspx?termid=21121")</f>
        <v>https://ceds.ed.gov/cedselementdetails.aspx?termid=21121</v>
      </c>
      <c r="Q411" s="22">
        <v>59151</v>
      </c>
    </row>
    <row r="412" spans="1:17" ht="86.4" x14ac:dyDescent="0.3">
      <c r="A412" s="22" t="s">
        <v>7709</v>
      </c>
      <c r="B412" s="22" t="s">
        <v>7768</v>
      </c>
      <c r="C412" s="22" t="s">
        <v>7738</v>
      </c>
      <c r="D412" s="22" t="s">
        <v>7710</v>
      </c>
      <c r="E412" s="22" t="s">
        <v>5860</v>
      </c>
      <c r="F412" s="24" t="s">
        <v>5861</v>
      </c>
      <c r="G412" s="23" t="s">
        <v>32</v>
      </c>
      <c r="H412" s="24" t="s">
        <v>5865</v>
      </c>
      <c r="I412" s="22"/>
      <c r="J412" s="22" t="s">
        <v>85</v>
      </c>
      <c r="K412" s="24"/>
      <c r="L412" s="24"/>
      <c r="M412" s="25" t="s">
        <v>5862</v>
      </c>
      <c r="N412" s="22" t="s">
        <v>5863</v>
      </c>
      <c r="O412" s="22" t="s">
        <v>5864</v>
      </c>
      <c r="P412" s="22" t="str">
        <f>HYPERLINK("https://ceds.ed.gov/cedselementdetails.aspx?termid=21212")</f>
        <v>https://ceds.ed.gov/cedselementdetails.aspx?termid=21212</v>
      </c>
      <c r="Q412" s="22">
        <v>59155</v>
      </c>
    </row>
    <row r="413" spans="1:17" ht="115.2" x14ac:dyDescent="0.3">
      <c r="A413" s="22" t="s">
        <v>7709</v>
      </c>
      <c r="B413" s="22" t="s">
        <v>7768</v>
      </c>
      <c r="C413" s="22" t="s">
        <v>7739</v>
      </c>
      <c r="D413" s="22" t="s">
        <v>7710</v>
      </c>
      <c r="E413" s="22" t="s">
        <v>5747</v>
      </c>
      <c r="F413" s="24" t="s">
        <v>5748</v>
      </c>
      <c r="G413" s="26" t="s">
        <v>9055</v>
      </c>
      <c r="H413" s="24" t="s">
        <v>5751</v>
      </c>
      <c r="I413" s="22"/>
      <c r="J413" s="22" t="s">
        <v>85</v>
      </c>
      <c r="K413" s="24"/>
      <c r="L413" s="24"/>
      <c r="M413" s="25" t="s">
        <v>5749</v>
      </c>
      <c r="N413" s="22"/>
      <c r="O413" s="22" t="s">
        <v>5750</v>
      </c>
      <c r="P413" s="22" t="str">
        <f>HYPERLINK("https://ceds.ed.gov/cedselementdetails.aspx?termid=21627")</f>
        <v>https://ceds.ed.gov/cedselementdetails.aspx?termid=21627</v>
      </c>
      <c r="Q413" s="22">
        <v>59967</v>
      </c>
    </row>
    <row r="414" spans="1:17" ht="28.8" x14ac:dyDescent="0.3">
      <c r="A414" s="22" t="s">
        <v>7709</v>
      </c>
      <c r="B414" s="22" t="s">
        <v>7768</v>
      </c>
      <c r="C414" s="22" t="s">
        <v>7739</v>
      </c>
      <c r="D414" s="22" t="s">
        <v>7710</v>
      </c>
      <c r="E414" s="22" t="s">
        <v>5728</v>
      </c>
      <c r="F414" s="24" t="s">
        <v>5729</v>
      </c>
      <c r="G414" s="23" t="s">
        <v>32</v>
      </c>
      <c r="H414" s="22"/>
      <c r="I414" s="22"/>
      <c r="J414" s="22" t="s">
        <v>1301</v>
      </c>
      <c r="K414" s="24"/>
      <c r="L414" s="24" t="s">
        <v>5730</v>
      </c>
      <c r="M414" s="25" t="s">
        <v>5731</v>
      </c>
      <c r="N414" s="22"/>
      <c r="O414" s="22" t="s">
        <v>5732</v>
      </c>
      <c r="P414" s="22" t="str">
        <f>HYPERLINK("https://ceds.ed.gov/cedselementdetails.aspx?termid=22486")</f>
        <v>https://ceds.ed.gov/cedselementdetails.aspx?termid=22486</v>
      </c>
      <c r="Q414" s="22">
        <v>61628</v>
      </c>
    </row>
    <row r="415" spans="1:17" ht="28.8" x14ac:dyDescent="0.3">
      <c r="A415" s="22" t="s">
        <v>7709</v>
      </c>
      <c r="B415" s="22" t="s">
        <v>7768</v>
      </c>
      <c r="C415" s="22" t="s">
        <v>7739</v>
      </c>
      <c r="D415" s="22" t="s">
        <v>7710</v>
      </c>
      <c r="E415" s="22" t="s">
        <v>5738</v>
      </c>
      <c r="F415" s="24" t="s">
        <v>5739</v>
      </c>
      <c r="G415" s="23" t="s">
        <v>32</v>
      </c>
      <c r="H415" s="22"/>
      <c r="I415" s="22"/>
      <c r="J415" s="22" t="s">
        <v>1301</v>
      </c>
      <c r="K415" s="24"/>
      <c r="L415" s="24" t="s">
        <v>5740</v>
      </c>
      <c r="M415" s="25" t="s">
        <v>5741</v>
      </c>
      <c r="N415" s="22"/>
      <c r="O415" s="22" t="s">
        <v>5742</v>
      </c>
      <c r="P415" s="22" t="str">
        <f>HYPERLINK("https://ceds.ed.gov/cedselementdetails.aspx?termid=22487")</f>
        <v>https://ceds.ed.gov/cedselementdetails.aspx?termid=22487</v>
      </c>
      <c r="Q415" s="22">
        <v>61644</v>
      </c>
    </row>
    <row r="416" spans="1:17" ht="28.8" x14ac:dyDescent="0.3">
      <c r="A416" s="22" t="s">
        <v>7709</v>
      </c>
      <c r="B416" s="22" t="s">
        <v>7768</v>
      </c>
      <c r="C416" s="22" t="s">
        <v>7739</v>
      </c>
      <c r="D416" s="22" t="s">
        <v>7710</v>
      </c>
      <c r="E416" s="22" t="s">
        <v>5733</v>
      </c>
      <c r="F416" s="24" t="s">
        <v>5734</v>
      </c>
      <c r="G416" s="23" t="s">
        <v>32</v>
      </c>
      <c r="H416" s="22"/>
      <c r="I416" s="22"/>
      <c r="J416" s="22" t="s">
        <v>1301</v>
      </c>
      <c r="K416" s="24"/>
      <c r="L416" s="24" t="s">
        <v>5735</v>
      </c>
      <c r="M416" s="25" t="s">
        <v>5736</v>
      </c>
      <c r="N416" s="22"/>
      <c r="O416" s="22" t="s">
        <v>5737</v>
      </c>
      <c r="P416" s="22" t="str">
        <f>HYPERLINK("https://ceds.ed.gov/cedselementdetails.aspx?termid=22485")</f>
        <v>https://ceds.ed.gov/cedselementdetails.aspx?termid=22485</v>
      </c>
      <c r="Q416" s="22">
        <v>61612</v>
      </c>
    </row>
    <row r="417" spans="1:17" ht="129.6" x14ac:dyDescent="0.3">
      <c r="A417" s="22" t="s">
        <v>7709</v>
      </c>
      <c r="B417" s="22" t="s">
        <v>7768</v>
      </c>
      <c r="C417" s="22" t="s">
        <v>7739</v>
      </c>
      <c r="D417" s="22" t="s">
        <v>7710</v>
      </c>
      <c r="E417" s="22" t="s">
        <v>5743</v>
      </c>
      <c r="F417" s="24" t="s">
        <v>5744</v>
      </c>
      <c r="G417" s="23" t="s">
        <v>32</v>
      </c>
      <c r="H417" s="24" t="s">
        <v>4119</v>
      </c>
      <c r="I417" s="22"/>
      <c r="J417" s="22" t="s">
        <v>132</v>
      </c>
      <c r="K417" s="24"/>
      <c r="L417" s="24"/>
      <c r="M417" s="25" t="s">
        <v>5745</v>
      </c>
      <c r="N417" s="22"/>
      <c r="O417" s="22" t="s">
        <v>5746</v>
      </c>
      <c r="P417" s="22" t="str">
        <f>HYPERLINK("https://ceds.ed.gov/cedselementdetails.aspx?termid=21206")</f>
        <v>https://ceds.ed.gov/cedselementdetails.aspx?termid=21206</v>
      </c>
      <c r="Q417" s="22">
        <v>59968</v>
      </c>
    </row>
    <row r="418" spans="1:17" ht="172.8" x14ac:dyDescent="0.3">
      <c r="A418" s="22" t="s">
        <v>7709</v>
      </c>
      <c r="B418" s="22" t="s">
        <v>7768</v>
      </c>
      <c r="C418" s="22" t="s">
        <v>7740</v>
      </c>
      <c r="D418" s="22" t="s">
        <v>7710</v>
      </c>
      <c r="E418" s="22" t="s">
        <v>5835</v>
      </c>
      <c r="F418" s="24" t="s">
        <v>5836</v>
      </c>
      <c r="G418" s="23" t="s">
        <v>32</v>
      </c>
      <c r="H418" s="22"/>
      <c r="I418" s="22" t="s">
        <v>172</v>
      </c>
      <c r="J418" s="22" t="s">
        <v>132</v>
      </c>
      <c r="K418" s="24" t="s">
        <v>7946</v>
      </c>
      <c r="L418" s="24" t="s">
        <v>8043</v>
      </c>
      <c r="M418" s="25" t="s">
        <v>5837</v>
      </c>
      <c r="N418" s="22"/>
      <c r="O418" s="22" t="s">
        <v>5838</v>
      </c>
      <c r="P418" s="22" t="str">
        <f>HYPERLINK("https://ceds.ed.gov/cedselementdetails.aspx?termid=22551")</f>
        <v>https://ceds.ed.gov/cedselementdetails.aspx?termid=22551</v>
      </c>
      <c r="Q418" s="22">
        <v>61908</v>
      </c>
    </row>
    <row r="419" spans="1:17" ht="259.2" x14ac:dyDescent="0.3">
      <c r="A419" s="22" t="s">
        <v>7709</v>
      </c>
      <c r="B419" s="22" t="s">
        <v>7768</v>
      </c>
      <c r="C419" s="22" t="s">
        <v>7740</v>
      </c>
      <c r="D419" s="22" t="s">
        <v>7710</v>
      </c>
      <c r="E419" s="22" t="s">
        <v>5831</v>
      </c>
      <c r="F419" s="24" t="s">
        <v>5832</v>
      </c>
      <c r="G419" s="26" t="s">
        <v>8494</v>
      </c>
      <c r="H419" s="22"/>
      <c r="I419" s="22" t="s">
        <v>172</v>
      </c>
      <c r="J419" s="22"/>
      <c r="K419" s="24" t="s">
        <v>7946</v>
      </c>
      <c r="L419" s="24"/>
      <c r="M419" s="25" t="s">
        <v>5833</v>
      </c>
      <c r="N419" s="22"/>
      <c r="O419" s="22" t="s">
        <v>5834</v>
      </c>
      <c r="P419" s="22" t="str">
        <f>HYPERLINK("https://ceds.ed.gov/cedselementdetails.aspx?termid=22550")</f>
        <v>https://ceds.ed.gov/cedselementdetails.aspx?termid=22550</v>
      </c>
      <c r="Q419" s="22">
        <v>61903</v>
      </c>
    </row>
    <row r="420" spans="1:17" ht="72" x14ac:dyDescent="0.3">
      <c r="A420" s="22" t="s">
        <v>7709</v>
      </c>
      <c r="B420" s="22" t="s">
        <v>7768</v>
      </c>
      <c r="C420" s="22" t="s">
        <v>7740</v>
      </c>
      <c r="D420" s="22" t="s">
        <v>7741</v>
      </c>
      <c r="E420" s="22" t="s">
        <v>7621</v>
      </c>
      <c r="F420" s="24" t="s">
        <v>7622</v>
      </c>
      <c r="G420" s="26" t="s">
        <v>8496</v>
      </c>
      <c r="H420" s="22"/>
      <c r="I420" s="22" t="s">
        <v>172</v>
      </c>
      <c r="J420" s="22"/>
      <c r="K420" s="24" t="s">
        <v>7946</v>
      </c>
      <c r="L420" s="24"/>
      <c r="M420" s="25" t="s">
        <v>7623</v>
      </c>
      <c r="N420" s="22"/>
      <c r="O420" s="22" t="s">
        <v>7624</v>
      </c>
      <c r="P420" s="22" t="str">
        <f>HYPERLINK("https://ceds.ed.gov/cedselementdetails.aspx?termid=22951")</f>
        <v>https://ceds.ed.gov/cedselementdetails.aspx?termid=22951</v>
      </c>
      <c r="Q420" s="22">
        <v>63869</v>
      </c>
    </row>
    <row r="421" spans="1:17" ht="403.2" x14ac:dyDescent="0.3">
      <c r="A421" s="22" t="s">
        <v>7709</v>
      </c>
      <c r="B421" s="22" t="s">
        <v>7768</v>
      </c>
      <c r="C421" s="22" t="s">
        <v>7740</v>
      </c>
      <c r="D421" s="22" t="s">
        <v>7741</v>
      </c>
      <c r="E421" s="22" t="s">
        <v>5856</v>
      </c>
      <c r="F421" s="24" t="s">
        <v>5857</v>
      </c>
      <c r="G421" s="26" t="s">
        <v>8498</v>
      </c>
      <c r="H421" s="22"/>
      <c r="I421" s="22" t="s">
        <v>172</v>
      </c>
      <c r="J421" s="22"/>
      <c r="K421" s="24" t="s">
        <v>7946</v>
      </c>
      <c r="L421" s="24"/>
      <c r="M421" s="25" t="s">
        <v>5858</v>
      </c>
      <c r="N421" s="22"/>
      <c r="O421" s="22" t="s">
        <v>5859</v>
      </c>
      <c r="P421" s="22" t="str">
        <f>HYPERLINK("https://ceds.ed.gov/cedselementdetails.aspx?termid=21611")</f>
        <v>https://ceds.ed.gov/cedselementdetails.aspx?termid=21611</v>
      </c>
      <c r="Q421" s="22">
        <v>63870</v>
      </c>
    </row>
    <row r="422" spans="1:17" ht="409.6" x14ac:dyDescent="0.3">
      <c r="A422" s="22" t="s">
        <v>7709</v>
      </c>
      <c r="B422" s="22" t="s">
        <v>7768</v>
      </c>
      <c r="C422" s="22" t="s">
        <v>7766</v>
      </c>
      <c r="D422" s="22" t="s">
        <v>7710</v>
      </c>
      <c r="E422" s="22" t="s">
        <v>5851</v>
      </c>
      <c r="F422" s="24" t="s">
        <v>5852</v>
      </c>
      <c r="G422" s="26" t="s">
        <v>9062</v>
      </c>
      <c r="H422" s="22" t="s">
        <v>1553</v>
      </c>
      <c r="I422" s="22"/>
      <c r="J422" s="22"/>
      <c r="K422" s="24"/>
      <c r="L422" s="24" t="s">
        <v>5853</v>
      </c>
      <c r="M422" s="25" t="s">
        <v>5854</v>
      </c>
      <c r="N422" s="22"/>
      <c r="O422" s="22" t="s">
        <v>5855</v>
      </c>
      <c r="P422" s="22" t="str">
        <f>HYPERLINK("https://ceds.ed.gov/cedselementdetails.aspx?termid=21415")</f>
        <v>https://ceds.ed.gov/cedselementdetails.aspx?termid=21415</v>
      </c>
      <c r="Q422" s="22">
        <v>59157</v>
      </c>
    </row>
    <row r="423" spans="1:17" ht="86.4" x14ac:dyDescent="0.3">
      <c r="A423" s="22" t="s">
        <v>7709</v>
      </c>
      <c r="B423" s="22" t="s">
        <v>7768</v>
      </c>
      <c r="C423" s="22" t="s">
        <v>7766</v>
      </c>
      <c r="D423" s="22" t="s">
        <v>7710</v>
      </c>
      <c r="E423" s="22" t="s">
        <v>5955</v>
      </c>
      <c r="F423" s="24" t="s">
        <v>5956</v>
      </c>
      <c r="G423" s="26" t="s">
        <v>22</v>
      </c>
      <c r="H423" s="22"/>
      <c r="I423" s="22"/>
      <c r="J423" s="22"/>
      <c r="K423" s="24"/>
      <c r="L423" s="24"/>
      <c r="M423" s="25" t="s">
        <v>5957</v>
      </c>
      <c r="N423" s="22"/>
      <c r="O423" s="22" t="s">
        <v>5958</v>
      </c>
      <c r="P423" s="22" t="str">
        <f>HYPERLINK("https://ceds.ed.gov/cedselementdetails.aspx?termid=22397")</f>
        <v>https://ceds.ed.gov/cedselementdetails.aspx?termid=22397</v>
      </c>
      <c r="Q423" s="22">
        <v>61322</v>
      </c>
    </row>
    <row r="424" spans="1:17" ht="57.6" x14ac:dyDescent="0.3">
      <c r="A424" s="22" t="s">
        <v>7709</v>
      </c>
      <c r="B424" s="22" t="s">
        <v>7768</v>
      </c>
      <c r="C424" s="22" t="s">
        <v>7766</v>
      </c>
      <c r="D424" s="22" t="s">
        <v>7710</v>
      </c>
      <c r="E424" s="22" t="s">
        <v>3037</v>
      </c>
      <c r="F424" s="24" t="s">
        <v>3038</v>
      </c>
      <c r="G424" s="26" t="s">
        <v>3039</v>
      </c>
      <c r="H424" s="24" t="s">
        <v>399</v>
      </c>
      <c r="I424" s="22"/>
      <c r="J424" s="22"/>
      <c r="K424" s="24"/>
      <c r="L424" s="24"/>
      <c r="M424" s="25" t="s">
        <v>3040</v>
      </c>
      <c r="N424" s="22"/>
      <c r="O424" s="22" t="s">
        <v>3041</v>
      </c>
      <c r="P424" s="22" t="str">
        <f>HYPERLINK("https://ceds.ed.gov/cedselementdetails.aspx?termid=21328")</f>
        <v>https://ceds.ed.gov/cedselementdetails.aspx?termid=21328</v>
      </c>
      <c r="Q424" s="22">
        <v>59156</v>
      </c>
    </row>
    <row r="425" spans="1:17" ht="158.4" x14ac:dyDescent="0.3">
      <c r="A425" s="22" t="s">
        <v>7709</v>
      </c>
      <c r="B425" s="22" t="s">
        <v>7768</v>
      </c>
      <c r="C425" s="22" t="s">
        <v>7766</v>
      </c>
      <c r="D425" s="22" t="s">
        <v>7710</v>
      </c>
      <c r="E425" s="22" t="s">
        <v>2016</v>
      </c>
      <c r="F425" s="24" t="s">
        <v>2017</v>
      </c>
      <c r="G425" s="26" t="s">
        <v>8722</v>
      </c>
      <c r="H425" s="24" t="s">
        <v>2020</v>
      </c>
      <c r="I425" s="22"/>
      <c r="J425" s="22"/>
      <c r="K425" s="24"/>
      <c r="L425" s="24"/>
      <c r="M425" s="25" t="s">
        <v>2018</v>
      </c>
      <c r="N425" s="22"/>
      <c r="O425" s="22" t="s">
        <v>2019</v>
      </c>
      <c r="P425" s="22" t="str">
        <f>HYPERLINK("https://ceds.ed.gov/cedselementdetails.aspx?termid=21782")</f>
        <v>https://ceds.ed.gov/cedselementdetails.aspx?termid=21782</v>
      </c>
      <c r="Q425" s="22">
        <v>62019</v>
      </c>
    </row>
    <row r="426" spans="1:17" ht="43.2" x14ac:dyDescent="0.3">
      <c r="A426" s="22" t="s">
        <v>7709</v>
      </c>
      <c r="B426" s="22" t="s">
        <v>7768</v>
      </c>
      <c r="C426" s="22" t="s">
        <v>7766</v>
      </c>
      <c r="D426" s="22" t="s">
        <v>7710</v>
      </c>
      <c r="E426" s="22" t="s">
        <v>3496</v>
      </c>
      <c r="F426" s="24" t="s">
        <v>3497</v>
      </c>
      <c r="G426" s="26" t="s">
        <v>22</v>
      </c>
      <c r="H426" s="22"/>
      <c r="I426" s="22"/>
      <c r="J426" s="22"/>
      <c r="K426" s="24"/>
      <c r="L426" s="24"/>
      <c r="M426" s="25" t="s">
        <v>3499</v>
      </c>
      <c r="N426" s="22"/>
      <c r="O426" s="22" t="s">
        <v>3500</v>
      </c>
      <c r="P426" s="22" t="str">
        <f>HYPERLINK("https://ceds.ed.gov/cedselementdetails.aspx?termid=22308")</f>
        <v>https://ceds.ed.gov/cedselementdetails.aspx?termid=22308</v>
      </c>
      <c r="Q426" s="22">
        <v>61150</v>
      </c>
    </row>
    <row r="427" spans="1:17" ht="43.2" x14ac:dyDescent="0.3">
      <c r="A427" s="22" t="s">
        <v>7709</v>
      </c>
      <c r="B427" s="22" t="s">
        <v>7768</v>
      </c>
      <c r="C427" s="22" t="s">
        <v>7766</v>
      </c>
      <c r="D427" s="22" t="s">
        <v>7710</v>
      </c>
      <c r="E427" s="22" t="s">
        <v>5839</v>
      </c>
      <c r="F427" s="24" t="s">
        <v>5840</v>
      </c>
      <c r="G427" s="23" t="s">
        <v>32</v>
      </c>
      <c r="H427" s="22"/>
      <c r="I427" s="22"/>
      <c r="J427" s="22" t="s">
        <v>317</v>
      </c>
      <c r="K427" s="24"/>
      <c r="L427" s="24"/>
      <c r="M427" s="25" t="s">
        <v>5841</v>
      </c>
      <c r="N427" s="22"/>
      <c r="O427" s="22" t="s">
        <v>5842</v>
      </c>
      <c r="P427" s="22" t="str">
        <f>HYPERLINK("https://ceds.ed.gov/cedselementdetails.aspx?termid=22392")</f>
        <v>https://ceds.ed.gov/cedselementdetails.aspx?termid=22392</v>
      </c>
      <c r="Q427" s="22">
        <v>61307</v>
      </c>
    </row>
    <row r="428" spans="1:17" ht="57.6" x14ac:dyDescent="0.3">
      <c r="A428" s="22" t="s">
        <v>7709</v>
      </c>
      <c r="B428" s="22" t="s">
        <v>7768</v>
      </c>
      <c r="C428" s="22" t="s">
        <v>7766</v>
      </c>
      <c r="D428" s="22" t="s">
        <v>7710</v>
      </c>
      <c r="E428" s="22" t="s">
        <v>5843</v>
      </c>
      <c r="F428" s="24" t="s">
        <v>5844</v>
      </c>
      <c r="G428" s="23" t="s">
        <v>32</v>
      </c>
      <c r="H428" s="22"/>
      <c r="I428" s="22"/>
      <c r="J428" s="22" t="s">
        <v>328</v>
      </c>
      <c r="K428" s="24"/>
      <c r="L428" s="24"/>
      <c r="M428" s="25" t="s">
        <v>5845</v>
      </c>
      <c r="N428" s="22"/>
      <c r="O428" s="22" t="s">
        <v>5846</v>
      </c>
      <c r="P428" s="22" t="str">
        <f>HYPERLINK("https://ceds.ed.gov/cedselementdetails.aspx?termid=22393")</f>
        <v>https://ceds.ed.gov/cedselementdetails.aspx?termid=22393</v>
      </c>
      <c r="Q428" s="22">
        <v>61309</v>
      </c>
    </row>
    <row r="429" spans="1:17" ht="43.2" x14ac:dyDescent="0.3">
      <c r="A429" s="22" t="s">
        <v>7709</v>
      </c>
      <c r="B429" s="22" t="s">
        <v>7768</v>
      </c>
      <c r="C429" s="22" t="s">
        <v>7766</v>
      </c>
      <c r="D429" s="22" t="s">
        <v>7710</v>
      </c>
      <c r="E429" s="22" t="s">
        <v>5847</v>
      </c>
      <c r="F429" s="24" t="s">
        <v>5848</v>
      </c>
      <c r="G429" s="26" t="s">
        <v>22</v>
      </c>
      <c r="H429" s="22"/>
      <c r="I429" s="22"/>
      <c r="J429" s="22"/>
      <c r="K429" s="24"/>
      <c r="L429" s="24"/>
      <c r="M429" s="25" t="s">
        <v>5849</v>
      </c>
      <c r="N429" s="22"/>
      <c r="O429" s="22" t="s">
        <v>5850</v>
      </c>
      <c r="P429" s="22" t="str">
        <f>HYPERLINK("https://ceds.ed.gov/cedselementdetails.aspx?termid=22394")</f>
        <v>https://ceds.ed.gov/cedselementdetails.aspx?termid=22394</v>
      </c>
      <c r="Q429" s="22">
        <v>61311</v>
      </c>
    </row>
    <row r="430" spans="1:17" ht="43.2" x14ac:dyDescent="0.3">
      <c r="A430" s="22" t="s">
        <v>7709</v>
      </c>
      <c r="B430" s="22" t="s">
        <v>7768</v>
      </c>
      <c r="C430" s="22" t="s">
        <v>7766</v>
      </c>
      <c r="D430" s="22" t="s">
        <v>7710</v>
      </c>
      <c r="E430" s="22" t="s">
        <v>4618</v>
      </c>
      <c r="F430" s="24" t="s">
        <v>4619</v>
      </c>
      <c r="G430" s="26" t="s">
        <v>22</v>
      </c>
      <c r="H430" s="22"/>
      <c r="I430" s="22"/>
      <c r="J430" s="22"/>
      <c r="K430" s="24"/>
      <c r="L430" s="24"/>
      <c r="M430" s="25" t="s">
        <v>4620</v>
      </c>
      <c r="N430" s="22"/>
      <c r="O430" s="22" t="s">
        <v>4621</v>
      </c>
      <c r="P430" s="22" t="str">
        <f>HYPERLINK("https://ceds.ed.gov/cedselementdetails.aspx?termid=22591")</f>
        <v>https://ceds.ed.gov/cedselementdetails.aspx?termid=22591</v>
      </c>
      <c r="Q430" s="22">
        <v>62085</v>
      </c>
    </row>
    <row r="431" spans="1:17" ht="172.8" x14ac:dyDescent="0.3">
      <c r="A431" s="22" t="s">
        <v>7709</v>
      </c>
      <c r="B431" s="22" t="s">
        <v>7768</v>
      </c>
      <c r="C431" s="22" t="s">
        <v>7766</v>
      </c>
      <c r="D431" s="22" t="s">
        <v>7741</v>
      </c>
      <c r="E431" s="22" t="s">
        <v>2021</v>
      </c>
      <c r="F431" s="24" t="s">
        <v>2022</v>
      </c>
      <c r="G431" s="23" t="s">
        <v>32</v>
      </c>
      <c r="H431" s="24" t="s">
        <v>2020</v>
      </c>
      <c r="I431" s="22" t="s">
        <v>172</v>
      </c>
      <c r="J431" s="22" t="s">
        <v>132</v>
      </c>
      <c r="K431" s="24" t="s">
        <v>7946</v>
      </c>
      <c r="L431" s="24" t="s">
        <v>7945</v>
      </c>
      <c r="M431" s="25" t="s">
        <v>2023</v>
      </c>
      <c r="N431" s="22"/>
      <c r="O431" s="22" t="s">
        <v>2024</v>
      </c>
      <c r="P431" s="22" t="str">
        <f>HYPERLINK("https://ceds.ed.gov/cedselementdetails.aspx?termid=21781")</f>
        <v>https://ceds.ed.gov/cedselementdetails.aspx?termid=21781</v>
      </c>
      <c r="Q431" s="22">
        <v>63871</v>
      </c>
    </row>
    <row r="432" spans="1:17" ht="259.2" x14ac:dyDescent="0.3">
      <c r="A432" s="22" t="s">
        <v>7709</v>
      </c>
      <c r="B432" s="22" t="s">
        <v>7768</v>
      </c>
      <c r="C432" s="22" t="s">
        <v>7766</v>
      </c>
      <c r="D432" s="22" t="s">
        <v>7741</v>
      </c>
      <c r="E432" s="22" t="s">
        <v>5831</v>
      </c>
      <c r="F432" s="24" t="s">
        <v>5832</v>
      </c>
      <c r="G432" s="26" t="s">
        <v>8494</v>
      </c>
      <c r="H432" s="22"/>
      <c r="I432" s="22" t="s">
        <v>172</v>
      </c>
      <c r="J432" s="22"/>
      <c r="K432" s="24" t="s">
        <v>7946</v>
      </c>
      <c r="L432" s="24"/>
      <c r="M432" s="25" t="s">
        <v>5833</v>
      </c>
      <c r="N432" s="22"/>
      <c r="O432" s="22" t="s">
        <v>5834</v>
      </c>
      <c r="P432" s="22" t="str">
        <f>HYPERLINK("https://ceds.ed.gov/cedselementdetails.aspx?termid=22550")</f>
        <v>https://ceds.ed.gov/cedselementdetails.aspx?termid=22550</v>
      </c>
      <c r="Q432" s="22">
        <v>63872</v>
      </c>
    </row>
    <row r="433" spans="1:17" ht="172.8" x14ac:dyDescent="0.3">
      <c r="A433" s="22" t="s">
        <v>7709</v>
      </c>
      <c r="B433" s="22" t="s">
        <v>7768</v>
      </c>
      <c r="C433" s="22" t="s">
        <v>7766</v>
      </c>
      <c r="D433" s="22" t="s">
        <v>7741</v>
      </c>
      <c r="E433" s="22" t="s">
        <v>5835</v>
      </c>
      <c r="F433" s="24" t="s">
        <v>5836</v>
      </c>
      <c r="G433" s="23" t="s">
        <v>32</v>
      </c>
      <c r="H433" s="22"/>
      <c r="I433" s="22" t="s">
        <v>172</v>
      </c>
      <c r="J433" s="22" t="s">
        <v>132</v>
      </c>
      <c r="K433" s="24" t="s">
        <v>7946</v>
      </c>
      <c r="L433" s="24" t="s">
        <v>8043</v>
      </c>
      <c r="M433" s="25" t="s">
        <v>5837</v>
      </c>
      <c r="N433" s="22"/>
      <c r="O433" s="22" t="s">
        <v>5838</v>
      </c>
      <c r="P433" s="22" t="str">
        <f>HYPERLINK("https://ceds.ed.gov/cedselementdetails.aspx?termid=22551")</f>
        <v>https://ceds.ed.gov/cedselementdetails.aspx?termid=22551</v>
      </c>
      <c r="Q433" s="22">
        <v>63873</v>
      </c>
    </row>
    <row r="434" spans="1:17" ht="144" x14ac:dyDescent="0.3">
      <c r="A434" s="22" t="s">
        <v>7709</v>
      </c>
      <c r="B434" s="22" t="s">
        <v>7768</v>
      </c>
      <c r="C434" s="22" t="s">
        <v>7766</v>
      </c>
      <c r="D434" s="22" t="s">
        <v>7741</v>
      </c>
      <c r="E434" s="22" t="s">
        <v>7035</v>
      </c>
      <c r="F434" s="24" t="s">
        <v>7036</v>
      </c>
      <c r="G434" s="26" t="s">
        <v>8540</v>
      </c>
      <c r="H434" s="24" t="s">
        <v>7039</v>
      </c>
      <c r="I434" s="22" t="s">
        <v>172</v>
      </c>
      <c r="J434" s="22"/>
      <c r="K434" s="24" t="s">
        <v>7946</v>
      </c>
      <c r="L434" s="24"/>
      <c r="M434" s="25" t="s">
        <v>7037</v>
      </c>
      <c r="N434" s="22"/>
      <c r="O434" s="22" t="s">
        <v>7038</v>
      </c>
      <c r="P434" s="22" t="str">
        <f>HYPERLINK("https://ceds.ed.gov/cedselementdetails.aspx?termid=21163")</f>
        <v>https://ceds.ed.gov/cedselementdetails.aspx?termid=21163</v>
      </c>
      <c r="Q434" s="22">
        <v>63874</v>
      </c>
    </row>
    <row r="435" spans="1:17" ht="172.8" x14ac:dyDescent="0.3">
      <c r="A435" s="22" t="s">
        <v>7709</v>
      </c>
      <c r="B435" s="22" t="s">
        <v>7768</v>
      </c>
      <c r="C435" s="22" t="s">
        <v>7766</v>
      </c>
      <c r="D435" s="22" t="s">
        <v>7741</v>
      </c>
      <c r="E435" s="22" t="s">
        <v>7040</v>
      </c>
      <c r="F435" s="24" t="s">
        <v>7041</v>
      </c>
      <c r="G435" s="23" t="s">
        <v>32</v>
      </c>
      <c r="H435" s="24" t="s">
        <v>7039</v>
      </c>
      <c r="I435" s="22" t="s">
        <v>172</v>
      </c>
      <c r="J435" s="22" t="s">
        <v>132</v>
      </c>
      <c r="K435" s="24" t="s">
        <v>7946</v>
      </c>
      <c r="L435" s="24" t="s">
        <v>7945</v>
      </c>
      <c r="M435" s="25" t="s">
        <v>7042</v>
      </c>
      <c r="N435" s="22"/>
      <c r="O435" s="22" t="s">
        <v>7043</v>
      </c>
      <c r="P435" s="22" t="str">
        <f>HYPERLINK("https://ceds.ed.gov/cedselementdetails.aspx?termid=21157")</f>
        <v>https://ceds.ed.gov/cedselementdetails.aspx?termid=21157</v>
      </c>
      <c r="Q435" s="22">
        <v>63875</v>
      </c>
    </row>
    <row r="436" spans="1:17" ht="172.8" x14ac:dyDescent="0.3">
      <c r="A436" s="22" t="s">
        <v>7709</v>
      </c>
      <c r="B436" s="22" t="s">
        <v>7768</v>
      </c>
      <c r="C436" s="22" t="s">
        <v>7716</v>
      </c>
      <c r="D436" s="22" t="s">
        <v>7710</v>
      </c>
      <c r="E436" s="22" t="s">
        <v>194</v>
      </c>
      <c r="F436" s="24" t="s">
        <v>195</v>
      </c>
      <c r="G436" s="26" t="s">
        <v>8575</v>
      </c>
      <c r="H436" s="24" t="s">
        <v>198</v>
      </c>
      <c r="I436" s="22"/>
      <c r="J436" s="22" t="s">
        <v>85</v>
      </c>
      <c r="K436" s="24"/>
      <c r="L436" s="24"/>
      <c r="M436" s="25" t="s">
        <v>196</v>
      </c>
      <c r="N436" s="22"/>
      <c r="O436" s="22" t="s">
        <v>197</v>
      </c>
      <c r="P436" s="22" t="str">
        <f>HYPERLINK("https://ceds.ed.gov/cedselementdetails.aspx?termid=21358")</f>
        <v>https://ceds.ed.gov/cedselementdetails.aspx?termid=21358</v>
      </c>
      <c r="Q436" s="22">
        <v>60129</v>
      </c>
    </row>
    <row r="437" spans="1:17" ht="187.2" x14ac:dyDescent="0.3">
      <c r="A437" s="22" t="s">
        <v>7709</v>
      </c>
      <c r="B437" s="22" t="s">
        <v>7768</v>
      </c>
      <c r="C437" s="22" t="s">
        <v>7716</v>
      </c>
      <c r="D437" s="22" t="s">
        <v>7710</v>
      </c>
      <c r="E437" s="22" t="s">
        <v>189</v>
      </c>
      <c r="F437" s="24" t="s">
        <v>190</v>
      </c>
      <c r="G437" s="23" t="s">
        <v>32</v>
      </c>
      <c r="H437" s="24" t="s">
        <v>175</v>
      </c>
      <c r="I437" s="22" t="s">
        <v>172</v>
      </c>
      <c r="J437" s="22" t="s">
        <v>191</v>
      </c>
      <c r="K437" s="24" t="s">
        <v>7946</v>
      </c>
      <c r="L437" s="24"/>
      <c r="M437" s="25" t="s">
        <v>192</v>
      </c>
      <c r="N437" s="22"/>
      <c r="O437" s="22" t="s">
        <v>193</v>
      </c>
      <c r="P437" s="22" t="str">
        <f>HYPERLINK("https://ceds.ed.gov/cedselementdetails.aspx?termid=21269")</f>
        <v>https://ceds.ed.gov/cedselementdetails.aspx?termid=21269</v>
      </c>
      <c r="Q437" s="22">
        <v>59969</v>
      </c>
    </row>
    <row r="438" spans="1:17" ht="187.2" x14ac:dyDescent="0.3">
      <c r="A438" s="22" t="s">
        <v>7709</v>
      </c>
      <c r="B438" s="22" t="s">
        <v>7768</v>
      </c>
      <c r="C438" s="22" t="s">
        <v>7716</v>
      </c>
      <c r="D438" s="22" t="s">
        <v>7710</v>
      </c>
      <c r="E438" s="22" t="s">
        <v>170</v>
      </c>
      <c r="F438" s="24" t="s">
        <v>171</v>
      </c>
      <c r="G438" s="23" t="s">
        <v>32</v>
      </c>
      <c r="H438" s="24" t="s">
        <v>175</v>
      </c>
      <c r="I438" s="22" t="s">
        <v>172</v>
      </c>
      <c r="J438" s="22" t="s">
        <v>157</v>
      </c>
      <c r="K438" s="24" t="s">
        <v>7946</v>
      </c>
      <c r="L438" s="24"/>
      <c r="M438" s="25" t="s">
        <v>173</v>
      </c>
      <c r="N438" s="22"/>
      <c r="O438" s="22" t="s">
        <v>174</v>
      </c>
      <c r="P438" s="22" t="str">
        <f>HYPERLINK("https://ceds.ed.gov/cedselementdetails.aspx?termid=21019")</f>
        <v>https://ceds.ed.gov/cedselementdetails.aspx?termid=21019</v>
      </c>
      <c r="Q438" s="22">
        <v>59970</v>
      </c>
    </row>
    <row r="439" spans="1:17" ht="187.2" x14ac:dyDescent="0.3">
      <c r="A439" s="22" t="s">
        <v>7709</v>
      </c>
      <c r="B439" s="22" t="s">
        <v>7768</v>
      </c>
      <c r="C439" s="22" t="s">
        <v>7716</v>
      </c>
      <c r="D439" s="22" t="s">
        <v>7710</v>
      </c>
      <c r="E439" s="22" t="s">
        <v>176</v>
      </c>
      <c r="F439" s="24" t="s">
        <v>177</v>
      </c>
      <c r="G439" s="23" t="s">
        <v>32</v>
      </c>
      <c r="H439" s="24" t="s">
        <v>175</v>
      </c>
      <c r="I439" s="22" t="s">
        <v>172</v>
      </c>
      <c r="J439" s="22" t="s">
        <v>85</v>
      </c>
      <c r="K439" s="24" t="s">
        <v>7946</v>
      </c>
      <c r="L439" s="24"/>
      <c r="M439" s="25" t="s">
        <v>178</v>
      </c>
      <c r="N439" s="22"/>
      <c r="O439" s="22" t="s">
        <v>179</v>
      </c>
      <c r="P439" s="22" t="str">
        <f>HYPERLINK("https://ceds.ed.gov/cedselementdetails.aspx?termid=21040")</f>
        <v>https://ceds.ed.gov/cedselementdetails.aspx?termid=21040</v>
      </c>
      <c r="Q439" s="22">
        <v>59971</v>
      </c>
    </row>
    <row r="440" spans="1:17" ht="409.6" x14ac:dyDescent="0.3">
      <c r="A440" s="22" t="s">
        <v>7709</v>
      </c>
      <c r="B440" s="22" t="s">
        <v>7768</v>
      </c>
      <c r="C440" s="22" t="s">
        <v>7716</v>
      </c>
      <c r="D440" s="22" t="s">
        <v>7710</v>
      </c>
      <c r="E440" s="22" t="s">
        <v>6941</v>
      </c>
      <c r="F440" s="24" t="s">
        <v>6942</v>
      </c>
      <c r="G440" s="26" t="s">
        <v>8533</v>
      </c>
      <c r="H440" s="24" t="s">
        <v>6945</v>
      </c>
      <c r="I440" s="22" t="s">
        <v>172</v>
      </c>
      <c r="J440" s="22"/>
      <c r="K440" s="24" t="s">
        <v>8327</v>
      </c>
      <c r="L440" s="24"/>
      <c r="M440" s="25" t="s">
        <v>6943</v>
      </c>
      <c r="N440" s="22"/>
      <c r="O440" s="22" t="s">
        <v>6944</v>
      </c>
      <c r="P440" s="22" t="str">
        <f>HYPERLINK("https://ceds.ed.gov/cedselementdetails.aspx?termid=21267")</f>
        <v>https://ceds.ed.gov/cedselementdetails.aspx?termid=21267</v>
      </c>
      <c r="Q440" s="22">
        <v>59972</v>
      </c>
    </row>
    <row r="441" spans="1:17" ht="187.2" x14ac:dyDescent="0.3">
      <c r="A441" s="22" t="s">
        <v>7709</v>
      </c>
      <c r="B441" s="22" t="s">
        <v>7768</v>
      </c>
      <c r="C441" s="22" t="s">
        <v>7716</v>
      </c>
      <c r="D441" s="22" t="s">
        <v>7710</v>
      </c>
      <c r="E441" s="22" t="s">
        <v>184</v>
      </c>
      <c r="F441" s="24" t="s">
        <v>185</v>
      </c>
      <c r="G441" s="23" t="s">
        <v>32</v>
      </c>
      <c r="H441" s="24" t="s">
        <v>175</v>
      </c>
      <c r="I441" s="22" t="s">
        <v>172</v>
      </c>
      <c r="J441" s="22" t="s">
        <v>186</v>
      </c>
      <c r="K441" s="24" t="s">
        <v>7946</v>
      </c>
      <c r="L441" s="24"/>
      <c r="M441" s="25" t="s">
        <v>187</v>
      </c>
      <c r="N441" s="22"/>
      <c r="O441" s="22" t="s">
        <v>188</v>
      </c>
      <c r="P441" s="22" t="str">
        <f>HYPERLINK("https://ceds.ed.gov/cedselementdetails.aspx?termid=21214")</f>
        <v>https://ceds.ed.gov/cedselementdetails.aspx?termid=21214</v>
      </c>
      <c r="Q441" s="22">
        <v>59973</v>
      </c>
    </row>
    <row r="442" spans="1:17" ht="187.2" x14ac:dyDescent="0.3">
      <c r="A442" s="22" t="s">
        <v>7709</v>
      </c>
      <c r="B442" s="22" t="s">
        <v>7768</v>
      </c>
      <c r="C442" s="22" t="s">
        <v>7716</v>
      </c>
      <c r="D442" s="22" t="s">
        <v>7710</v>
      </c>
      <c r="E442" s="22" t="s">
        <v>180</v>
      </c>
      <c r="F442" s="24" t="s">
        <v>181</v>
      </c>
      <c r="G442" s="23" t="s">
        <v>32</v>
      </c>
      <c r="H442" s="24" t="s">
        <v>175</v>
      </c>
      <c r="I442" s="22" t="s">
        <v>172</v>
      </c>
      <c r="J442" s="22" t="s">
        <v>85</v>
      </c>
      <c r="K442" s="24" t="s">
        <v>7946</v>
      </c>
      <c r="L442" s="24"/>
      <c r="M442" s="25" t="s">
        <v>182</v>
      </c>
      <c r="N442" s="22"/>
      <c r="O442" s="22" t="s">
        <v>183</v>
      </c>
      <c r="P442" s="22" t="str">
        <f>HYPERLINK("https://ceds.ed.gov/cedselementdetails.aspx?termid=21190")</f>
        <v>https://ceds.ed.gov/cedselementdetails.aspx?termid=21190</v>
      </c>
      <c r="Q442" s="22">
        <v>59974</v>
      </c>
    </row>
    <row r="443" spans="1:17" ht="409.6" x14ac:dyDescent="0.3">
      <c r="A443" s="22" t="s">
        <v>7709</v>
      </c>
      <c r="B443" s="22" t="s">
        <v>7768</v>
      </c>
      <c r="C443" s="22" t="s">
        <v>7716</v>
      </c>
      <c r="D443" s="22" t="s">
        <v>7710</v>
      </c>
      <c r="E443" s="22" t="s">
        <v>2526</v>
      </c>
      <c r="F443" s="24" t="s">
        <v>2527</v>
      </c>
      <c r="G443" s="26" t="s">
        <v>8743</v>
      </c>
      <c r="H443" s="24" t="s">
        <v>2530</v>
      </c>
      <c r="I443" s="22"/>
      <c r="J443" s="22"/>
      <c r="K443" s="24"/>
      <c r="L443" s="24" t="s">
        <v>8055</v>
      </c>
      <c r="M443" s="25" t="s">
        <v>2528</v>
      </c>
      <c r="N443" s="22"/>
      <c r="O443" s="22" t="s">
        <v>2529</v>
      </c>
      <c r="P443" s="22" t="str">
        <f>HYPERLINK("https://ceds.ed.gov/cedselementdetails.aspx?termid=21050")</f>
        <v>https://ceds.ed.gov/cedselementdetails.aspx?termid=21050</v>
      </c>
      <c r="Q443" s="22">
        <v>59975</v>
      </c>
    </row>
    <row r="444" spans="1:17" ht="57.6" x14ac:dyDescent="0.3">
      <c r="A444" s="22" t="s">
        <v>7709</v>
      </c>
      <c r="B444" s="22" t="s">
        <v>7768</v>
      </c>
      <c r="C444" s="22" t="s">
        <v>7716</v>
      </c>
      <c r="D444" s="22" t="s">
        <v>7710</v>
      </c>
      <c r="E444" s="22" t="s">
        <v>4982</v>
      </c>
      <c r="F444" s="24" t="s">
        <v>4983</v>
      </c>
      <c r="G444" s="23" t="s">
        <v>32</v>
      </c>
      <c r="H444" s="22"/>
      <c r="I444" s="22"/>
      <c r="J444" s="22" t="s">
        <v>1165</v>
      </c>
      <c r="K444" s="24"/>
      <c r="L444" s="24"/>
      <c r="M444" s="25" t="s">
        <v>4984</v>
      </c>
      <c r="N444" s="22"/>
      <c r="O444" s="22" t="s">
        <v>4982</v>
      </c>
      <c r="P444" s="22" t="str">
        <f>HYPERLINK("https://ceds.ed.gov/cedselementdetails.aspx?termid=21599")</f>
        <v>https://ceds.ed.gov/cedselementdetails.aspx?termid=21599</v>
      </c>
      <c r="Q444" s="22">
        <v>62256</v>
      </c>
    </row>
    <row r="445" spans="1:17" ht="57.6" x14ac:dyDescent="0.3">
      <c r="A445" s="22" t="s">
        <v>7709</v>
      </c>
      <c r="B445" s="22" t="s">
        <v>7768</v>
      </c>
      <c r="C445" s="22" t="s">
        <v>7716</v>
      </c>
      <c r="D445" s="22" t="s">
        <v>7710</v>
      </c>
      <c r="E445" s="22" t="s">
        <v>5372</v>
      </c>
      <c r="F445" s="24" t="s">
        <v>5373</v>
      </c>
      <c r="G445" s="23" t="s">
        <v>32</v>
      </c>
      <c r="H445" s="22"/>
      <c r="I445" s="22"/>
      <c r="J445" s="22" t="s">
        <v>1165</v>
      </c>
      <c r="K445" s="24"/>
      <c r="L445" s="24"/>
      <c r="M445" s="25" t="s">
        <v>5374</v>
      </c>
      <c r="N445" s="22"/>
      <c r="O445" s="22" t="s">
        <v>5372</v>
      </c>
      <c r="P445" s="22" t="str">
        <f>HYPERLINK("https://ceds.ed.gov/cedselementdetails.aspx?termid=21600")</f>
        <v>https://ceds.ed.gov/cedselementdetails.aspx?termid=21600</v>
      </c>
      <c r="Q445" s="22">
        <v>62279</v>
      </c>
    </row>
    <row r="446" spans="1:17" ht="158.4" x14ac:dyDescent="0.3">
      <c r="A446" s="22" t="s">
        <v>7709</v>
      </c>
      <c r="B446" s="22" t="s">
        <v>7768</v>
      </c>
      <c r="C446" s="22" t="s">
        <v>7716</v>
      </c>
      <c r="D446" s="22" t="s">
        <v>7710</v>
      </c>
      <c r="E446" s="22" t="s">
        <v>2536</v>
      </c>
      <c r="F446" s="24" t="s">
        <v>2537</v>
      </c>
      <c r="G446" s="23" t="s">
        <v>32</v>
      </c>
      <c r="H446" s="22"/>
      <c r="I446" s="22"/>
      <c r="J446" s="22" t="s">
        <v>2538</v>
      </c>
      <c r="K446" s="24"/>
      <c r="L446" s="24"/>
      <c r="M446" s="25" t="s">
        <v>2539</v>
      </c>
      <c r="N446" s="22"/>
      <c r="O446" s="22" t="s">
        <v>2540</v>
      </c>
      <c r="P446" s="22" t="str">
        <f>HYPERLINK("https://ceds.ed.gov/cedselementdetails.aspx?termid=22176")</f>
        <v>https://ceds.ed.gov/cedselementdetails.aspx?termid=22176</v>
      </c>
      <c r="Q446" s="22">
        <v>63297</v>
      </c>
    </row>
    <row r="447" spans="1:17" ht="57.6" x14ac:dyDescent="0.3">
      <c r="A447" s="22" t="s">
        <v>7709</v>
      </c>
      <c r="B447" s="22" t="s">
        <v>7768</v>
      </c>
      <c r="C447" s="22" t="s">
        <v>7716</v>
      </c>
      <c r="D447" s="22" t="s">
        <v>7710</v>
      </c>
      <c r="E447" s="22" t="s">
        <v>3228</v>
      </c>
      <c r="F447" s="24" t="s">
        <v>3229</v>
      </c>
      <c r="G447" s="26" t="s">
        <v>3039</v>
      </c>
      <c r="H447" s="22"/>
      <c r="I447" s="22" t="s">
        <v>172</v>
      </c>
      <c r="J447" s="22"/>
      <c r="K447" s="24" t="s">
        <v>7946</v>
      </c>
      <c r="L447" s="24"/>
      <c r="M447" s="25" t="s">
        <v>3230</v>
      </c>
      <c r="N447" s="22"/>
      <c r="O447" s="22" t="s">
        <v>3231</v>
      </c>
      <c r="P447" s="22" t="str">
        <f>HYPERLINK("https://ceds.ed.gov/cedselementdetails.aspx?termid=22905")</f>
        <v>https://ceds.ed.gov/cedselementdetails.aspx?termid=22905</v>
      </c>
      <c r="Q447" s="22">
        <v>63298</v>
      </c>
    </row>
    <row r="448" spans="1:17" ht="72" x14ac:dyDescent="0.3">
      <c r="A448" s="22" t="s">
        <v>7709</v>
      </c>
      <c r="B448" s="22" t="s">
        <v>7768</v>
      </c>
      <c r="C448" s="22" t="s">
        <v>7717</v>
      </c>
      <c r="D448" s="22" t="s">
        <v>7710</v>
      </c>
      <c r="E448" s="22" t="s">
        <v>7159</v>
      </c>
      <c r="F448" s="24" t="s">
        <v>7160</v>
      </c>
      <c r="G448" s="23" t="s">
        <v>32</v>
      </c>
      <c r="H448" s="24" t="s">
        <v>64</v>
      </c>
      <c r="I448" s="22"/>
      <c r="J448" s="22" t="s">
        <v>7161</v>
      </c>
      <c r="K448" s="24"/>
      <c r="L448" s="24"/>
      <c r="M448" s="25" t="s">
        <v>7162</v>
      </c>
      <c r="N448" s="22"/>
      <c r="O448" s="22" t="s">
        <v>7163</v>
      </c>
      <c r="P448" s="22" t="str">
        <f>HYPERLINK("https://ceds.ed.gov/cedselementdetails.aspx?termid=21279")</f>
        <v>https://ceds.ed.gov/cedselementdetails.aspx?termid=21279</v>
      </c>
      <c r="Q448" s="22">
        <v>59977</v>
      </c>
    </row>
    <row r="449" spans="1:17" ht="86.4" x14ac:dyDescent="0.3">
      <c r="A449" s="22" t="s">
        <v>7709</v>
      </c>
      <c r="B449" s="22" t="s">
        <v>7768</v>
      </c>
      <c r="C449" s="22" t="s">
        <v>7717</v>
      </c>
      <c r="D449" s="22" t="s">
        <v>7710</v>
      </c>
      <c r="E449" s="22" t="s">
        <v>7168</v>
      </c>
      <c r="F449" s="24" t="s">
        <v>7169</v>
      </c>
      <c r="G449" s="26" t="s">
        <v>9168</v>
      </c>
      <c r="H449" s="24" t="s">
        <v>64</v>
      </c>
      <c r="I449" s="22"/>
      <c r="J449" s="22" t="s">
        <v>2543</v>
      </c>
      <c r="K449" s="24"/>
      <c r="L449" s="24"/>
      <c r="M449" s="25" t="s">
        <v>7170</v>
      </c>
      <c r="N449" s="22"/>
      <c r="O449" s="22" t="s">
        <v>7171</v>
      </c>
      <c r="P449" s="22" t="str">
        <f>HYPERLINK("https://ceds.ed.gov/cedselementdetails.aspx?termid=21280")</f>
        <v>https://ceds.ed.gov/cedselementdetails.aspx?termid=21280</v>
      </c>
      <c r="Q449" s="22">
        <v>59976</v>
      </c>
    </row>
    <row r="450" spans="1:17" ht="72" x14ac:dyDescent="0.3">
      <c r="A450" s="22" t="s">
        <v>7709</v>
      </c>
      <c r="B450" s="22" t="s">
        <v>7768</v>
      </c>
      <c r="C450" s="22" t="s">
        <v>7717</v>
      </c>
      <c r="D450" s="22" t="s">
        <v>7710</v>
      </c>
      <c r="E450" s="22" t="s">
        <v>5965</v>
      </c>
      <c r="F450" s="24" t="s">
        <v>5966</v>
      </c>
      <c r="G450" s="26" t="s">
        <v>22</v>
      </c>
      <c r="H450" s="24" t="s">
        <v>64</v>
      </c>
      <c r="I450" s="22"/>
      <c r="J450" s="22"/>
      <c r="K450" s="24"/>
      <c r="L450" s="24"/>
      <c r="M450" s="25" t="s">
        <v>5967</v>
      </c>
      <c r="N450" s="22"/>
      <c r="O450" s="22" t="s">
        <v>5968</v>
      </c>
      <c r="P450" s="22" t="str">
        <f>HYPERLINK("https://ceds.ed.gov/cedselementdetails.aspx?termid=21219")</f>
        <v>https://ceds.ed.gov/cedselementdetails.aspx?termid=21219</v>
      </c>
      <c r="Q450" s="22">
        <v>60212</v>
      </c>
    </row>
    <row r="451" spans="1:17" ht="57.6" x14ac:dyDescent="0.3">
      <c r="A451" s="22" t="s">
        <v>7709</v>
      </c>
      <c r="B451" s="22" t="s">
        <v>7768</v>
      </c>
      <c r="C451" s="22" t="s">
        <v>7717</v>
      </c>
      <c r="D451" s="22" t="s">
        <v>7710</v>
      </c>
      <c r="E451" s="22" t="s">
        <v>3228</v>
      </c>
      <c r="F451" s="24" t="s">
        <v>3229</v>
      </c>
      <c r="G451" s="26" t="s">
        <v>3039</v>
      </c>
      <c r="H451" s="22"/>
      <c r="I451" s="22" t="s">
        <v>172</v>
      </c>
      <c r="J451" s="22"/>
      <c r="K451" s="24" t="s">
        <v>7946</v>
      </c>
      <c r="L451" s="24"/>
      <c r="M451" s="25" t="s">
        <v>3230</v>
      </c>
      <c r="N451" s="22"/>
      <c r="O451" s="22" t="s">
        <v>3231</v>
      </c>
      <c r="P451" s="22" t="str">
        <f>HYPERLINK("https://ceds.ed.gov/cedselementdetails.aspx?termid=22905")</f>
        <v>https://ceds.ed.gov/cedselementdetails.aspx?termid=22905</v>
      </c>
      <c r="Q451" s="22">
        <v>63300</v>
      </c>
    </row>
    <row r="452" spans="1:17" ht="57.6" x14ac:dyDescent="0.3">
      <c r="A452" s="22" t="s">
        <v>7709</v>
      </c>
      <c r="B452" s="22" t="s">
        <v>7768</v>
      </c>
      <c r="C452" s="22" t="s">
        <v>7717</v>
      </c>
      <c r="D452" s="22" t="s">
        <v>7710</v>
      </c>
      <c r="E452" s="22" t="s">
        <v>7164</v>
      </c>
      <c r="F452" s="24" t="s">
        <v>7165</v>
      </c>
      <c r="G452" s="26" t="s">
        <v>9167</v>
      </c>
      <c r="H452" s="22"/>
      <c r="I452" s="22"/>
      <c r="J452" s="22"/>
      <c r="K452" s="24"/>
      <c r="L452" s="24"/>
      <c r="M452" s="25" t="s">
        <v>7166</v>
      </c>
      <c r="N452" s="22"/>
      <c r="O452" s="22" t="s">
        <v>7167</v>
      </c>
      <c r="P452" s="22" t="str">
        <f>HYPERLINK("https://ceds.ed.gov/cedselementdetails.aspx?termid=22911")</f>
        <v>https://ceds.ed.gov/cedselementdetails.aspx?termid=22911</v>
      </c>
      <c r="Q452" s="22">
        <v>63301</v>
      </c>
    </row>
    <row r="453" spans="1:17" ht="72" x14ac:dyDescent="0.3">
      <c r="A453" s="22" t="s">
        <v>7709</v>
      </c>
      <c r="B453" s="22" t="s">
        <v>7768</v>
      </c>
      <c r="C453" s="22" t="s">
        <v>7718</v>
      </c>
      <c r="D453" s="22" t="s">
        <v>7710</v>
      </c>
      <c r="E453" s="22" t="s">
        <v>3461</v>
      </c>
      <c r="F453" s="24" t="s">
        <v>3462</v>
      </c>
      <c r="G453" s="23" t="s">
        <v>32</v>
      </c>
      <c r="H453" s="24" t="s">
        <v>64</v>
      </c>
      <c r="I453" s="22" t="s">
        <v>172</v>
      </c>
      <c r="J453" s="22" t="s">
        <v>3463</v>
      </c>
      <c r="K453" s="24" t="s">
        <v>7946</v>
      </c>
      <c r="L453" s="24"/>
      <c r="M453" s="25" t="s">
        <v>3464</v>
      </c>
      <c r="N453" s="22" t="s">
        <v>3465</v>
      </c>
      <c r="O453" s="22" t="s">
        <v>3466</v>
      </c>
      <c r="P453" s="22" t="str">
        <f>HYPERLINK("https://ceds.ed.gov/cedselementdetails.aspx?termid=21088")</f>
        <v>https://ceds.ed.gov/cedselementdetails.aspx?termid=21088</v>
      </c>
      <c r="Q453" s="22">
        <v>59979</v>
      </c>
    </row>
    <row r="454" spans="1:17" ht="72" x14ac:dyDescent="0.3">
      <c r="A454" s="22" t="s">
        <v>7709</v>
      </c>
      <c r="B454" s="22" t="s">
        <v>7768</v>
      </c>
      <c r="C454" s="22" t="s">
        <v>7718</v>
      </c>
      <c r="D454" s="22" t="s">
        <v>7710</v>
      </c>
      <c r="E454" s="22" t="s">
        <v>3467</v>
      </c>
      <c r="F454" s="24" t="s">
        <v>3468</v>
      </c>
      <c r="G454" s="26" t="s">
        <v>8430</v>
      </c>
      <c r="H454" s="24" t="s">
        <v>64</v>
      </c>
      <c r="I454" s="22" t="s">
        <v>172</v>
      </c>
      <c r="J454" s="22"/>
      <c r="K454" s="24" t="s">
        <v>7946</v>
      </c>
      <c r="L454" s="24"/>
      <c r="M454" s="25" t="s">
        <v>3469</v>
      </c>
      <c r="N454" s="22" t="s">
        <v>3470</v>
      </c>
      <c r="O454" s="22" t="s">
        <v>3471</v>
      </c>
      <c r="P454" s="22" t="str">
        <f>HYPERLINK("https://ceds.ed.gov/cedselementdetails.aspx?termid=21089")</f>
        <v>https://ceds.ed.gov/cedselementdetails.aspx?termid=21089</v>
      </c>
      <c r="Q454" s="22">
        <v>59978</v>
      </c>
    </row>
    <row r="455" spans="1:17" ht="57.6" x14ac:dyDescent="0.3">
      <c r="A455" s="22" t="s">
        <v>7709</v>
      </c>
      <c r="B455" s="22" t="s">
        <v>7768</v>
      </c>
      <c r="C455" s="22" t="s">
        <v>7718</v>
      </c>
      <c r="D455" s="22" t="s">
        <v>7710</v>
      </c>
      <c r="E455" s="22" t="s">
        <v>3228</v>
      </c>
      <c r="F455" s="24" t="s">
        <v>3229</v>
      </c>
      <c r="G455" s="26" t="s">
        <v>3039</v>
      </c>
      <c r="H455" s="22"/>
      <c r="I455" s="22" t="s">
        <v>172</v>
      </c>
      <c r="J455" s="22"/>
      <c r="K455" s="24" t="s">
        <v>7946</v>
      </c>
      <c r="L455" s="24"/>
      <c r="M455" s="25" t="s">
        <v>3230</v>
      </c>
      <c r="N455" s="22"/>
      <c r="O455" s="22" t="s">
        <v>3231</v>
      </c>
      <c r="P455" s="22" t="str">
        <f>HYPERLINK("https://ceds.ed.gov/cedselementdetails.aspx?termid=22905")</f>
        <v>https://ceds.ed.gov/cedselementdetails.aspx?termid=22905</v>
      </c>
      <c r="Q455" s="22">
        <v>63299</v>
      </c>
    </row>
    <row r="456" spans="1:17" ht="201.6" x14ac:dyDescent="0.3">
      <c r="A456" s="22" t="s">
        <v>7709</v>
      </c>
      <c r="B456" s="22" t="s">
        <v>7768</v>
      </c>
      <c r="C456" s="22" t="s">
        <v>7742</v>
      </c>
      <c r="D456" s="22" t="s">
        <v>7710</v>
      </c>
      <c r="E456" s="22" t="s">
        <v>1544</v>
      </c>
      <c r="F456" s="24" t="s">
        <v>1545</v>
      </c>
      <c r="G456" s="23" t="s">
        <v>32</v>
      </c>
      <c r="H456" s="24" t="s">
        <v>1547</v>
      </c>
      <c r="I456" s="22"/>
      <c r="J456" s="22" t="s">
        <v>118</v>
      </c>
      <c r="K456" s="24"/>
      <c r="L456" s="24"/>
      <c r="M456" s="25" t="s">
        <v>1546</v>
      </c>
      <c r="N456" s="22"/>
      <c r="O456" s="22" t="s">
        <v>1544</v>
      </c>
      <c r="P456" s="22" t="str">
        <f>HYPERLINK("https://ceds.ed.gov/cedselementdetails.aspx?termid=21033")</f>
        <v>https://ceds.ed.gov/cedselementdetails.aspx?termid=21033</v>
      </c>
      <c r="Q456" s="22">
        <v>61660</v>
      </c>
    </row>
    <row r="457" spans="1:17" ht="216" x14ac:dyDescent="0.3">
      <c r="A457" s="22" t="s">
        <v>7709</v>
      </c>
      <c r="B457" s="22" t="s">
        <v>7768</v>
      </c>
      <c r="C457" s="22" t="s">
        <v>7742</v>
      </c>
      <c r="D457" s="22" t="s">
        <v>7710</v>
      </c>
      <c r="E457" s="22" t="s">
        <v>6763</v>
      </c>
      <c r="F457" s="24" t="s">
        <v>6764</v>
      </c>
      <c r="G457" s="26" t="s">
        <v>9142</v>
      </c>
      <c r="H457" s="24" t="s">
        <v>6767</v>
      </c>
      <c r="I457" s="22"/>
      <c r="J457" s="22"/>
      <c r="K457" s="24"/>
      <c r="L457" s="24" t="s">
        <v>6765</v>
      </c>
      <c r="M457" s="25" t="s">
        <v>6766</v>
      </c>
      <c r="N457" s="22"/>
      <c r="O457" s="22" t="s">
        <v>6763</v>
      </c>
      <c r="P457" s="22" t="str">
        <f>HYPERLINK("https://ceds.ed.gov/cedselementdetails.aspx?termid=21255")</f>
        <v>https://ceds.ed.gov/cedselementdetails.aspx?termid=21255</v>
      </c>
      <c r="Q457" s="22">
        <v>62470</v>
      </c>
    </row>
    <row r="458" spans="1:17" ht="115.2" x14ac:dyDescent="0.3">
      <c r="A458" s="22" t="s">
        <v>7709</v>
      </c>
      <c r="B458" s="22" t="s">
        <v>7768</v>
      </c>
      <c r="C458" s="22" t="s">
        <v>7742</v>
      </c>
      <c r="D458" s="22" t="s">
        <v>7710</v>
      </c>
      <c r="E458" s="22" t="s">
        <v>6924</v>
      </c>
      <c r="F458" s="24" t="s">
        <v>8326</v>
      </c>
      <c r="G458" s="23" t="s">
        <v>32</v>
      </c>
      <c r="H458" s="22" t="s">
        <v>69</v>
      </c>
      <c r="I458" s="22"/>
      <c r="J458" s="22" t="s">
        <v>6925</v>
      </c>
      <c r="K458" s="24"/>
      <c r="L458" s="24"/>
      <c r="M458" s="25" t="s">
        <v>6926</v>
      </c>
      <c r="N458" s="22"/>
      <c r="O458" s="22" t="s">
        <v>6927</v>
      </c>
      <c r="P458" s="22" t="str">
        <f>HYPERLINK("https://ceds.ed.gov/cedselementdetails.aspx?termid=21707")</f>
        <v>https://ceds.ed.gov/cedselementdetails.aspx?termid=21707</v>
      </c>
      <c r="Q458" s="22">
        <v>62471</v>
      </c>
    </row>
    <row r="459" spans="1:17" ht="409.6" x14ac:dyDescent="0.3">
      <c r="A459" s="22" t="s">
        <v>7709</v>
      </c>
      <c r="B459" s="22" t="s">
        <v>7768</v>
      </c>
      <c r="C459" s="22" t="s">
        <v>7742</v>
      </c>
      <c r="D459" s="22" t="s">
        <v>7710</v>
      </c>
      <c r="E459" s="22" t="s">
        <v>2531</v>
      </c>
      <c r="F459" s="24" t="s">
        <v>2532</v>
      </c>
      <c r="G459" s="26" t="s">
        <v>8743</v>
      </c>
      <c r="H459" s="24" t="s">
        <v>2535</v>
      </c>
      <c r="I459" s="22"/>
      <c r="J459" s="22"/>
      <c r="K459" s="24"/>
      <c r="L459" s="24" t="s">
        <v>8055</v>
      </c>
      <c r="M459" s="25" t="s">
        <v>2533</v>
      </c>
      <c r="N459" s="22"/>
      <c r="O459" s="22" t="s">
        <v>2534</v>
      </c>
      <c r="P459" s="22" t="str">
        <f>HYPERLINK("https://ceds.ed.gov/cedselementdetails.aspx?termid=21051")</f>
        <v>https://ceds.ed.gov/cedselementdetails.aspx?termid=21051</v>
      </c>
      <c r="Q459" s="22">
        <v>63302</v>
      </c>
    </row>
    <row r="460" spans="1:17" ht="100.8" x14ac:dyDescent="0.3">
      <c r="A460" s="22" t="s">
        <v>7709</v>
      </c>
      <c r="B460" s="22" t="s">
        <v>7768</v>
      </c>
      <c r="C460" s="22" t="s">
        <v>7742</v>
      </c>
      <c r="D460" s="22" t="s">
        <v>7710</v>
      </c>
      <c r="E460" s="22" t="s">
        <v>5486</v>
      </c>
      <c r="F460" s="24" t="s">
        <v>8254</v>
      </c>
      <c r="G460" s="26" t="s">
        <v>9036</v>
      </c>
      <c r="H460" s="22"/>
      <c r="I460" s="22"/>
      <c r="J460" s="22"/>
      <c r="K460" s="24"/>
      <c r="L460" s="24"/>
      <c r="M460" s="25" t="s">
        <v>5487</v>
      </c>
      <c r="N460" s="22"/>
      <c r="O460" s="22" t="s">
        <v>5488</v>
      </c>
      <c r="P460" s="22" t="str">
        <f>HYPERLINK("https://ceds.ed.gov/cedselementdetails.aspx?termid=22621")</f>
        <v>https://ceds.ed.gov/cedselementdetails.aspx?termid=22621</v>
      </c>
      <c r="Q460" s="22">
        <v>63303</v>
      </c>
    </row>
    <row r="461" spans="1:17" ht="57.6" x14ac:dyDescent="0.3">
      <c r="A461" s="22" t="s">
        <v>7709</v>
      </c>
      <c r="B461" s="22" t="s">
        <v>7768</v>
      </c>
      <c r="C461" s="22" t="s">
        <v>7742</v>
      </c>
      <c r="D461" s="22" t="s">
        <v>7710</v>
      </c>
      <c r="E461" s="22" t="s">
        <v>7288</v>
      </c>
      <c r="F461" s="24" t="s">
        <v>7289</v>
      </c>
      <c r="G461" s="23" t="s">
        <v>7423</v>
      </c>
      <c r="H461" s="22"/>
      <c r="I461" s="22"/>
      <c r="J461" s="22"/>
      <c r="K461" s="24"/>
      <c r="L461" s="24"/>
      <c r="M461" s="25" t="s">
        <v>7290</v>
      </c>
      <c r="N461" s="22"/>
      <c r="O461" s="22" t="s">
        <v>7291</v>
      </c>
      <c r="P461" s="22" t="str">
        <f>HYPERLINK("https://ceds.ed.gov/cedselementdetails.aspx?termid=22638")</f>
        <v>https://ceds.ed.gov/cedselementdetails.aspx?termid=22638</v>
      </c>
      <c r="Q461" s="22">
        <v>63304</v>
      </c>
    </row>
    <row r="462" spans="1:17" ht="144" x14ac:dyDescent="0.3">
      <c r="A462" s="22" t="s">
        <v>7709</v>
      </c>
      <c r="B462" s="22" t="s">
        <v>7768</v>
      </c>
      <c r="C462" s="22" t="s">
        <v>7742</v>
      </c>
      <c r="D462" s="22" t="s">
        <v>7710</v>
      </c>
      <c r="E462" s="22" t="s">
        <v>7640</v>
      </c>
      <c r="F462" s="24" t="s">
        <v>7641</v>
      </c>
      <c r="G462" s="26" t="s">
        <v>9121</v>
      </c>
      <c r="H462" s="22"/>
      <c r="I462" s="22"/>
      <c r="J462" s="22"/>
      <c r="K462" s="24"/>
      <c r="L462" s="24" t="s">
        <v>7642</v>
      </c>
      <c r="M462" s="25" t="s">
        <v>7643</v>
      </c>
      <c r="N462" s="22"/>
      <c r="O462" s="22" t="s">
        <v>7640</v>
      </c>
      <c r="P462" s="22" t="str">
        <f>HYPERLINK("https://ceds.ed.gov/cedselementdetails.aspx?termid=22955")</f>
        <v>https://ceds.ed.gov/cedselementdetails.aspx?termid=22955</v>
      </c>
      <c r="Q462" s="22">
        <v>63517</v>
      </c>
    </row>
    <row r="463" spans="1:17" ht="409.6" x14ac:dyDescent="0.3">
      <c r="A463" s="22" t="s">
        <v>7709</v>
      </c>
      <c r="B463" s="22" t="s">
        <v>7768</v>
      </c>
      <c r="C463" s="22" t="s">
        <v>7769</v>
      </c>
      <c r="D463" s="22" t="s">
        <v>7710</v>
      </c>
      <c r="E463" s="22" t="s">
        <v>4332</v>
      </c>
      <c r="F463" s="24" t="s">
        <v>4333</v>
      </c>
      <c r="G463" s="26" t="s">
        <v>8734</v>
      </c>
      <c r="H463" s="24" t="s">
        <v>4336</v>
      </c>
      <c r="I463" s="22"/>
      <c r="J463" s="22"/>
      <c r="K463" s="24"/>
      <c r="L463" s="24"/>
      <c r="M463" s="25" t="s">
        <v>4334</v>
      </c>
      <c r="N463" s="22"/>
      <c r="O463" s="22" t="s">
        <v>4335</v>
      </c>
      <c r="P463" s="22" t="str">
        <f>HYPERLINK("https://ceds.ed.gov/cedselementdetails.aspx?termid=21141")</f>
        <v>https://ceds.ed.gov/cedselementdetails.aspx?termid=21141</v>
      </c>
      <c r="Q463" s="22">
        <v>59152</v>
      </c>
    </row>
    <row r="464" spans="1:17" ht="158.4" x14ac:dyDescent="0.3">
      <c r="A464" s="22" t="s">
        <v>7709</v>
      </c>
      <c r="B464" s="22" t="s">
        <v>7768</v>
      </c>
      <c r="C464" s="22" t="s">
        <v>7770</v>
      </c>
      <c r="D464" s="22" t="s">
        <v>7710</v>
      </c>
      <c r="E464" s="22" t="s">
        <v>4826</v>
      </c>
      <c r="F464" s="24" t="s">
        <v>4827</v>
      </c>
      <c r="G464" s="26" t="s">
        <v>8786</v>
      </c>
      <c r="H464" s="22" t="s">
        <v>3099</v>
      </c>
      <c r="I464" s="22"/>
      <c r="J464" s="22"/>
      <c r="K464" s="24"/>
      <c r="L464" s="24" t="s">
        <v>8077</v>
      </c>
      <c r="M464" s="25" t="s">
        <v>4828</v>
      </c>
      <c r="N464" s="22"/>
      <c r="O464" s="22" t="s">
        <v>4829</v>
      </c>
      <c r="P464" s="22" t="str">
        <f>HYPERLINK("https://ceds.ed.gov/cedselementdetails.aspx?termid=21334")</f>
        <v>https://ceds.ed.gov/cedselementdetails.aspx?termid=21334</v>
      </c>
      <c r="Q464" s="22">
        <v>62001</v>
      </c>
    </row>
    <row r="465" spans="1:17" ht="158.4" x14ac:dyDescent="0.3">
      <c r="A465" s="22" t="s">
        <v>7709</v>
      </c>
      <c r="B465" s="22" t="s">
        <v>7768</v>
      </c>
      <c r="C465" s="22" t="s">
        <v>7770</v>
      </c>
      <c r="D465" s="22" t="s">
        <v>7710</v>
      </c>
      <c r="E465" s="22" t="s">
        <v>3095</v>
      </c>
      <c r="F465" s="24" t="s">
        <v>3096</v>
      </c>
      <c r="G465" s="26" t="s">
        <v>8786</v>
      </c>
      <c r="H465" s="22" t="s">
        <v>3099</v>
      </c>
      <c r="I465" s="22"/>
      <c r="J465" s="22"/>
      <c r="K465" s="24"/>
      <c r="L465" s="24" t="s">
        <v>8077</v>
      </c>
      <c r="M465" s="25" t="s">
        <v>3097</v>
      </c>
      <c r="N465" s="22"/>
      <c r="O465" s="22" t="s">
        <v>3098</v>
      </c>
      <c r="P465" s="22" t="str">
        <f>HYPERLINK("https://ceds.ed.gov/cedselementdetails.aspx?termid=21335")</f>
        <v>https://ceds.ed.gov/cedselementdetails.aspx?termid=21335</v>
      </c>
      <c r="Q465" s="22">
        <v>62002</v>
      </c>
    </row>
    <row r="466" spans="1:17" ht="115.2" x14ac:dyDescent="0.3">
      <c r="A466" s="22" t="s">
        <v>7709</v>
      </c>
      <c r="B466" s="22" t="s">
        <v>7768</v>
      </c>
      <c r="C466" s="22" t="s">
        <v>7754</v>
      </c>
      <c r="D466" s="22" t="s">
        <v>7710</v>
      </c>
      <c r="E466" s="22" t="s">
        <v>4923</v>
      </c>
      <c r="F466" s="24" t="s">
        <v>4924</v>
      </c>
      <c r="G466" s="23" t="s">
        <v>7423</v>
      </c>
      <c r="H466" s="24" t="s">
        <v>4927</v>
      </c>
      <c r="I466" s="22"/>
      <c r="J466" s="22"/>
      <c r="K466" s="24"/>
      <c r="L466" s="24" t="s">
        <v>7994</v>
      </c>
      <c r="M466" s="25" t="s">
        <v>4925</v>
      </c>
      <c r="N466" s="22"/>
      <c r="O466" s="22" t="s">
        <v>4926</v>
      </c>
      <c r="P466" s="22" t="str">
        <f>HYPERLINK("https://ceds.ed.gov/cedselementdetails.aspx?termid=21317")</f>
        <v>https://ceds.ed.gov/cedselementdetails.aspx?termid=21317</v>
      </c>
      <c r="Q466" s="22">
        <v>63305</v>
      </c>
    </row>
    <row r="467" spans="1:17" ht="115.2" x14ac:dyDescent="0.3">
      <c r="A467" s="22" t="s">
        <v>7709</v>
      </c>
      <c r="B467" s="22" t="s">
        <v>7768</v>
      </c>
      <c r="C467" s="22" t="s">
        <v>7754</v>
      </c>
      <c r="D467" s="22" t="s">
        <v>7710</v>
      </c>
      <c r="E467" s="22" t="s">
        <v>4928</v>
      </c>
      <c r="F467" s="24" t="s">
        <v>4924</v>
      </c>
      <c r="G467" s="23" t="s">
        <v>7423</v>
      </c>
      <c r="H467" s="22"/>
      <c r="I467" s="22" t="s">
        <v>172</v>
      </c>
      <c r="J467" s="22"/>
      <c r="K467" s="24" t="s">
        <v>8231</v>
      </c>
      <c r="L467" s="24" t="s">
        <v>8232</v>
      </c>
      <c r="M467" s="25" t="s">
        <v>4929</v>
      </c>
      <c r="N467" s="22"/>
      <c r="O467" s="22" t="s">
        <v>4930</v>
      </c>
      <c r="P467" s="22" t="str">
        <f>HYPERLINK("https://ceds.ed.gov/cedselementdetails.aspx?termid=22618")</f>
        <v>https://ceds.ed.gov/cedselementdetails.aspx?termid=22618</v>
      </c>
      <c r="Q467" s="22">
        <v>63306</v>
      </c>
    </row>
    <row r="468" spans="1:17" ht="409.6" x14ac:dyDescent="0.3">
      <c r="A468" s="22" t="s">
        <v>7709</v>
      </c>
      <c r="B468" s="22" t="s">
        <v>7768</v>
      </c>
      <c r="C468" s="22" t="s">
        <v>7754</v>
      </c>
      <c r="D468" s="22" t="s">
        <v>7710</v>
      </c>
      <c r="E468" s="22" t="s">
        <v>4931</v>
      </c>
      <c r="F468" s="24" t="s">
        <v>4932</v>
      </c>
      <c r="G468" s="26" t="s">
        <v>8988</v>
      </c>
      <c r="H468" s="22"/>
      <c r="I468" s="22"/>
      <c r="J468" s="22"/>
      <c r="K468" s="24"/>
      <c r="L468" s="24" t="s">
        <v>8233</v>
      </c>
      <c r="M468" s="25" t="s">
        <v>4933</v>
      </c>
      <c r="N468" s="22"/>
      <c r="O468" s="22" t="s">
        <v>4934</v>
      </c>
      <c r="P468" s="22" t="str">
        <f>HYPERLINK("https://ceds.ed.gov/cedselementdetails.aspx?termid=22619")</f>
        <v>https://ceds.ed.gov/cedselementdetails.aspx?termid=22619</v>
      </c>
      <c r="Q468" s="22">
        <v>63307</v>
      </c>
    </row>
    <row r="469" spans="1:17" ht="129.6" x14ac:dyDescent="0.3">
      <c r="A469" s="22" t="s">
        <v>7709</v>
      </c>
      <c r="B469" s="22" t="s">
        <v>7768</v>
      </c>
      <c r="C469" s="22" t="s">
        <v>7754</v>
      </c>
      <c r="D469" s="22" t="s">
        <v>7710</v>
      </c>
      <c r="E469" s="22" t="s">
        <v>4965</v>
      </c>
      <c r="F469" s="24" t="s">
        <v>4966</v>
      </c>
      <c r="G469" s="26" t="s">
        <v>8993</v>
      </c>
      <c r="H469" s="24" t="s">
        <v>4927</v>
      </c>
      <c r="I469" s="22"/>
      <c r="J469" s="22"/>
      <c r="K469" s="24"/>
      <c r="L469" s="24"/>
      <c r="M469" s="25" t="s">
        <v>4967</v>
      </c>
      <c r="N469" s="22"/>
      <c r="O469" s="22" t="s">
        <v>4968</v>
      </c>
      <c r="P469" s="22" t="str">
        <f>HYPERLINK("https://ceds.ed.gov/cedselementdetails.aspx?termid=21316")</f>
        <v>https://ceds.ed.gov/cedselementdetails.aspx?termid=21316</v>
      </c>
      <c r="Q469" s="22">
        <v>63308</v>
      </c>
    </row>
    <row r="470" spans="1:17" ht="57.6" x14ac:dyDescent="0.3">
      <c r="A470" s="22" t="s">
        <v>7709</v>
      </c>
      <c r="B470" s="22" t="s">
        <v>7768</v>
      </c>
      <c r="C470" s="22" t="s">
        <v>4</v>
      </c>
      <c r="D470" s="22" t="s">
        <v>7710</v>
      </c>
      <c r="E470" s="22" t="s">
        <v>6262</v>
      </c>
      <c r="F470" s="24" t="s">
        <v>6263</v>
      </c>
      <c r="G470" s="26" t="s">
        <v>22</v>
      </c>
      <c r="H470" s="22"/>
      <c r="I470" s="22"/>
      <c r="J470" s="22"/>
      <c r="K470" s="24"/>
      <c r="L470" s="24"/>
      <c r="M470" s="25" t="s">
        <v>6264</v>
      </c>
      <c r="N470" s="22"/>
      <c r="O470" s="22" t="s">
        <v>6265</v>
      </c>
      <c r="P470" s="22" t="str">
        <f>HYPERLINK("https://ceds.ed.gov/cedselementdetails.aspx?termid=21760")</f>
        <v>https://ceds.ed.gov/cedselementdetails.aspx?termid=21760</v>
      </c>
      <c r="Q470" s="22">
        <v>63309</v>
      </c>
    </row>
    <row r="471" spans="1:17" ht="172.8" x14ac:dyDescent="0.3">
      <c r="A471" s="22" t="s">
        <v>7709</v>
      </c>
      <c r="B471" s="22" t="s">
        <v>9195</v>
      </c>
      <c r="C471" s="22" t="s">
        <v>7711</v>
      </c>
      <c r="D471" s="22" t="s">
        <v>7710</v>
      </c>
      <c r="E471" s="22" t="s">
        <v>3907</v>
      </c>
      <c r="F471" s="24" t="s">
        <v>3908</v>
      </c>
      <c r="G471" s="23" t="s">
        <v>32</v>
      </c>
      <c r="H471" s="24" t="s">
        <v>2020</v>
      </c>
      <c r="I471" s="22"/>
      <c r="J471" s="22" t="s">
        <v>132</v>
      </c>
      <c r="K471" s="24"/>
      <c r="L471" s="24" t="s">
        <v>7945</v>
      </c>
      <c r="M471" s="25" t="s">
        <v>3909</v>
      </c>
      <c r="N471" s="22"/>
      <c r="O471" s="22" t="s">
        <v>3910</v>
      </c>
      <c r="P471" s="22" t="str">
        <f>HYPERLINK("https://ceds.ed.gov/cedselementdetails.aspx?termid=21784")</f>
        <v>https://ceds.ed.gov/cedselementdetails.aspx?termid=21784</v>
      </c>
      <c r="Q471" s="22">
        <v>60224</v>
      </c>
    </row>
    <row r="472" spans="1:17" ht="172.8" x14ac:dyDescent="0.3">
      <c r="A472" s="22" t="s">
        <v>7709</v>
      </c>
      <c r="B472" s="22" t="s">
        <v>9195</v>
      </c>
      <c r="C472" s="22" t="s">
        <v>7771</v>
      </c>
      <c r="D472" s="22" t="s">
        <v>7710</v>
      </c>
      <c r="E472" s="22" t="s">
        <v>5632</v>
      </c>
      <c r="F472" s="24" t="s">
        <v>8260</v>
      </c>
      <c r="G472" s="23" t="s">
        <v>32</v>
      </c>
      <c r="H472" s="22" t="s">
        <v>3099</v>
      </c>
      <c r="I472" s="22"/>
      <c r="J472" s="22" t="s">
        <v>317</v>
      </c>
      <c r="K472" s="24"/>
      <c r="L472" s="24"/>
      <c r="M472" s="25" t="s">
        <v>5633</v>
      </c>
      <c r="N472" s="22"/>
      <c r="O472" s="22" t="s">
        <v>5634</v>
      </c>
      <c r="P472" s="22" t="str">
        <f>HYPERLINK("https://ceds.ed.gov/cedselementdetails.aspx?termid=21329")</f>
        <v>https://ceds.ed.gov/cedselementdetails.aspx?termid=21329</v>
      </c>
      <c r="Q472" s="22">
        <v>58672</v>
      </c>
    </row>
    <row r="473" spans="1:17" ht="86.4" x14ac:dyDescent="0.3">
      <c r="A473" s="22" t="s">
        <v>7709</v>
      </c>
      <c r="B473" s="22" t="s">
        <v>9195</v>
      </c>
      <c r="C473" s="22" t="s">
        <v>7771</v>
      </c>
      <c r="D473" s="22" t="s">
        <v>7710</v>
      </c>
      <c r="E473" s="22" t="s">
        <v>5635</v>
      </c>
      <c r="F473" s="24" t="s">
        <v>5636</v>
      </c>
      <c r="G473" s="23" t="s">
        <v>32</v>
      </c>
      <c r="H473" s="22" t="s">
        <v>3099</v>
      </c>
      <c r="I473" s="22"/>
      <c r="J473" s="22" t="s">
        <v>317</v>
      </c>
      <c r="K473" s="24"/>
      <c r="L473" s="24" t="s">
        <v>7620</v>
      </c>
      <c r="M473" s="25" t="s">
        <v>5637</v>
      </c>
      <c r="N473" s="22"/>
      <c r="O473" s="22" t="s">
        <v>5638</v>
      </c>
      <c r="P473" s="22" t="str">
        <f>HYPERLINK("https://ceds.ed.gov/cedselementdetails.aspx?termid=21330")</f>
        <v>https://ceds.ed.gov/cedselementdetails.aspx?termid=21330</v>
      </c>
      <c r="Q473" s="22">
        <v>58673</v>
      </c>
    </row>
    <row r="474" spans="1:17" ht="409.6" x14ac:dyDescent="0.3">
      <c r="A474" s="22" t="s">
        <v>7709</v>
      </c>
      <c r="B474" s="22" t="s">
        <v>9195</v>
      </c>
      <c r="C474" s="22" t="s">
        <v>7771</v>
      </c>
      <c r="D474" s="22" t="s">
        <v>7710</v>
      </c>
      <c r="E474" s="22" t="s">
        <v>3911</v>
      </c>
      <c r="F474" s="24" t="s">
        <v>3912</v>
      </c>
      <c r="G474" s="23" t="s">
        <v>32</v>
      </c>
      <c r="H474" s="24" t="s">
        <v>399</v>
      </c>
      <c r="I474" s="22"/>
      <c r="J474" s="22" t="s">
        <v>1518</v>
      </c>
      <c r="K474" s="24"/>
      <c r="L474" s="24" t="s">
        <v>3913</v>
      </c>
      <c r="M474" s="25" t="s">
        <v>3914</v>
      </c>
      <c r="N474" s="22"/>
      <c r="O474" s="22" t="s">
        <v>3915</v>
      </c>
      <c r="P474" s="22" t="str">
        <f>HYPERLINK("https://ceds.ed.gov/cedselementdetails.aspx?termid=21331")</f>
        <v>https://ceds.ed.gov/cedselementdetails.aspx?termid=21331</v>
      </c>
      <c r="Q474" s="22">
        <v>58674</v>
      </c>
    </row>
    <row r="475" spans="1:17" ht="144" x14ac:dyDescent="0.3">
      <c r="A475" s="22" t="s">
        <v>7709</v>
      </c>
      <c r="B475" s="22" t="s">
        <v>9195</v>
      </c>
      <c r="C475" s="22" t="s">
        <v>7771</v>
      </c>
      <c r="D475" s="22" t="s">
        <v>7710</v>
      </c>
      <c r="E475" s="22" t="s">
        <v>6802</v>
      </c>
      <c r="F475" s="24" t="s">
        <v>6803</v>
      </c>
      <c r="G475" s="26" t="s">
        <v>9144</v>
      </c>
      <c r="H475" s="24" t="s">
        <v>399</v>
      </c>
      <c r="I475" s="22"/>
      <c r="J475" s="22"/>
      <c r="K475" s="24"/>
      <c r="L475" s="24"/>
      <c r="M475" s="25" t="s">
        <v>6804</v>
      </c>
      <c r="N475" s="22"/>
      <c r="O475" s="22" t="s">
        <v>6805</v>
      </c>
      <c r="P475" s="22" t="str">
        <f>HYPERLINK("https://ceds.ed.gov/cedselementdetails.aspx?termid=21332")</f>
        <v>https://ceds.ed.gov/cedselementdetails.aspx?termid=21332</v>
      </c>
      <c r="Q475" s="22">
        <v>58675</v>
      </c>
    </row>
    <row r="476" spans="1:17" ht="43.2" x14ac:dyDescent="0.3">
      <c r="A476" s="22" t="s">
        <v>7709</v>
      </c>
      <c r="B476" s="22" t="s">
        <v>9195</v>
      </c>
      <c r="C476" s="22" t="s">
        <v>7771</v>
      </c>
      <c r="D476" s="22" t="s">
        <v>7710</v>
      </c>
      <c r="E476" s="22" t="s">
        <v>4626</v>
      </c>
      <c r="F476" s="24" t="s">
        <v>4627</v>
      </c>
      <c r="G476" s="26" t="s">
        <v>8954</v>
      </c>
      <c r="H476" s="22"/>
      <c r="I476" s="22"/>
      <c r="J476" s="22"/>
      <c r="K476" s="24"/>
      <c r="L476" s="24"/>
      <c r="M476" s="25" t="s">
        <v>4628</v>
      </c>
      <c r="N476" s="22"/>
      <c r="O476" s="22" t="s">
        <v>4629</v>
      </c>
      <c r="P476" s="22" t="str">
        <f>HYPERLINK("https://ceds.ed.gov/cedselementdetails.aspx?termid=21333")</f>
        <v>https://ceds.ed.gov/cedselementdetails.aspx?termid=21333</v>
      </c>
      <c r="Q476" s="22">
        <v>58676</v>
      </c>
    </row>
    <row r="477" spans="1:17" ht="72" x14ac:dyDescent="0.3">
      <c r="A477" s="22" t="s">
        <v>7709</v>
      </c>
      <c r="B477" s="22" t="s">
        <v>9195</v>
      </c>
      <c r="C477" s="22" t="s">
        <v>7771</v>
      </c>
      <c r="D477" s="22" t="s">
        <v>7710</v>
      </c>
      <c r="E477" s="22" t="s">
        <v>6254</v>
      </c>
      <c r="F477" s="24" t="s">
        <v>6255</v>
      </c>
      <c r="G477" s="26" t="s">
        <v>9115</v>
      </c>
      <c r="H477" s="22" t="s">
        <v>3099</v>
      </c>
      <c r="I477" s="22"/>
      <c r="J477" s="22"/>
      <c r="K477" s="24"/>
      <c r="L477" s="24"/>
      <c r="M477" s="25" t="s">
        <v>6256</v>
      </c>
      <c r="N477" s="22"/>
      <c r="O477" s="22" t="s">
        <v>6257</v>
      </c>
      <c r="P477" s="22" t="str">
        <f>HYPERLINK("https://ceds.ed.gov/cedselementdetails.aspx?termid=21305")</f>
        <v>https://ceds.ed.gov/cedselementdetails.aspx?termid=21305</v>
      </c>
      <c r="Q477" s="22">
        <v>58671</v>
      </c>
    </row>
    <row r="478" spans="1:17" ht="43.2" x14ac:dyDescent="0.3">
      <c r="A478" s="22" t="s">
        <v>7709</v>
      </c>
      <c r="B478" s="22" t="s">
        <v>9195</v>
      </c>
      <c r="C478" s="22" t="s">
        <v>7771</v>
      </c>
      <c r="D478" s="22" t="s">
        <v>7710</v>
      </c>
      <c r="E478" s="22" t="s">
        <v>4618</v>
      </c>
      <c r="F478" s="24" t="s">
        <v>4619</v>
      </c>
      <c r="G478" s="26" t="s">
        <v>22</v>
      </c>
      <c r="H478" s="22"/>
      <c r="I478" s="22"/>
      <c r="J478" s="22"/>
      <c r="K478" s="24"/>
      <c r="L478" s="24"/>
      <c r="M478" s="25" t="s">
        <v>4620</v>
      </c>
      <c r="N478" s="22"/>
      <c r="O478" s="22" t="s">
        <v>4621</v>
      </c>
      <c r="P478" s="22" t="str">
        <f>HYPERLINK("https://ceds.ed.gov/cedselementdetails.aspx?termid=22591")</f>
        <v>https://ceds.ed.gov/cedselementdetails.aspx?termid=22591</v>
      </c>
      <c r="Q478" s="22">
        <v>62082</v>
      </c>
    </row>
    <row r="479" spans="1:17" ht="86.4" x14ac:dyDescent="0.3">
      <c r="A479" s="22" t="s">
        <v>7709</v>
      </c>
      <c r="B479" s="22" t="s">
        <v>9195</v>
      </c>
      <c r="C479" s="22" t="s">
        <v>7771</v>
      </c>
      <c r="D479" s="22" t="s">
        <v>7710</v>
      </c>
      <c r="E479" s="22" t="s">
        <v>7579</v>
      </c>
      <c r="F479" s="24" t="s">
        <v>7580</v>
      </c>
      <c r="G479" s="26" t="s">
        <v>9022</v>
      </c>
      <c r="H479" s="22"/>
      <c r="I479" s="22"/>
      <c r="J479" s="22"/>
      <c r="K479" s="24"/>
      <c r="L479" s="24" t="s">
        <v>7581</v>
      </c>
      <c r="M479" s="25" t="s">
        <v>7582</v>
      </c>
      <c r="N479" s="22"/>
      <c r="O479" s="22" t="s">
        <v>7583</v>
      </c>
      <c r="P479" s="22" t="str">
        <f>HYPERLINK("https://ceds.ed.gov/cedselementdetails.aspx?termid=22942")</f>
        <v>https://ceds.ed.gov/cedselementdetails.aspx?termid=22942</v>
      </c>
      <c r="Q479" s="22">
        <v>63509</v>
      </c>
    </row>
    <row r="480" spans="1:17" ht="158.4" x14ac:dyDescent="0.3">
      <c r="A480" s="22" t="s">
        <v>7709</v>
      </c>
      <c r="B480" s="22" t="s">
        <v>9196</v>
      </c>
      <c r="C480" s="22" t="s">
        <v>7738</v>
      </c>
      <c r="D480" s="22" t="s">
        <v>7710</v>
      </c>
      <c r="E480" s="22" t="s">
        <v>4050</v>
      </c>
      <c r="F480" s="24" t="s">
        <v>4051</v>
      </c>
      <c r="G480" s="23" t="s">
        <v>32</v>
      </c>
      <c r="H480" s="24" t="s">
        <v>4054</v>
      </c>
      <c r="I480" s="22"/>
      <c r="J480" s="22" t="s">
        <v>7536</v>
      </c>
      <c r="K480" s="24"/>
      <c r="L480" s="24" t="s">
        <v>8200</v>
      </c>
      <c r="M480" s="25" t="s">
        <v>4052</v>
      </c>
      <c r="N480" s="22"/>
      <c r="O480" s="22" t="s">
        <v>4053</v>
      </c>
      <c r="P480" s="22" t="str">
        <f>HYPERLINK("https://ceds.ed.gov/cedselementdetails.aspx?termid=21115")</f>
        <v>https://ceds.ed.gov/cedselementdetails.aspx?termid=21115</v>
      </c>
      <c r="Q480" s="22">
        <v>58682</v>
      </c>
    </row>
    <row r="481" spans="1:17" ht="158.4" x14ac:dyDescent="0.3">
      <c r="A481" s="22" t="s">
        <v>7709</v>
      </c>
      <c r="B481" s="22" t="s">
        <v>9196</v>
      </c>
      <c r="C481" s="22" t="s">
        <v>7738</v>
      </c>
      <c r="D481" s="22" t="s">
        <v>7710</v>
      </c>
      <c r="E481" s="22" t="s">
        <v>5415</v>
      </c>
      <c r="F481" s="24" t="s">
        <v>5416</v>
      </c>
      <c r="G481" s="23" t="s">
        <v>32</v>
      </c>
      <c r="H481" s="24" t="s">
        <v>4054</v>
      </c>
      <c r="I481" s="22"/>
      <c r="J481" s="22" t="s">
        <v>7536</v>
      </c>
      <c r="K481" s="24"/>
      <c r="L481" s="24" t="s">
        <v>8207</v>
      </c>
      <c r="M481" s="25" t="s">
        <v>5417</v>
      </c>
      <c r="N481" s="22"/>
      <c r="O481" s="22" t="s">
        <v>5418</v>
      </c>
      <c r="P481" s="22" t="str">
        <f>HYPERLINK("https://ceds.ed.gov/cedselementdetails.aspx?termid=21184")</f>
        <v>https://ceds.ed.gov/cedselementdetails.aspx?termid=21184</v>
      </c>
      <c r="Q481" s="22">
        <v>58686</v>
      </c>
    </row>
    <row r="482" spans="1:17" ht="158.4" x14ac:dyDescent="0.3">
      <c r="A482" s="22" t="s">
        <v>7709</v>
      </c>
      <c r="B482" s="22" t="s">
        <v>9196</v>
      </c>
      <c r="C482" s="22" t="s">
        <v>7738</v>
      </c>
      <c r="D482" s="22" t="s">
        <v>7710</v>
      </c>
      <c r="E482" s="22" t="s">
        <v>4973</v>
      </c>
      <c r="F482" s="24" t="s">
        <v>4974</v>
      </c>
      <c r="G482" s="23" t="s">
        <v>32</v>
      </c>
      <c r="H482" s="24" t="s">
        <v>4054</v>
      </c>
      <c r="I482" s="22"/>
      <c r="J482" s="22" t="s">
        <v>7536</v>
      </c>
      <c r="K482" s="24"/>
      <c r="L482" s="24" t="s">
        <v>8207</v>
      </c>
      <c r="M482" s="25" t="s">
        <v>4975</v>
      </c>
      <c r="N482" s="22" t="s">
        <v>4976</v>
      </c>
      <c r="O482" s="22" t="s">
        <v>4977</v>
      </c>
      <c r="P482" s="22" t="str">
        <f>HYPERLINK("https://ceds.ed.gov/cedselementdetails.aspx?termid=21172")</f>
        <v>https://ceds.ed.gov/cedselementdetails.aspx?termid=21172</v>
      </c>
      <c r="Q482" s="22">
        <v>58685</v>
      </c>
    </row>
    <row r="483" spans="1:17" ht="129.6" x14ac:dyDescent="0.3">
      <c r="A483" s="22" t="s">
        <v>7709</v>
      </c>
      <c r="B483" s="22" t="s">
        <v>9196</v>
      </c>
      <c r="C483" s="22" t="s">
        <v>7738</v>
      </c>
      <c r="D483" s="22" t="s">
        <v>7710</v>
      </c>
      <c r="E483" s="22" t="s">
        <v>4114</v>
      </c>
      <c r="F483" s="24" t="s">
        <v>4115</v>
      </c>
      <c r="G483" s="23" t="s">
        <v>32</v>
      </c>
      <c r="H483" s="24" t="s">
        <v>4119</v>
      </c>
      <c r="I483" s="22"/>
      <c r="J483" s="22" t="s">
        <v>2743</v>
      </c>
      <c r="K483" s="24"/>
      <c r="L483" s="24" t="s">
        <v>8207</v>
      </c>
      <c r="M483" s="25" t="s">
        <v>4117</v>
      </c>
      <c r="N483" s="22"/>
      <c r="O483" s="22" t="s">
        <v>4118</v>
      </c>
      <c r="P483" s="22" t="str">
        <f>HYPERLINK("https://ceds.ed.gov/cedselementdetails.aspx?termid=21121")</f>
        <v>https://ceds.ed.gov/cedselementdetails.aspx?termid=21121</v>
      </c>
      <c r="Q483" s="22">
        <v>58683</v>
      </c>
    </row>
    <row r="484" spans="1:17" ht="86.4" x14ac:dyDescent="0.3">
      <c r="A484" s="22" t="s">
        <v>7709</v>
      </c>
      <c r="B484" s="22" t="s">
        <v>9196</v>
      </c>
      <c r="C484" s="22" t="s">
        <v>7738</v>
      </c>
      <c r="D484" s="22" t="s">
        <v>7710</v>
      </c>
      <c r="E484" s="22" t="s">
        <v>5860</v>
      </c>
      <c r="F484" s="24" t="s">
        <v>5861</v>
      </c>
      <c r="G484" s="23" t="s">
        <v>32</v>
      </c>
      <c r="H484" s="24" t="s">
        <v>5865</v>
      </c>
      <c r="I484" s="22"/>
      <c r="J484" s="22" t="s">
        <v>85</v>
      </c>
      <c r="K484" s="24"/>
      <c r="L484" s="24"/>
      <c r="M484" s="25" t="s">
        <v>5862</v>
      </c>
      <c r="N484" s="22" t="s">
        <v>5863</v>
      </c>
      <c r="O484" s="22" t="s">
        <v>5864</v>
      </c>
      <c r="P484" s="22" t="str">
        <f>HYPERLINK("https://ceds.ed.gov/cedselementdetails.aspx?termid=21212")</f>
        <v>https://ceds.ed.gov/cedselementdetails.aspx?termid=21212</v>
      </c>
      <c r="Q484" s="22">
        <v>58689</v>
      </c>
    </row>
    <row r="485" spans="1:17" ht="115.2" x14ac:dyDescent="0.3">
      <c r="A485" s="22" t="s">
        <v>7709</v>
      </c>
      <c r="B485" s="22" t="s">
        <v>9196</v>
      </c>
      <c r="C485" s="22" t="s">
        <v>7739</v>
      </c>
      <c r="D485" s="22" t="s">
        <v>7710</v>
      </c>
      <c r="E485" s="22" t="s">
        <v>5747</v>
      </c>
      <c r="F485" s="24" t="s">
        <v>5748</v>
      </c>
      <c r="G485" s="26" t="s">
        <v>9055</v>
      </c>
      <c r="H485" s="24" t="s">
        <v>5751</v>
      </c>
      <c r="I485" s="22"/>
      <c r="J485" s="22" t="s">
        <v>85</v>
      </c>
      <c r="K485" s="24"/>
      <c r="L485" s="24"/>
      <c r="M485" s="25" t="s">
        <v>5749</v>
      </c>
      <c r="N485" s="22"/>
      <c r="O485" s="22" t="s">
        <v>5750</v>
      </c>
      <c r="P485" s="22" t="str">
        <f>HYPERLINK("https://ceds.ed.gov/cedselementdetails.aspx?termid=21627")</f>
        <v>https://ceds.ed.gov/cedselementdetails.aspx?termid=21627</v>
      </c>
      <c r="Q485" s="22">
        <v>60246</v>
      </c>
    </row>
    <row r="486" spans="1:17" ht="28.8" x14ac:dyDescent="0.3">
      <c r="A486" s="22" t="s">
        <v>7709</v>
      </c>
      <c r="B486" s="22" t="s">
        <v>9196</v>
      </c>
      <c r="C486" s="22" t="s">
        <v>7739</v>
      </c>
      <c r="D486" s="22" t="s">
        <v>7710</v>
      </c>
      <c r="E486" s="22" t="s">
        <v>5728</v>
      </c>
      <c r="F486" s="24" t="s">
        <v>5729</v>
      </c>
      <c r="G486" s="23" t="s">
        <v>32</v>
      </c>
      <c r="H486" s="22"/>
      <c r="I486" s="22"/>
      <c r="J486" s="22" t="s">
        <v>1301</v>
      </c>
      <c r="K486" s="24"/>
      <c r="L486" s="24" t="s">
        <v>5730</v>
      </c>
      <c r="M486" s="25" t="s">
        <v>5731</v>
      </c>
      <c r="N486" s="22"/>
      <c r="O486" s="22" t="s">
        <v>5732</v>
      </c>
      <c r="P486" s="22" t="str">
        <f>HYPERLINK("https://ceds.ed.gov/cedselementdetails.aspx?termid=22486")</f>
        <v>https://ceds.ed.gov/cedselementdetails.aspx?termid=22486</v>
      </c>
      <c r="Q486" s="22">
        <v>61629</v>
      </c>
    </row>
    <row r="487" spans="1:17" ht="28.8" x14ac:dyDescent="0.3">
      <c r="A487" s="22" t="s">
        <v>7709</v>
      </c>
      <c r="B487" s="22" t="s">
        <v>9196</v>
      </c>
      <c r="C487" s="22" t="s">
        <v>7739</v>
      </c>
      <c r="D487" s="22" t="s">
        <v>7710</v>
      </c>
      <c r="E487" s="22" t="s">
        <v>5738</v>
      </c>
      <c r="F487" s="24" t="s">
        <v>5739</v>
      </c>
      <c r="G487" s="23" t="s">
        <v>32</v>
      </c>
      <c r="H487" s="22"/>
      <c r="I487" s="22"/>
      <c r="J487" s="22" t="s">
        <v>1301</v>
      </c>
      <c r="K487" s="24"/>
      <c r="L487" s="24" t="s">
        <v>5740</v>
      </c>
      <c r="M487" s="25" t="s">
        <v>5741</v>
      </c>
      <c r="N487" s="22"/>
      <c r="O487" s="22" t="s">
        <v>5742</v>
      </c>
      <c r="P487" s="22" t="str">
        <f>HYPERLINK("https://ceds.ed.gov/cedselementdetails.aspx?termid=22487")</f>
        <v>https://ceds.ed.gov/cedselementdetails.aspx?termid=22487</v>
      </c>
      <c r="Q487" s="22">
        <v>61645</v>
      </c>
    </row>
    <row r="488" spans="1:17" ht="28.8" x14ac:dyDescent="0.3">
      <c r="A488" s="22" t="s">
        <v>7709</v>
      </c>
      <c r="B488" s="22" t="s">
        <v>9196</v>
      </c>
      <c r="C488" s="22" t="s">
        <v>7739</v>
      </c>
      <c r="D488" s="22" t="s">
        <v>7710</v>
      </c>
      <c r="E488" s="22" t="s">
        <v>5733</v>
      </c>
      <c r="F488" s="24" t="s">
        <v>5734</v>
      </c>
      <c r="G488" s="23" t="s">
        <v>32</v>
      </c>
      <c r="H488" s="22"/>
      <c r="I488" s="22"/>
      <c r="J488" s="22" t="s">
        <v>1301</v>
      </c>
      <c r="K488" s="24"/>
      <c r="L488" s="24" t="s">
        <v>5735</v>
      </c>
      <c r="M488" s="25" t="s">
        <v>5736</v>
      </c>
      <c r="N488" s="22"/>
      <c r="O488" s="22" t="s">
        <v>5737</v>
      </c>
      <c r="P488" s="22" t="str">
        <f>HYPERLINK("https://ceds.ed.gov/cedselementdetails.aspx?termid=22485")</f>
        <v>https://ceds.ed.gov/cedselementdetails.aspx?termid=22485</v>
      </c>
      <c r="Q488" s="22">
        <v>61613</v>
      </c>
    </row>
    <row r="489" spans="1:17" ht="129.6" x14ac:dyDescent="0.3">
      <c r="A489" s="22" t="s">
        <v>7709</v>
      </c>
      <c r="B489" s="22" t="s">
        <v>9196</v>
      </c>
      <c r="C489" s="22" t="s">
        <v>7739</v>
      </c>
      <c r="D489" s="22" t="s">
        <v>7710</v>
      </c>
      <c r="E489" s="22" t="s">
        <v>5743</v>
      </c>
      <c r="F489" s="24" t="s">
        <v>5744</v>
      </c>
      <c r="G489" s="23" t="s">
        <v>32</v>
      </c>
      <c r="H489" s="24" t="s">
        <v>4119</v>
      </c>
      <c r="I489" s="22"/>
      <c r="J489" s="22" t="s">
        <v>132</v>
      </c>
      <c r="K489" s="24"/>
      <c r="L489" s="24"/>
      <c r="M489" s="25" t="s">
        <v>5745</v>
      </c>
      <c r="N489" s="22"/>
      <c r="O489" s="22" t="s">
        <v>5746</v>
      </c>
      <c r="P489" s="22" t="str">
        <f>HYPERLINK("https://ceds.ed.gov/cedselementdetails.aspx?termid=21206")</f>
        <v>https://ceds.ed.gov/cedselementdetails.aspx?termid=21206</v>
      </c>
      <c r="Q489" s="22">
        <v>60245</v>
      </c>
    </row>
    <row r="490" spans="1:17" ht="172.8" x14ac:dyDescent="0.3">
      <c r="A490" s="22" t="s">
        <v>7709</v>
      </c>
      <c r="B490" s="22" t="s">
        <v>9196</v>
      </c>
      <c r="C490" s="22" t="s">
        <v>7740</v>
      </c>
      <c r="D490" s="22" t="s">
        <v>7710</v>
      </c>
      <c r="E490" s="22" t="s">
        <v>6911</v>
      </c>
      <c r="F490" s="24" t="s">
        <v>6912</v>
      </c>
      <c r="G490" s="23" t="s">
        <v>32</v>
      </c>
      <c r="H490" s="24" t="s">
        <v>6915</v>
      </c>
      <c r="I490" s="22" t="s">
        <v>172</v>
      </c>
      <c r="J490" s="22" t="s">
        <v>132</v>
      </c>
      <c r="K490" s="24" t="s">
        <v>7946</v>
      </c>
      <c r="L490" s="24" t="s">
        <v>7945</v>
      </c>
      <c r="M490" s="25" t="s">
        <v>6913</v>
      </c>
      <c r="N490" s="22"/>
      <c r="O490" s="22" t="s">
        <v>6914</v>
      </c>
      <c r="P490" s="22" t="str">
        <f>HYPERLINK("https://ceds.ed.gov/cedselementdetails.aspx?termid=21156")</f>
        <v>https://ceds.ed.gov/cedselementdetails.aspx?termid=21156</v>
      </c>
      <c r="Q490" s="22">
        <v>60247</v>
      </c>
    </row>
    <row r="491" spans="1:17" ht="244.8" x14ac:dyDescent="0.3">
      <c r="A491" s="22" t="s">
        <v>7709</v>
      </c>
      <c r="B491" s="22" t="s">
        <v>9196</v>
      </c>
      <c r="C491" s="22" t="s">
        <v>7740</v>
      </c>
      <c r="D491" s="22" t="s">
        <v>7710</v>
      </c>
      <c r="E491" s="22" t="s">
        <v>6906</v>
      </c>
      <c r="F491" s="24" t="s">
        <v>6907</v>
      </c>
      <c r="G491" s="26" t="s">
        <v>8531</v>
      </c>
      <c r="H491" s="24" t="s">
        <v>6910</v>
      </c>
      <c r="I491" s="22" t="s">
        <v>172</v>
      </c>
      <c r="J491" s="22"/>
      <c r="K491" s="24" t="s">
        <v>7946</v>
      </c>
      <c r="L491" s="24"/>
      <c r="M491" s="25" t="s">
        <v>6908</v>
      </c>
      <c r="N491" s="22"/>
      <c r="O491" s="22" t="s">
        <v>6909</v>
      </c>
      <c r="P491" s="22" t="str">
        <f>HYPERLINK("https://ceds.ed.gov/cedselementdetails.aspx?termid=21162")</f>
        <v>https://ceds.ed.gov/cedselementdetails.aspx?termid=21162</v>
      </c>
      <c r="Q491" s="22">
        <v>60248</v>
      </c>
    </row>
    <row r="492" spans="1:17" ht="72" x14ac:dyDescent="0.3">
      <c r="A492" s="22" t="s">
        <v>7709</v>
      </c>
      <c r="B492" s="22" t="s">
        <v>9196</v>
      </c>
      <c r="C492" s="22" t="s">
        <v>7740</v>
      </c>
      <c r="D492" s="22" t="s">
        <v>7741</v>
      </c>
      <c r="E492" s="22" t="s">
        <v>7621</v>
      </c>
      <c r="F492" s="24" t="s">
        <v>7622</v>
      </c>
      <c r="G492" s="26" t="s">
        <v>8496</v>
      </c>
      <c r="H492" s="22"/>
      <c r="I492" s="22" t="s">
        <v>172</v>
      </c>
      <c r="J492" s="22"/>
      <c r="K492" s="24" t="s">
        <v>7946</v>
      </c>
      <c r="L492" s="24"/>
      <c r="M492" s="25" t="s">
        <v>7623</v>
      </c>
      <c r="N492" s="22"/>
      <c r="O492" s="22" t="s">
        <v>7624</v>
      </c>
      <c r="P492" s="22" t="str">
        <f>HYPERLINK("https://ceds.ed.gov/cedselementdetails.aspx?termid=22951")</f>
        <v>https://ceds.ed.gov/cedselementdetails.aspx?termid=22951</v>
      </c>
      <c r="Q492" s="22">
        <v>63863</v>
      </c>
    </row>
    <row r="493" spans="1:17" ht="403.2" x14ac:dyDescent="0.3">
      <c r="A493" s="22" t="s">
        <v>7709</v>
      </c>
      <c r="B493" s="22" t="s">
        <v>9196</v>
      </c>
      <c r="C493" s="22" t="s">
        <v>7740</v>
      </c>
      <c r="D493" s="22" t="s">
        <v>7741</v>
      </c>
      <c r="E493" s="22" t="s">
        <v>5856</v>
      </c>
      <c r="F493" s="24" t="s">
        <v>5857</v>
      </c>
      <c r="G493" s="26" t="s">
        <v>8498</v>
      </c>
      <c r="H493" s="22"/>
      <c r="I493" s="22" t="s">
        <v>172</v>
      </c>
      <c r="J493" s="22"/>
      <c r="K493" s="24" t="s">
        <v>7946</v>
      </c>
      <c r="L493" s="24"/>
      <c r="M493" s="25" t="s">
        <v>5858</v>
      </c>
      <c r="N493" s="22"/>
      <c r="O493" s="22" t="s">
        <v>5859</v>
      </c>
      <c r="P493" s="22" t="str">
        <f>HYPERLINK("https://ceds.ed.gov/cedselementdetails.aspx?termid=21611")</f>
        <v>https://ceds.ed.gov/cedselementdetails.aspx?termid=21611</v>
      </c>
      <c r="Q493" s="22">
        <v>63864</v>
      </c>
    </row>
    <row r="494" spans="1:17" ht="100.8" x14ac:dyDescent="0.3">
      <c r="A494" s="22" t="s">
        <v>7709</v>
      </c>
      <c r="B494" s="22" t="s">
        <v>9196</v>
      </c>
      <c r="C494" s="22" t="s">
        <v>7716</v>
      </c>
      <c r="D494" s="22" t="s">
        <v>7710</v>
      </c>
      <c r="E494" s="22" t="s">
        <v>203</v>
      </c>
      <c r="F494" s="24" t="s">
        <v>204</v>
      </c>
      <c r="G494" s="26" t="s">
        <v>8577</v>
      </c>
      <c r="H494" s="22" t="s">
        <v>207</v>
      </c>
      <c r="I494" s="22"/>
      <c r="J494" s="22" t="s">
        <v>85</v>
      </c>
      <c r="K494" s="24"/>
      <c r="L494" s="24"/>
      <c r="M494" s="25" t="s">
        <v>205</v>
      </c>
      <c r="N494" s="22"/>
      <c r="O494" s="22" t="s">
        <v>206</v>
      </c>
      <c r="P494" s="22" t="str">
        <f>HYPERLINK("https://ceds.ed.gov/cedselementdetails.aspx?termid=21698")</f>
        <v>https://ceds.ed.gov/cedselementdetails.aspx?termid=21698</v>
      </c>
      <c r="Q494" s="22">
        <v>60225</v>
      </c>
    </row>
    <row r="495" spans="1:17" ht="187.2" x14ac:dyDescent="0.3">
      <c r="A495" s="22" t="s">
        <v>7709</v>
      </c>
      <c r="B495" s="22" t="s">
        <v>9196</v>
      </c>
      <c r="C495" s="22" t="s">
        <v>7716</v>
      </c>
      <c r="D495" s="22" t="s">
        <v>7710</v>
      </c>
      <c r="E495" s="22" t="s">
        <v>189</v>
      </c>
      <c r="F495" s="24" t="s">
        <v>190</v>
      </c>
      <c r="G495" s="23" t="s">
        <v>32</v>
      </c>
      <c r="H495" s="24" t="s">
        <v>175</v>
      </c>
      <c r="I495" s="22" t="s">
        <v>172</v>
      </c>
      <c r="J495" s="22" t="s">
        <v>191</v>
      </c>
      <c r="K495" s="24" t="s">
        <v>7946</v>
      </c>
      <c r="L495" s="24"/>
      <c r="M495" s="25" t="s">
        <v>192</v>
      </c>
      <c r="N495" s="22"/>
      <c r="O495" s="22" t="s">
        <v>193</v>
      </c>
      <c r="P495" s="22" t="str">
        <f>HYPERLINK("https://ceds.ed.gov/cedselementdetails.aspx?termid=21269")</f>
        <v>https://ceds.ed.gov/cedselementdetails.aspx?termid=21269</v>
      </c>
      <c r="Q495" s="22">
        <v>58693</v>
      </c>
    </row>
    <row r="496" spans="1:17" ht="187.2" x14ac:dyDescent="0.3">
      <c r="A496" s="22" t="s">
        <v>7709</v>
      </c>
      <c r="B496" s="22" t="s">
        <v>9196</v>
      </c>
      <c r="C496" s="22" t="s">
        <v>7716</v>
      </c>
      <c r="D496" s="22" t="s">
        <v>7710</v>
      </c>
      <c r="E496" s="22" t="s">
        <v>170</v>
      </c>
      <c r="F496" s="24" t="s">
        <v>171</v>
      </c>
      <c r="G496" s="23" t="s">
        <v>32</v>
      </c>
      <c r="H496" s="24" t="s">
        <v>175</v>
      </c>
      <c r="I496" s="22" t="s">
        <v>172</v>
      </c>
      <c r="J496" s="22" t="s">
        <v>157</v>
      </c>
      <c r="K496" s="24" t="s">
        <v>7946</v>
      </c>
      <c r="L496" s="24"/>
      <c r="M496" s="25" t="s">
        <v>173</v>
      </c>
      <c r="N496" s="22"/>
      <c r="O496" s="22" t="s">
        <v>174</v>
      </c>
      <c r="P496" s="22" t="str">
        <f>HYPERLINK("https://ceds.ed.gov/cedselementdetails.aspx?termid=21019")</f>
        <v>https://ceds.ed.gov/cedselementdetails.aspx?termid=21019</v>
      </c>
      <c r="Q496" s="22">
        <v>58677</v>
      </c>
    </row>
    <row r="497" spans="1:17" ht="187.2" x14ac:dyDescent="0.3">
      <c r="A497" s="22" t="s">
        <v>7709</v>
      </c>
      <c r="B497" s="22" t="s">
        <v>9196</v>
      </c>
      <c r="C497" s="22" t="s">
        <v>7716</v>
      </c>
      <c r="D497" s="22" t="s">
        <v>7710</v>
      </c>
      <c r="E497" s="22" t="s">
        <v>176</v>
      </c>
      <c r="F497" s="24" t="s">
        <v>177</v>
      </c>
      <c r="G497" s="23" t="s">
        <v>32</v>
      </c>
      <c r="H497" s="24" t="s">
        <v>175</v>
      </c>
      <c r="I497" s="22" t="s">
        <v>172</v>
      </c>
      <c r="J497" s="22" t="s">
        <v>85</v>
      </c>
      <c r="K497" s="24" t="s">
        <v>7946</v>
      </c>
      <c r="L497" s="24"/>
      <c r="M497" s="25" t="s">
        <v>178</v>
      </c>
      <c r="N497" s="22"/>
      <c r="O497" s="22" t="s">
        <v>179</v>
      </c>
      <c r="P497" s="22" t="str">
        <f>HYPERLINK("https://ceds.ed.gov/cedselementdetails.aspx?termid=21040")</f>
        <v>https://ceds.ed.gov/cedselementdetails.aspx?termid=21040</v>
      </c>
      <c r="Q497" s="22">
        <v>58679</v>
      </c>
    </row>
    <row r="498" spans="1:17" ht="409.6" x14ac:dyDescent="0.3">
      <c r="A498" s="22" t="s">
        <v>7709</v>
      </c>
      <c r="B498" s="22" t="s">
        <v>9196</v>
      </c>
      <c r="C498" s="22" t="s">
        <v>7716</v>
      </c>
      <c r="D498" s="22" t="s">
        <v>7710</v>
      </c>
      <c r="E498" s="22" t="s">
        <v>6941</v>
      </c>
      <c r="F498" s="24" t="s">
        <v>6942</v>
      </c>
      <c r="G498" s="26" t="s">
        <v>8533</v>
      </c>
      <c r="H498" s="24" t="s">
        <v>6945</v>
      </c>
      <c r="I498" s="22" t="s">
        <v>172</v>
      </c>
      <c r="J498" s="22"/>
      <c r="K498" s="24" t="s">
        <v>8327</v>
      </c>
      <c r="L498" s="24"/>
      <c r="M498" s="25" t="s">
        <v>6943</v>
      </c>
      <c r="N498" s="22"/>
      <c r="O498" s="22" t="s">
        <v>6944</v>
      </c>
      <c r="P498" s="22" t="str">
        <f>HYPERLINK("https://ceds.ed.gov/cedselementdetails.aspx?termid=21267")</f>
        <v>https://ceds.ed.gov/cedselementdetails.aspx?termid=21267</v>
      </c>
      <c r="Q498" s="22">
        <v>58692</v>
      </c>
    </row>
    <row r="499" spans="1:17" ht="187.2" x14ac:dyDescent="0.3">
      <c r="A499" s="22" t="s">
        <v>7709</v>
      </c>
      <c r="B499" s="22" t="s">
        <v>9196</v>
      </c>
      <c r="C499" s="22" t="s">
        <v>7716</v>
      </c>
      <c r="D499" s="22" t="s">
        <v>7710</v>
      </c>
      <c r="E499" s="22" t="s">
        <v>184</v>
      </c>
      <c r="F499" s="24" t="s">
        <v>185</v>
      </c>
      <c r="G499" s="23" t="s">
        <v>32</v>
      </c>
      <c r="H499" s="24" t="s">
        <v>175</v>
      </c>
      <c r="I499" s="22" t="s">
        <v>172</v>
      </c>
      <c r="J499" s="22" t="s">
        <v>186</v>
      </c>
      <c r="K499" s="24" t="s">
        <v>7946</v>
      </c>
      <c r="L499" s="24"/>
      <c r="M499" s="25" t="s">
        <v>187</v>
      </c>
      <c r="N499" s="22"/>
      <c r="O499" s="22" t="s">
        <v>188</v>
      </c>
      <c r="P499" s="22" t="str">
        <f>HYPERLINK("https://ceds.ed.gov/cedselementdetails.aspx?termid=21214")</f>
        <v>https://ceds.ed.gov/cedselementdetails.aspx?termid=21214</v>
      </c>
      <c r="Q499" s="22">
        <v>58690</v>
      </c>
    </row>
    <row r="500" spans="1:17" ht="187.2" x14ac:dyDescent="0.3">
      <c r="A500" s="22" t="s">
        <v>7709</v>
      </c>
      <c r="B500" s="22" t="s">
        <v>9196</v>
      </c>
      <c r="C500" s="22" t="s">
        <v>7716</v>
      </c>
      <c r="D500" s="22" t="s">
        <v>7710</v>
      </c>
      <c r="E500" s="22" t="s">
        <v>180</v>
      </c>
      <c r="F500" s="24" t="s">
        <v>181</v>
      </c>
      <c r="G500" s="23" t="s">
        <v>32</v>
      </c>
      <c r="H500" s="24" t="s">
        <v>175</v>
      </c>
      <c r="I500" s="22" t="s">
        <v>172</v>
      </c>
      <c r="J500" s="22" t="s">
        <v>85</v>
      </c>
      <c r="K500" s="24" t="s">
        <v>7946</v>
      </c>
      <c r="L500" s="24"/>
      <c r="M500" s="25" t="s">
        <v>182</v>
      </c>
      <c r="N500" s="22"/>
      <c r="O500" s="22" t="s">
        <v>183</v>
      </c>
      <c r="P500" s="22" t="str">
        <f>HYPERLINK("https://ceds.ed.gov/cedselementdetails.aspx?termid=21190")</f>
        <v>https://ceds.ed.gov/cedselementdetails.aspx?termid=21190</v>
      </c>
      <c r="Q500" s="22">
        <v>58687</v>
      </c>
    </row>
    <row r="501" spans="1:17" ht="409.6" x14ac:dyDescent="0.3">
      <c r="A501" s="22" t="s">
        <v>7709</v>
      </c>
      <c r="B501" s="22" t="s">
        <v>9196</v>
      </c>
      <c r="C501" s="22" t="s">
        <v>7716</v>
      </c>
      <c r="D501" s="22" t="s">
        <v>7710</v>
      </c>
      <c r="E501" s="22" t="s">
        <v>2526</v>
      </c>
      <c r="F501" s="24" t="s">
        <v>2527</v>
      </c>
      <c r="G501" s="26" t="s">
        <v>8743</v>
      </c>
      <c r="H501" s="24" t="s">
        <v>2530</v>
      </c>
      <c r="I501" s="22"/>
      <c r="J501" s="22"/>
      <c r="K501" s="24"/>
      <c r="L501" s="24" t="s">
        <v>8055</v>
      </c>
      <c r="M501" s="25" t="s">
        <v>2528</v>
      </c>
      <c r="N501" s="22"/>
      <c r="O501" s="22" t="s">
        <v>2529</v>
      </c>
      <c r="P501" s="22" t="str">
        <f>HYPERLINK("https://ceds.ed.gov/cedselementdetails.aspx?termid=21050")</f>
        <v>https://ceds.ed.gov/cedselementdetails.aspx?termid=21050</v>
      </c>
      <c r="Q501" s="22">
        <v>58680</v>
      </c>
    </row>
    <row r="502" spans="1:17" ht="57.6" x14ac:dyDescent="0.3">
      <c r="A502" s="22" t="s">
        <v>7709</v>
      </c>
      <c r="B502" s="22" t="s">
        <v>9196</v>
      </c>
      <c r="C502" s="22" t="s">
        <v>7716</v>
      </c>
      <c r="D502" s="22" t="s">
        <v>7710</v>
      </c>
      <c r="E502" s="22" t="s">
        <v>4982</v>
      </c>
      <c r="F502" s="24" t="s">
        <v>4983</v>
      </c>
      <c r="G502" s="23" t="s">
        <v>32</v>
      </c>
      <c r="H502" s="22"/>
      <c r="I502" s="22"/>
      <c r="J502" s="22" t="s">
        <v>1165</v>
      </c>
      <c r="K502" s="24"/>
      <c r="L502" s="24"/>
      <c r="M502" s="25" t="s">
        <v>4984</v>
      </c>
      <c r="N502" s="22"/>
      <c r="O502" s="22" t="s">
        <v>4982</v>
      </c>
      <c r="P502" s="22" t="str">
        <f>HYPERLINK("https://ceds.ed.gov/cedselementdetails.aspx?termid=21599")</f>
        <v>https://ceds.ed.gov/cedselementdetails.aspx?termid=21599</v>
      </c>
      <c r="Q502" s="22">
        <v>62258</v>
      </c>
    </row>
    <row r="503" spans="1:17" ht="57.6" x14ac:dyDescent="0.3">
      <c r="A503" s="22" t="s">
        <v>7709</v>
      </c>
      <c r="B503" s="22" t="s">
        <v>9196</v>
      </c>
      <c r="C503" s="22" t="s">
        <v>7716</v>
      </c>
      <c r="D503" s="22" t="s">
        <v>7710</v>
      </c>
      <c r="E503" s="22" t="s">
        <v>5372</v>
      </c>
      <c r="F503" s="24" t="s">
        <v>5373</v>
      </c>
      <c r="G503" s="23" t="s">
        <v>32</v>
      </c>
      <c r="H503" s="22"/>
      <c r="I503" s="22"/>
      <c r="J503" s="22" t="s">
        <v>1165</v>
      </c>
      <c r="K503" s="24"/>
      <c r="L503" s="24"/>
      <c r="M503" s="25" t="s">
        <v>5374</v>
      </c>
      <c r="N503" s="22"/>
      <c r="O503" s="22" t="s">
        <v>5372</v>
      </c>
      <c r="P503" s="22" t="str">
        <f>HYPERLINK("https://ceds.ed.gov/cedselementdetails.aspx?termid=21600")</f>
        <v>https://ceds.ed.gov/cedselementdetails.aspx?termid=21600</v>
      </c>
      <c r="Q503" s="22">
        <v>62281</v>
      </c>
    </row>
    <row r="504" spans="1:17" ht="158.4" x14ac:dyDescent="0.3">
      <c r="A504" s="22" t="s">
        <v>7709</v>
      </c>
      <c r="B504" s="22" t="s">
        <v>9196</v>
      </c>
      <c r="C504" s="22" t="s">
        <v>7716</v>
      </c>
      <c r="D504" s="22" t="s">
        <v>7710</v>
      </c>
      <c r="E504" s="22" t="s">
        <v>2536</v>
      </c>
      <c r="F504" s="24" t="s">
        <v>2537</v>
      </c>
      <c r="G504" s="23" t="s">
        <v>32</v>
      </c>
      <c r="H504" s="22"/>
      <c r="I504" s="22"/>
      <c r="J504" s="22" t="s">
        <v>2538</v>
      </c>
      <c r="K504" s="24"/>
      <c r="L504" s="24"/>
      <c r="M504" s="25" t="s">
        <v>2539</v>
      </c>
      <c r="N504" s="22"/>
      <c r="O504" s="22" t="s">
        <v>2540</v>
      </c>
      <c r="P504" s="22" t="str">
        <f>HYPERLINK("https://ceds.ed.gov/cedselementdetails.aspx?termid=22176")</f>
        <v>https://ceds.ed.gov/cedselementdetails.aspx?termid=22176</v>
      </c>
      <c r="Q504" s="22">
        <v>63280</v>
      </c>
    </row>
    <row r="505" spans="1:17" ht="57.6" x14ac:dyDescent="0.3">
      <c r="A505" s="22" t="s">
        <v>7709</v>
      </c>
      <c r="B505" s="22" t="s">
        <v>9196</v>
      </c>
      <c r="C505" s="22" t="s">
        <v>7716</v>
      </c>
      <c r="D505" s="22" t="s">
        <v>7710</v>
      </c>
      <c r="E505" s="22" t="s">
        <v>3228</v>
      </c>
      <c r="F505" s="24" t="s">
        <v>3229</v>
      </c>
      <c r="G505" s="26" t="s">
        <v>3039</v>
      </c>
      <c r="H505" s="22"/>
      <c r="I505" s="22" t="s">
        <v>172</v>
      </c>
      <c r="J505" s="22"/>
      <c r="K505" s="24" t="s">
        <v>7946</v>
      </c>
      <c r="L505" s="24"/>
      <c r="M505" s="25" t="s">
        <v>3230</v>
      </c>
      <c r="N505" s="22"/>
      <c r="O505" s="22" t="s">
        <v>3231</v>
      </c>
      <c r="P505" s="22" t="str">
        <f>HYPERLINK("https://ceds.ed.gov/cedselementdetails.aspx?termid=22905")</f>
        <v>https://ceds.ed.gov/cedselementdetails.aspx?termid=22905</v>
      </c>
      <c r="Q505" s="22">
        <v>63281</v>
      </c>
    </row>
    <row r="506" spans="1:17" ht="72" x14ac:dyDescent="0.3">
      <c r="A506" s="22" t="s">
        <v>7709</v>
      </c>
      <c r="B506" s="22" t="s">
        <v>9196</v>
      </c>
      <c r="C506" s="22" t="s">
        <v>7717</v>
      </c>
      <c r="D506" s="22" t="s">
        <v>7710</v>
      </c>
      <c r="E506" s="22" t="s">
        <v>7159</v>
      </c>
      <c r="F506" s="24" t="s">
        <v>7160</v>
      </c>
      <c r="G506" s="23" t="s">
        <v>32</v>
      </c>
      <c r="H506" s="24" t="s">
        <v>64</v>
      </c>
      <c r="I506" s="22"/>
      <c r="J506" s="22" t="s">
        <v>7161</v>
      </c>
      <c r="K506" s="24"/>
      <c r="L506" s="24"/>
      <c r="M506" s="25" t="s">
        <v>7162</v>
      </c>
      <c r="N506" s="22"/>
      <c r="O506" s="22" t="s">
        <v>7163</v>
      </c>
      <c r="P506" s="22" t="str">
        <f>HYPERLINK("https://ceds.ed.gov/cedselementdetails.aspx?termid=21279")</f>
        <v>https://ceds.ed.gov/cedselementdetails.aspx?termid=21279</v>
      </c>
      <c r="Q506" s="22">
        <v>59726</v>
      </c>
    </row>
    <row r="507" spans="1:17" ht="86.4" x14ac:dyDescent="0.3">
      <c r="A507" s="22" t="s">
        <v>7709</v>
      </c>
      <c r="B507" s="22" t="s">
        <v>9196</v>
      </c>
      <c r="C507" s="22" t="s">
        <v>7717</v>
      </c>
      <c r="D507" s="22" t="s">
        <v>7710</v>
      </c>
      <c r="E507" s="22" t="s">
        <v>7168</v>
      </c>
      <c r="F507" s="24" t="s">
        <v>7169</v>
      </c>
      <c r="G507" s="26" t="s">
        <v>9168</v>
      </c>
      <c r="H507" s="24" t="s">
        <v>64</v>
      </c>
      <c r="I507" s="22"/>
      <c r="J507" s="22" t="s">
        <v>2543</v>
      </c>
      <c r="K507" s="24"/>
      <c r="L507" s="24"/>
      <c r="M507" s="25" t="s">
        <v>7170</v>
      </c>
      <c r="N507" s="22"/>
      <c r="O507" s="22" t="s">
        <v>7171</v>
      </c>
      <c r="P507" s="22" t="str">
        <f>HYPERLINK("https://ceds.ed.gov/cedselementdetails.aspx?termid=21280")</f>
        <v>https://ceds.ed.gov/cedselementdetails.aspx?termid=21280</v>
      </c>
      <c r="Q507" s="22">
        <v>59724</v>
      </c>
    </row>
    <row r="508" spans="1:17" ht="72" x14ac:dyDescent="0.3">
      <c r="A508" s="22" t="s">
        <v>7709</v>
      </c>
      <c r="B508" s="22" t="s">
        <v>9196</v>
      </c>
      <c r="C508" s="22" t="s">
        <v>7717</v>
      </c>
      <c r="D508" s="22" t="s">
        <v>7710</v>
      </c>
      <c r="E508" s="22" t="s">
        <v>5965</v>
      </c>
      <c r="F508" s="24" t="s">
        <v>5966</v>
      </c>
      <c r="G508" s="26" t="s">
        <v>22</v>
      </c>
      <c r="H508" s="24" t="s">
        <v>64</v>
      </c>
      <c r="I508" s="22"/>
      <c r="J508" s="22"/>
      <c r="K508" s="24"/>
      <c r="L508" s="24"/>
      <c r="M508" s="25" t="s">
        <v>5967</v>
      </c>
      <c r="N508" s="22"/>
      <c r="O508" s="22" t="s">
        <v>5968</v>
      </c>
      <c r="P508" s="22" t="str">
        <f>HYPERLINK("https://ceds.ed.gov/cedselementdetails.aspx?termid=21219")</f>
        <v>https://ceds.ed.gov/cedselementdetails.aspx?termid=21219</v>
      </c>
      <c r="Q508" s="22">
        <v>59725</v>
      </c>
    </row>
    <row r="509" spans="1:17" ht="57.6" x14ac:dyDescent="0.3">
      <c r="A509" s="22" t="s">
        <v>7709</v>
      </c>
      <c r="B509" s="22" t="s">
        <v>9196</v>
      </c>
      <c r="C509" s="22" t="s">
        <v>7717</v>
      </c>
      <c r="D509" s="22" t="s">
        <v>7710</v>
      </c>
      <c r="E509" s="22" t="s">
        <v>3228</v>
      </c>
      <c r="F509" s="24" t="s">
        <v>3229</v>
      </c>
      <c r="G509" s="26" t="s">
        <v>3039</v>
      </c>
      <c r="H509" s="22"/>
      <c r="I509" s="22" t="s">
        <v>172</v>
      </c>
      <c r="J509" s="22"/>
      <c r="K509" s="24" t="s">
        <v>7946</v>
      </c>
      <c r="L509" s="24"/>
      <c r="M509" s="25" t="s">
        <v>3230</v>
      </c>
      <c r="N509" s="22"/>
      <c r="O509" s="22" t="s">
        <v>3231</v>
      </c>
      <c r="P509" s="22" t="str">
        <f>HYPERLINK("https://ceds.ed.gov/cedselementdetails.aspx?termid=22905")</f>
        <v>https://ceds.ed.gov/cedselementdetails.aspx?termid=22905</v>
      </c>
      <c r="Q509" s="22">
        <v>63283</v>
      </c>
    </row>
    <row r="510" spans="1:17" ht="57.6" x14ac:dyDescent="0.3">
      <c r="A510" s="22" t="s">
        <v>7709</v>
      </c>
      <c r="B510" s="22" t="s">
        <v>9196</v>
      </c>
      <c r="C510" s="22" t="s">
        <v>7717</v>
      </c>
      <c r="D510" s="22" t="s">
        <v>7710</v>
      </c>
      <c r="E510" s="22" t="s">
        <v>7164</v>
      </c>
      <c r="F510" s="24" t="s">
        <v>7165</v>
      </c>
      <c r="G510" s="26" t="s">
        <v>9167</v>
      </c>
      <c r="H510" s="22"/>
      <c r="I510" s="22"/>
      <c r="J510" s="22"/>
      <c r="K510" s="24"/>
      <c r="L510" s="24"/>
      <c r="M510" s="25" t="s">
        <v>7166</v>
      </c>
      <c r="N510" s="22"/>
      <c r="O510" s="22" t="s">
        <v>7167</v>
      </c>
      <c r="P510" s="22" t="str">
        <f>HYPERLINK("https://ceds.ed.gov/cedselementdetails.aspx?termid=22911")</f>
        <v>https://ceds.ed.gov/cedselementdetails.aspx?termid=22911</v>
      </c>
      <c r="Q510" s="22">
        <v>63284</v>
      </c>
    </row>
    <row r="511" spans="1:17" ht="72" x14ac:dyDescent="0.3">
      <c r="A511" s="22" t="s">
        <v>7709</v>
      </c>
      <c r="B511" s="22" t="s">
        <v>9196</v>
      </c>
      <c r="C511" s="22" t="s">
        <v>7718</v>
      </c>
      <c r="D511" s="22" t="s">
        <v>7710</v>
      </c>
      <c r="E511" s="22" t="s">
        <v>3461</v>
      </c>
      <c r="F511" s="24" t="s">
        <v>3462</v>
      </c>
      <c r="G511" s="23" t="s">
        <v>32</v>
      </c>
      <c r="H511" s="24" t="s">
        <v>64</v>
      </c>
      <c r="I511" s="22" t="s">
        <v>172</v>
      </c>
      <c r="J511" s="22" t="s">
        <v>3463</v>
      </c>
      <c r="K511" s="24" t="s">
        <v>7946</v>
      </c>
      <c r="L511" s="24"/>
      <c r="M511" s="25" t="s">
        <v>3464</v>
      </c>
      <c r="N511" s="22" t="s">
        <v>3465</v>
      </c>
      <c r="O511" s="22" t="s">
        <v>3466</v>
      </c>
      <c r="P511" s="22" t="str">
        <f>HYPERLINK("https://ceds.ed.gov/cedselementdetails.aspx?termid=21088")</f>
        <v>https://ceds.ed.gov/cedselementdetails.aspx?termid=21088</v>
      </c>
      <c r="Q511" s="22">
        <v>59728</v>
      </c>
    </row>
    <row r="512" spans="1:17" ht="72" x14ac:dyDescent="0.3">
      <c r="A512" s="22" t="s">
        <v>7709</v>
      </c>
      <c r="B512" s="22" t="s">
        <v>9196</v>
      </c>
      <c r="C512" s="22" t="s">
        <v>7718</v>
      </c>
      <c r="D512" s="22" t="s">
        <v>7710</v>
      </c>
      <c r="E512" s="22" t="s">
        <v>3467</v>
      </c>
      <c r="F512" s="24" t="s">
        <v>3468</v>
      </c>
      <c r="G512" s="26" t="s">
        <v>8430</v>
      </c>
      <c r="H512" s="24" t="s">
        <v>64</v>
      </c>
      <c r="I512" s="22" t="s">
        <v>172</v>
      </c>
      <c r="J512" s="22"/>
      <c r="K512" s="24" t="s">
        <v>7946</v>
      </c>
      <c r="L512" s="24"/>
      <c r="M512" s="25" t="s">
        <v>3469</v>
      </c>
      <c r="N512" s="22" t="s">
        <v>3470</v>
      </c>
      <c r="O512" s="22" t="s">
        <v>3471</v>
      </c>
      <c r="P512" s="22" t="str">
        <f>HYPERLINK("https://ceds.ed.gov/cedselementdetails.aspx?termid=21089")</f>
        <v>https://ceds.ed.gov/cedselementdetails.aspx?termid=21089</v>
      </c>
      <c r="Q512" s="22">
        <v>59727</v>
      </c>
    </row>
    <row r="513" spans="1:17" ht="57.6" x14ac:dyDescent="0.3">
      <c r="A513" s="22" t="s">
        <v>7709</v>
      </c>
      <c r="B513" s="22" t="s">
        <v>9196</v>
      </c>
      <c r="C513" s="22" t="s">
        <v>7718</v>
      </c>
      <c r="D513" s="22" t="s">
        <v>7710</v>
      </c>
      <c r="E513" s="22" t="s">
        <v>3228</v>
      </c>
      <c r="F513" s="24" t="s">
        <v>3229</v>
      </c>
      <c r="G513" s="26" t="s">
        <v>3039</v>
      </c>
      <c r="H513" s="22"/>
      <c r="I513" s="22" t="s">
        <v>172</v>
      </c>
      <c r="J513" s="22"/>
      <c r="K513" s="24" t="s">
        <v>7946</v>
      </c>
      <c r="L513" s="24"/>
      <c r="M513" s="25" t="s">
        <v>3230</v>
      </c>
      <c r="N513" s="22"/>
      <c r="O513" s="22" t="s">
        <v>3231</v>
      </c>
      <c r="P513" s="22" t="str">
        <f>HYPERLINK("https://ceds.ed.gov/cedselementdetails.aspx?termid=22905")</f>
        <v>https://ceds.ed.gov/cedselementdetails.aspx?termid=22905</v>
      </c>
      <c r="Q513" s="22">
        <v>63282</v>
      </c>
    </row>
    <row r="514" spans="1:17" ht="201.6" x14ac:dyDescent="0.3">
      <c r="A514" s="22" t="s">
        <v>7709</v>
      </c>
      <c r="B514" s="22" t="s">
        <v>9196</v>
      </c>
      <c r="C514" s="22" t="s">
        <v>7742</v>
      </c>
      <c r="D514" s="22" t="s">
        <v>7710</v>
      </c>
      <c r="E514" s="22" t="s">
        <v>1544</v>
      </c>
      <c r="F514" s="24" t="s">
        <v>1545</v>
      </c>
      <c r="G514" s="23" t="s">
        <v>32</v>
      </c>
      <c r="H514" s="24" t="s">
        <v>1547</v>
      </c>
      <c r="I514" s="22"/>
      <c r="J514" s="22" t="s">
        <v>118</v>
      </c>
      <c r="K514" s="24"/>
      <c r="L514" s="24"/>
      <c r="M514" s="25" t="s">
        <v>1546</v>
      </c>
      <c r="N514" s="22"/>
      <c r="O514" s="22" t="s">
        <v>1544</v>
      </c>
      <c r="P514" s="22" t="str">
        <f>HYPERLINK("https://ceds.ed.gov/cedselementdetails.aspx?termid=21033")</f>
        <v>https://ceds.ed.gov/cedselementdetails.aspx?termid=21033</v>
      </c>
      <c r="Q514" s="22">
        <v>58678</v>
      </c>
    </row>
    <row r="515" spans="1:17" ht="216" x14ac:dyDescent="0.3">
      <c r="A515" s="22" t="s">
        <v>7709</v>
      </c>
      <c r="B515" s="22" t="s">
        <v>9196</v>
      </c>
      <c r="C515" s="22" t="s">
        <v>7742</v>
      </c>
      <c r="D515" s="22" t="s">
        <v>7710</v>
      </c>
      <c r="E515" s="22" t="s">
        <v>6763</v>
      </c>
      <c r="F515" s="24" t="s">
        <v>6764</v>
      </c>
      <c r="G515" s="26" t="s">
        <v>9142</v>
      </c>
      <c r="H515" s="24" t="s">
        <v>6767</v>
      </c>
      <c r="I515" s="22"/>
      <c r="J515" s="22"/>
      <c r="K515" s="24"/>
      <c r="L515" s="24" t="s">
        <v>6765</v>
      </c>
      <c r="M515" s="25" t="s">
        <v>6766</v>
      </c>
      <c r="N515" s="22"/>
      <c r="O515" s="22" t="s">
        <v>6763</v>
      </c>
      <c r="P515" s="22" t="str">
        <f>HYPERLINK("https://ceds.ed.gov/cedselementdetails.aspx?termid=21255")</f>
        <v>https://ceds.ed.gov/cedselementdetails.aspx?termid=21255</v>
      </c>
      <c r="Q515" s="22">
        <v>58691</v>
      </c>
    </row>
    <row r="516" spans="1:17" ht="201.6" x14ac:dyDescent="0.3">
      <c r="A516" s="22" t="s">
        <v>7709</v>
      </c>
      <c r="B516" s="22" t="s">
        <v>9196</v>
      </c>
      <c r="C516" s="22" t="s">
        <v>7742</v>
      </c>
      <c r="D516" s="22" t="s">
        <v>7710</v>
      </c>
      <c r="E516" s="22" t="s">
        <v>360</v>
      </c>
      <c r="F516" s="24" t="s">
        <v>361</v>
      </c>
      <c r="G516" s="26" t="s">
        <v>8601</v>
      </c>
      <c r="H516" s="24" t="s">
        <v>365</v>
      </c>
      <c r="I516" s="22"/>
      <c r="J516" s="22"/>
      <c r="K516" s="24"/>
      <c r="L516" s="24" t="s">
        <v>7958</v>
      </c>
      <c r="M516" s="25" t="s">
        <v>362</v>
      </c>
      <c r="N516" s="22" t="s">
        <v>363</v>
      </c>
      <c r="O516" s="22" t="s">
        <v>364</v>
      </c>
      <c r="P516" s="22" t="str">
        <f>HYPERLINK("https://ceds.ed.gov/cedselementdetails.aspx?termid=21655")</f>
        <v>https://ceds.ed.gov/cedselementdetails.aspx?termid=21655</v>
      </c>
      <c r="Q516" s="22">
        <v>60226</v>
      </c>
    </row>
    <row r="517" spans="1:17" ht="201.6" x14ac:dyDescent="0.3">
      <c r="A517" s="22" t="s">
        <v>7709</v>
      </c>
      <c r="B517" s="22" t="s">
        <v>9196</v>
      </c>
      <c r="C517" s="22" t="s">
        <v>7742</v>
      </c>
      <c r="D517" s="22" t="s">
        <v>7710</v>
      </c>
      <c r="E517" s="22" t="s">
        <v>400</v>
      </c>
      <c r="F517" s="24" t="s">
        <v>401</v>
      </c>
      <c r="G517" s="26" t="s">
        <v>8601</v>
      </c>
      <c r="H517" s="24" t="s">
        <v>365</v>
      </c>
      <c r="I517" s="22"/>
      <c r="J517" s="22"/>
      <c r="K517" s="24"/>
      <c r="L517" s="24" t="s">
        <v>7958</v>
      </c>
      <c r="M517" s="25" t="s">
        <v>402</v>
      </c>
      <c r="N517" s="22" t="s">
        <v>403</v>
      </c>
      <c r="O517" s="22" t="s">
        <v>400</v>
      </c>
      <c r="P517" s="22" t="str">
        <f>HYPERLINK("https://ceds.ed.gov/cedselementdetails.aspx?termid=21656")</f>
        <v>https://ceds.ed.gov/cedselementdetails.aspx?termid=21656</v>
      </c>
      <c r="Q517" s="22">
        <v>60227</v>
      </c>
    </row>
    <row r="518" spans="1:17" ht="201.6" x14ac:dyDescent="0.3">
      <c r="A518" s="22" t="s">
        <v>7709</v>
      </c>
      <c r="B518" s="22" t="s">
        <v>9196</v>
      </c>
      <c r="C518" s="22" t="s">
        <v>7742</v>
      </c>
      <c r="D518" s="22" t="s">
        <v>7710</v>
      </c>
      <c r="E518" s="22" t="s">
        <v>1554</v>
      </c>
      <c r="F518" s="24" t="s">
        <v>1555</v>
      </c>
      <c r="G518" s="26" t="s">
        <v>8601</v>
      </c>
      <c r="H518" s="24" t="s">
        <v>365</v>
      </c>
      <c r="I518" s="22"/>
      <c r="J518" s="22"/>
      <c r="K518" s="24"/>
      <c r="L518" s="24" t="s">
        <v>7958</v>
      </c>
      <c r="M518" s="25" t="s">
        <v>1556</v>
      </c>
      <c r="N518" s="22" t="s">
        <v>1557</v>
      </c>
      <c r="O518" s="22" t="s">
        <v>1558</v>
      </c>
      <c r="P518" s="22" t="str">
        <f>HYPERLINK("https://ceds.ed.gov/cedselementdetails.aspx?termid=21657")</f>
        <v>https://ceds.ed.gov/cedselementdetails.aspx?termid=21657</v>
      </c>
      <c r="Q518" s="22">
        <v>60228</v>
      </c>
    </row>
    <row r="519" spans="1:17" ht="201.6" x14ac:dyDescent="0.3">
      <c r="A519" s="22" t="s">
        <v>7709</v>
      </c>
      <c r="B519" s="22" t="s">
        <v>9196</v>
      </c>
      <c r="C519" s="22" t="s">
        <v>7742</v>
      </c>
      <c r="D519" s="22" t="s">
        <v>7710</v>
      </c>
      <c r="E519" s="22" t="s">
        <v>5548</v>
      </c>
      <c r="F519" s="24" t="s">
        <v>5549</v>
      </c>
      <c r="G519" s="26" t="s">
        <v>8601</v>
      </c>
      <c r="H519" s="24" t="s">
        <v>365</v>
      </c>
      <c r="I519" s="22"/>
      <c r="J519" s="22"/>
      <c r="K519" s="24"/>
      <c r="L519" s="24" t="s">
        <v>7958</v>
      </c>
      <c r="M519" s="25" t="s">
        <v>5550</v>
      </c>
      <c r="N519" s="22" t="s">
        <v>5551</v>
      </c>
      <c r="O519" s="22" t="s">
        <v>5552</v>
      </c>
      <c r="P519" s="22" t="str">
        <f>HYPERLINK("https://ceds.ed.gov/cedselementdetails.aspx?termid=21658")</f>
        <v>https://ceds.ed.gov/cedselementdetails.aspx?termid=21658</v>
      </c>
      <c r="Q519" s="22">
        <v>60229</v>
      </c>
    </row>
    <row r="520" spans="1:17" ht="201.6" x14ac:dyDescent="0.3">
      <c r="A520" s="22" t="s">
        <v>7709</v>
      </c>
      <c r="B520" s="22" t="s">
        <v>9196</v>
      </c>
      <c r="C520" s="22" t="s">
        <v>7742</v>
      </c>
      <c r="D520" s="22" t="s">
        <v>7710</v>
      </c>
      <c r="E520" s="22" t="s">
        <v>7390</v>
      </c>
      <c r="F520" s="24" t="s">
        <v>7391</v>
      </c>
      <c r="G520" s="26" t="s">
        <v>8601</v>
      </c>
      <c r="H520" s="24" t="s">
        <v>365</v>
      </c>
      <c r="I520" s="22"/>
      <c r="J520" s="22"/>
      <c r="K520" s="24"/>
      <c r="L520" s="24" t="s">
        <v>7958</v>
      </c>
      <c r="M520" s="25" t="s">
        <v>7392</v>
      </c>
      <c r="N520" s="22" t="s">
        <v>7393</v>
      </c>
      <c r="O520" s="22" t="s">
        <v>7390</v>
      </c>
      <c r="P520" s="22" t="str">
        <f>HYPERLINK("https://ceds.ed.gov/cedselementdetails.aspx?termid=21659")</f>
        <v>https://ceds.ed.gov/cedselementdetails.aspx?termid=21659</v>
      </c>
      <c r="Q520" s="22">
        <v>60230</v>
      </c>
    </row>
    <row r="521" spans="1:17" ht="201.6" x14ac:dyDescent="0.3">
      <c r="A521" s="22" t="s">
        <v>7709</v>
      </c>
      <c r="B521" s="22" t="s">
        <v>9196</v>
      </c>
      <c r="C521" s="22" t="s">
        <v>7742</v>
      </c>
      <c r="D521" s="22" t="s">
        <v>7710</v>
      </c>
      <c r="E521" s="22" t="s">
        <v>4347</v>
      </c>
      <c r="F521" s="24" t="s">
        <v>4348</v>
      </c>
      <c r="G521" s="26" t="s">
        <v>8601</v>
      </c>
      <c r="H521" s="24" t="s">
        <v>365</v>
      </c>
      <c r="I521" s="22"/>
      <c r="J521" s="22"/>
      <c r="K521" s="24"/>
      <c r="L521" s="24" t="s">
        <v>7958</v>
      </c>
      <c r="M521" s="25" t="s">
        <v>4349</v>
      </c>
      <c r="N521" s="22"/>
      <c r="O521" s="22" t="s">
        <v>4350</v>
      </c>
      <c r="P521" s="22" t="str">
        <f>HYPERLINK("https://ceds.ed.gov/cedselementdetails.aspx?termid=21144")</f>
        <v>https://ceds.ed.gov/cedselementdetails.aspx?termid=21144</v>
      </c>
      <c r="Q521" s="22">
        <v>60231</v>
      </c>
    </row>
    <row r="522" spans="1:17" ht="72" x14ac:dyDescent="0.3">
      <c r="A522" s="22" t="s">
        <v>7709</v>
      </c>
      <c r="B522" s="22" t="s">
        <v>9196</v>
      </c>
      <c r="C522" s="22" t="s">
        <v>7742</v>
      </c>
      <c r="D522" s="22" t="s">
        <v>7710</v>
      </c>
      <c r="E522" s="22" t="s">
        <v>3090</v>
      </c>
      <c r="F522" s="24" t="s">
        <v>3091</v>
      </c>
      <c r="G522" s="26" t="s">
        <v>22</v>
      </c>
      <c r="H522" s="22"/>
      <c r="I522" s="22"/>
      <c r="J522" s="22"/>
      <c r="K522" s="24"/>
      <c r="L522" s="24" t="s">
        <v>3092</v>
      </c>
      <c r="M522" s="25" t="s">
        <v>3093</v>
      </c>
      <c r="N522" s="22"/>
      <c r="O522" s="22" t="s">
        <v>3094</v>
      </c>
      <c r="P522" s="22" t="str">
        <f>HYPERLINK("https://ceds.ed.gov/cedselementdetails.aspx?termid=21974")</f>
        <v>https://ceds.ed.gov/cedselementdetails.aspx?termid=21974</v>
      </c>
      <c r="Q522" s="22">
        <v>63167</v>
      </c>
    </row>
    <row r="523" spans="1:17" ht="409.6" x14ac:dyDescent="0.3">
      <c r="A523" s="22" t="s">
        <v>7709</v>
      </c>
      <c r="B523" s="22" t="s">
        <v>9196</v>
      </c>
      <c r="C523" s="22" t="s">
        <v>7742</v>
      </c>
      <c r="D523" s="22" t="s">
        <v>7710</v>
      </c>
      <c r="E523" s="22" t="s">
        <v>2531</v>
      </c>
      <c r="F523" s="24" t="s">
        <v>2532</v>
      </c>
      <c r="G523" s="26" t="s">
        <v>8743</v>
      </c>
      <c r="H523" s="24" t="s">
        <v>2535</v>
      </c>
      <c r="I523" s="22"/>
      <c r="J523" s="22"/>
      <c r="K523" s="24"/>
      <c r="L523" s="24" t="s">
        <v>8055</v>
      </c>
      <c r="M523" s="25" t="s">
        <v>2533</v>
      </c>
      <c r="N523" s="22"/>
      <c r="O523" s="22" t="s">
        <v>2534</v>
      </c>
      <c r="P523" s="22" t="str">
        <f>HYPERLINK("https://ceds.ed.gov/cedselementdetails.aspx?termid=21051")</f>
        <v>https://ceds.ed.gov/cedselementdetails.aspx?termid=21051</v>
      </c>
      <c r="Q523" s="22">
        <v>63285</v>
      </c>
    </row>
    <row r="524" spans="1:17" ht="100.8" x14ac:dyDescent="0.3">
      <c r="A524" s="22" t="s">
        <v>7709</v>
      </c>
      <c r="B524" s="22" t="s">
        <v>9196</v>
      </c>
      <c r="C524" s="22" t="s">
        <v>7742</v>
      </c>
      <c r="D524" s="22" t="s">
        <v>7710</v>
      </c>
      <c r="E524" s="22" t="s">
        <v>5486</v>
      </c>
      <c r="F524" s="24" t="s">
        <v>8254</v>
      </c>
      <c r="G524" s="26" t="s">
        <v>9036</v>
      </c>
      <c r="H524" s="22"/>
      <c r="I524" s="22"/>
      <c r="J524" s="22"/>
      <c r="K524" s="24"/>
      <c r="L524" s="24"/>
      <c r="M524" s="25" t="s">
        <v>5487</v>
      </c>
      <c r="N524" s="22"/>
      <c r="O524" s="22" t="s">
        <v>5488</v>
      </c>
      <c r="P524" s="22" t="str">
        <f>HYPERLINK("https://ceds.ed.gov/cedselementdetails.aspx?termid=22621")</f>
        <v>https://ceds.ed.gov/cedselementdetails.aspx?termid=22621</v>
      </c>
      <c r="Q524" s="22">
        <v>63286</v>
      </c>
    </row>
    <row r="525" spans="1:17" ht="57.6" x14ac:dyDescent="0.3">
      <c r="A525" s="22" t="s">
        <v>7709</v>
      </c>
      <c r="B525" s="22" t="s">
        <v>9196</v>
      </c>
      <c r="C525" s="22" t="s">
        <v>7742</v>
      </c>
      <c r="D525" s="22" t="s">
        <v>7710</v>
      </c>
      <c r="E525" s="22" t="s">
        <v>7288</v>
      </c>
      <c r="F525" s="24" t="s">
        <v>7289</v>
      </c>
      <c r="G525" s="23" t="s">
        <v>7423</v>
      </c>
      <c r="H525" s="22"/>
      <c r="I525" s="22"/>
      <c r="J525" s="22"/>
      <c r="K525" s="24"/>
      <c r="L525" s="24"/>
      <c r="M525" s="25" t="s">
        <v>7290</v>
      </c>
      <c r="N525" s="22"/>
      <c r="O525" s="22" t="s">
        <v>7291</v>
      </c>
      <c r="P525" s="22" t="str">
        <f>HYPERLINK("https://ceds.ed.gov/cedselementdetails.aspx?termid=22638")</f>
        <v>https://ceds.ed.gov/cedselementdetails.aspx?termid=22638</v>
      </c>
      <c r="Q525" s="22">
        <v>63287</v>
      </c>
    </row>
    <row r="526" spans="1:17" ht="57.6" x14ac:dyDescent="0.3">
      <c r="A526" s="22" t="s">
        <v>7709</v>
      </c>
      <c r="B526" s="22" t="s">
        <v>9196</v>
      </c>
      <c r="C526" s="22" t="s">
        <v>7742</v>
      </c>
      <c r="D526" s="22" t="s">
        <v>7710</v>
      </c>
      <c r="E526" s="22" t="s">
        <v>7528</v>
      </c>
      <c r="F526" s="24" t="s">
        <v>7529</v>
      </c>
      <c r="G526" s="26" t="s">
        <v>22</v>
      </c>
      <c r="H526" s="22"/>
      <c r="I526" s="22"/>
      <c r="J526" s="22"/>
      <c r="K526" s="24"/>
      <c r="L526" s="24"/>
      <c r="M526" s="25" t="s">
        <v>7530</v>
      </c>
      <c r="N526" s="22"/>
      <c r="O526" s="22" t="s">
        <v>7531</v>
      </c>
      <c r="P526" s="22" t="str">
        <f>HYPERLINK("https://ceds.ed.gov/cedselementdetails.aspx?termid=22932")</f>
        <v>https://ceds.ed.gov/cedselementdetails.aspx?termid=22932</v>
      </c>
      <c r="Q526" s="22">
        <v>63510</v>
      </c>
    </row>
    <row r="527" spans="1:17" ht="115.2" x14ac:dyDescent="0.3">
      <c r="A527" s="22" t="s">
        <v>7709</v>
      </c>
      <c r="B527" s="22" t="s">
        <v>9196</v>
      </c>
      <c r="C527" s="22" t="s">
        <v>7742</v>
      </c>
      <c r="D527" s="22" t="s">
        <v>7710</v>
      </c>
      <c r="E527" s="22" t="s">
        <v>7532</v>
      </c>
      <c r="F527" s="24" t="s">
        <v>7533</v>
      </c>
      <c r="G527" s="26" t="s">
        <v>3039</v>
      </c>
      <c r="H527" s="22"/>
      <c r="I527" s="22"/>
      <c r="J527" s="22"/>
      <c r="K527" s="24"/>
      <c r="L527" s="24"/>
      <c r="M527" s="25" t="s">
        <v>7534</v>
      </c>
      <c r="N527" s="22"/>
      <c r="O527" s="22" t="s">
        <v>7535</v>
      </c>
      <c r="P527" s="22" t="str">
        <f>HYPERLINK("https://ceds.ed.gov/cedselementdetails.aspx?termid=22933")</f>
        <v>https://ceds.ed.gov/cedselementdetails.aspx?termid=22933</v>
      </c>
      <c r="Q527" s="22">
        <v>63511</v>
      </c>
    </row>
    <row r="528" spans="1:17" ht="144" x14ac:dyDescent="0.3">
      <c r="A528" s="22" t="s">
        <v>7709</v>
      </c>
      <c r="B528" s="22" t="s">
        <v>9196</v>
      </c>
      <c r="C528" s="22" t="s">
        <v>7742</v>
      </c>
      <c r="D528" s="22" t="s">
        <v>7710</v>
      </c>
      <c r="E528" s="22" t="s">
        <v>7640</v>
      </c>
      <c r="F528" s="24" t="s">
        <v>7641</v>
      </c>
      <c r="G528" s="26" t="s">
        <v>9121</v>
      </c>
      <c r="H528" s="22"/>
      <c r="I528" s="22"/>
      <c r="J528" s="22"/>
      <c r="K528" s="24"/>
      <c r="L528" s="24" t="s">
        <v>7642</v>
      </c>
      <c r="M528" s="25" t="s">
        <v>7643</v>
      </c>
      <c r="N528" s="22"/>
      <c r="O528" s="22" t="s">
        <v>7640</v>
      </c>
      <c r="P528" s="22" t="str">
        <f>HYPERLINK("https://ceds.ed.gov/cedselementdetails.aspx?termid=22955")</f>
        <v>https://ceds.ed.gov/cedselementdetails.aspx?termid=22955</v>
      </c>
      <c r="Q528" s="22">
        <v>63512</v>
      </c>
    </row>
    <row r="529" spans="1:17" ht="86.4" x14ac:dyDescent="0.3">
      <c r="A529" s="22" t="s">
        <v>7709</v>
      </c>
      <c r="B529" s="22" t="s">
        <v>9196</v>
      </c>
      <c r="C529" s="22" t="s">
        <v>7742</v>
      </c>
      <c r="D529" s="22" t="s">
        <v>7741</v>
      </c>
      <c r="E529" s="22" t="s">
        <v>7330</v>
      </c>
      <c r="F529" s="24" t="s">
        <v>7331</v>
      </c>
      <c r="G529" s="26" t="s">
        <v>8554</v>
      </c>
      <c r="H529" s="24" t="s">
        <v>7334</v>
      </c>
      <c r="I529" s="22" t="s">
        <v>172</v>
      </c>
      <c r="J529" s="22"/>
      <c r="K529" s="24" t="s">
        <v>7946</v>
      </c>
      <c r="L529" s="24" t="s">
        <v>6765</v>
      </c>
      <c r="M529" s="25" t="s">
        <v>7332</v>
      </c>
      <c r="N529" s="22"/>
      <c r="O529" s="22" t="s">
        <v>7333</v>
      </c>
      <c r="P529" s="22" t="str">
        <f>HYPERLINK("https://ceds.ed.gov/cedselementdetails.aspx?termid=21299")</f>
        <v>https://ceds.ed.gov/cedselementdetails.aspx?termid=21299</v>
      </c>
      <c r="Q529" s="22">
        <v>63854</v>
      </c>
    </row>
    <row r="530" spans="1:17" ht="187.2" x14ac:dyDescent="0.3">
      <c r="A530" s="22" t="s">
        <v>7709</v>
      </c>
      <c r="B530" s="22" t="s">
        <v>9196</v>
      </c>
      <c r="C530" s="22" t="s">
        <v>7769</v>
      </c>
      <c r="D530" s="22" t="s">
        <v>7710</v>
      </c>
      <c r="E530" s="22" t="s">
        <v>5525</v>
      </c>
      <c r="F530" s="24" t="s">
        <v>5526</v>
      </c>
      <c r="G530" s="23" t="s">
        <v>32</v>
      </c>
      <c r="H530" s="24" t="s">
        <v>5529</v>
      </c>
      <c r="I530" s="22" t="s">
        <v>172</v>
      </c>
      <c r="J530" s="22" t="s">
        <v>157</v>
      </c>
      <c r="K530" s="24" t="s">
        <v>7946</v>
      </c>
      <c r="L530" s="24"/>
      <c r="M530" s="25" t="s">
        <v>5527</v>
      </c>
      <c r="N530" s="22"/>
      <c r="O530" s="22" t="s">
        <v>5528</v>
      </c>
      <c r="P530" s="22" t="str">
        <f>HYPERLINK("https://ceds.ed.gov/cedselementdetails.aspx?termid=21191")</f>
        <v>https://ceds.ed.gov/cedselementdetails.aspx?termid=21191</v>
      </c>
      <c r="Q530" s="22">
        <v>58688</v>
      </c>
    </row>
    <row r="531" spans="1:17" ht="43.2" x14ac:dyDescent="0.3">
      <c r="A531" s="22" t="s">
        <v>7709</v>
      </c>
      <c r="B531" s="22" t="s">
        <v>9196</v>
      </c>
      <c r="C531" s="22" t="s">
        <v>7769</v>
      </c>
      <c r="D531" s="22" t="s">
        <v>7710</v>
      </c>
      <c r="E531" s="22" t="s">
        <v>3269</v>
      </c>
      <c r="F531" s="24" t="s">
        <v>3270</v>
      </c>
      <c r="G531" s="26" t="s">
        <v>22</v>
      </c>
      <c r="H531" s="22" t="s">
        <v>207</v>
      </c>
      <c r="I531" s="22"/>
      <c r="J531" s="22"/>
      <c r="K531" s="24"/>
      <c r="L531" s="24"/>
      <c r="M531" s="25" t="s">
        <v>3271</v>
      </c>
      <c r="N531" s="22"/>
      <c r="O531" s="22" t="s">
        <v>3272</v>
      </c>
      <c r="P531" s="22" t="str">
        <f>HYPERLINK("https://ceds.ed.gov/cedselementdetails.aspx?termid=21786")</f>
        <v>https://ceds.ed.gov/cedselementdetails.aspx?termid=21786</v>
      </c>
      <c r="Q531" s="22">
        <v>60232</v>
      </c>
    </row>
    <row r="532" spans="1:17" ht="86.4" x14ac:dyDescent="0.3">
      <c r="A532" s="22" t="s">
        <v>7709</v>
      </c>
      <c r="B532" s="22" t="s">
        <v>9196</v>
      </c>
      <c r="C532" s="22" t="s">
        <v>7769</v>
      </c>
      <c r="D532" s="22" t="s">
        <v>7710</v>
      </c>
      <c r="E532" s="22" t="s">
        <v>5299</v>
      </c>
      <c r="F532" s="24" t="s">
        <v>5300</v>
      </c>
      <c r="G532" s="26" t="s">
        <v>9016</v>
      </c>
      <c r="H532" s="24" t="s">
        <v>3559</v>
      </c>
      <c r="I532" s="22"/>
      <c r="J532" s="22"/>
      <c r="K532" s="24"/>
      <c r="L532" s="24"/>
      <c r="M532" s="25" t="s">
        <v>5301</v>
      </c>
      <c r="N532" s="22"/>
      <c r="O532" s="22" t="s">
        <v>5302</v>
      </c>
      <c r="P532" s="22" t="str">
        <f>HYPERLINK("https://ceds.ed.gov/cedselementdetails.aspx?termid=21340")</f>
        <v>https://ceds.ed.gov/cedselementdetails.aspx?termid=21340</v>
      </c>
      <c r="Q532" s="22">
        <v>58696</v>
      </c>
    </row>
    <row r="533" spans="1:17" ht="43.2" x14ac:dyDescent="0.3">
      <c r="A533" s="22" t="s">
        <v>7709</v>
      </c>
      <c r="B533" s="22" t="s">
        <v>9196</v>
      </c>
      <c r="C533" s="22" t="s">
        <v>7769</v>
      </c>
      <c r="D533" s="22" t="s">
        <v>7710</v>
      </c>
      <c r="E533" s="22" t="s">
        <v>3082</v>
      </c>
      <c r="F533" s="24" t="s">
        <v>3083</v>
      </c>
      <c r="G533" s="23" t="s">
        <v>32</v>
      </c>
      <c r="H533" s="24" t="s">
        <v>3077</v>
      </c>
      <c r="I533" s="22"/>
      <c r="J533" s="22" t="s">
        <v>1339</v>
      </c>
      <c r="K533" s="24"/>
      <c r="L533" s="24"/>
      <c r="M533" s="25" t="s">
        <v>3084</v>
      </c>
      <c r="N533" s="22"/>
      <c r="O533" s="22" t="s">
        <v>3085</v>
      </c>
      <c r="P533" s="22" t="str">
        <f>HYPERLINK("https://ceds.ed.gov/cedselementdetails.aspx?termid=21341")</f>
        <v>https://ceds.ed.gov/cedselementdetails.aspx?termid=21341</v>
      </c>
      <c r="Q533" s="22">
        <v>58697</v>
      </c>
    </row>
    <row r="534" spans="1:17" ht="273.60000000000002" x14ac:dyDescent="0.3">
      <c r="A534" s="22" t="s">
        <v>7709</v>
      </c>
      <c r="B534" s="22" t="s">
        <v>9196</v>
      </c>
      <c r="C534" s="22" t="s">
        <v>7769</v>
      </c>
      <c r="D534" s="22" t="s">
        <v>7710</v>
      </c>
      <c r="E534" s="22" t="s">
        <v>3086</v>
      </c>
      <c r="F534" s="24" t="s">
        <v>3087</v>
      </c>
      <c r="G534" s="26" t="s">
        <v>8785</v>
      </c>
      <c r="H534" s="24" t="s">
        <v>3077</v>
      </c>
      <c r="I534" s="22"/>
      <c r="J534" s="22"/>
      <c r="K534" s="24"/>
      <c r="L534" s="24"/>
      <c r="M534" s="25" t="s">
        <v>3088</v>
      </c>
      <c r="N534" s="22"/>
      <c r="O534" s="22" t="s">
        <v>3089</v>
      </c>
      <c r="P534" s="22" t="str">
        <f>HYPERLINK("https://ceds.ed.gov/cedselementdetails.aspx?termid=21342")</f>
        <v>https://ceds.ed.gov/cedselementdetails.aspx?termid=21342</v>
      </c>
      <c r="Q534" s="22">
        <v>58698</v>
      </c>
    </row>
    <row r="535" spans="1:17" ht="43.2" x14ac:dyDescent="0.3">
      <c r="A535" s="22" t="s">
        <v>7709</v>
      </c>
      <c r="B535" s="22" t="s">
        <v>9196</v>
      </c>
      <c r="C535" s="22" t="s">
        <v>7769</v>
      </c>
      <c r="D535" s="22" t="s">
        <v>7710</v>
      </c>
      <c r="E535" s="22" t="s">
        <v>3073</v>
      </c>
      <c r="F535" s="24" t="s">
        <v>3074</v>
      </c>
      <c r="G535" s="23" t="s">
        <v>32</v>
      </c>
      <c r="H535" s="24" t="s">
        <v>3077</v>
      </c>
      <c r="I535" s="22"/>
      <c r="J535" s="22" t="s">
        <v>118</v>
      </c>
      <c r="K535" s="24"/>
      <c r="L535" s="24"/>
      <c r="M535" s="25" t="s">
        <v>3075</v>
      </c>
      <c r="N535" s="22"/>
      <c r="O535" s="22" t="s">
        <v>3076</v>
      </c>
      <c r="P535" s="22" t="str">
        <f>HYPERLINK("https://ceds.ed.gov/cedselementdetails.aspx?termid=21343")</f>
        <v>https://ceds.ed.gov/cedselementdetails.aspx?termid=21343</v>
      </c>
      <c r="Q535" s="22">
        <v>58699</v>
      </c>
    </row>
    <row r="536" spans="1:17" ht="72" x14ac:dyDescent="0.3">
      <c r="A536" s="22" t="s">
        <v>7709</v>
      </c>
      <c r="B536" s="22" t="s">
        <v>9196</v>
      </c>
      <c r="C536" s="22" t="s">
        <v>7769</v>
      </c>
      <c r="D536" s="22" t="s">
        <v>7710</v>
      </c>
      <c r="E536" s="22" t="s">
        <v>7264</v>
      </c>
      <c r="F536" s="24" t="s">
        <v>7265</v>
      </c>
      <c r="G536" s="23" t="s">
        <v>32</v>
      </c>
      <c r="H536" s="22" t="s">
        <v>207</v>
      </c>
      <c r="I536" s="22"/>
      <c r="J536" s="22" t="s">
        <v>1518</v>
      </c>
      <c r="K536" s="24"/>
      <c r="L536" s="24"/>
      <c r="M536" s="25" t="s">
        <v>7266</v>
      </c>
      <c r="N536" s="22"/>
      <c r="O536" s="22" t="s">
        <v>7267</v>
      </c>
      <c r="P536" s="22" t="str">
        <f>HYPERLINK("https://ceds.ed.gov/cedselementdetails.aspx?termid=21787")</f>
        <v>https://ceds.ed.gov/cedselementdetails.aspx?termid=21787</v>
      </c>
      <c r="Q536" s="22">
        <v>60233</v>
      </c>
    </row>
    <row r="537" spans="1:17" ht="57.6" x14ac:dyDescent="0.3">
      <c r="A537" s="22" t="s">
        <v>7709</v>
      </c>
      <c r="B537" s="22" t="s">
        <v>9196</v>
      </c>
      <c r="C537" s="22" t="s">
        <v>7769</v>
      </c>
      <c r="D537" s="22" t="s">
        <v>7710</v>
      </c>
      <c r="E537" s="22" t="s">
        <v>3428</v>
      </c>
      <c r="F537" s="24" t="s">
        <v>3429</v>
      </c>
      <c r="G537" s="23" t="s">
        <v>32</v>
      </c>
      <c r="H537" s="22" t="s">
        <v>207</v>
      </c>
      <c r="I537" s="22"/>
      <c r="J537" s="22" t="s">
        <v>1518</v>
      </c>
      <c r="K537" s="24"/>
      <c r="L537" s="24"/>
      <c r="M537" s="25" t="s">
        <v>3430</v>
      </c>
      <c r="N537" s="22"/>
      <c r="O537" s="22" t="s">
        <v>3431</v>
      </c>
      <c r="P537" s="22" t="str">
        <f>HYPERLINK("https://ceds.ed.gov/cedselementdetails.aspx?termid=21791")</f>
        <v>https://ceds.ed.gov/cedselementdetails.aspx?termid=21791</v>
      </c>
      <c r="Q537" s="22">
        <v>60235</v>
      </c>
    </row>
    <row r="538" spans="1:17" ht="57.6" x14ac:dyDescent="0.3">
      <c r="A538" s="22" t="s">
        <v>7709</v>
      </c>
      <c r="B538" s="22" t="s">
        <v>9196</v>
      </c>
      <c r="C538" s="22" t="s">
        <v>7769</v>
      </c>
      <c r="D538" s="22" t="s">
        <v>7710</v>
      </c>
      <c r="E538" s="22" t="s">
        <v>5644</v>
      </c>
      <c r="F538" s="24" t="s">
        <v>5645</v>
      </c>
      <c r="G538" s="23" t="s">
        <v>32</v>
      </c>
      <c r="H538" s="22" t="s">
        <v>207</v>
      </c>
      <c r="I538" s="22"/>
      <c r="J538" s="22" t="s">
        <v>1518</v>
      </c>
      <c r="K538" s="24"/>
      <c r="L538" s="24"/>
      <c r="M538" s="25" t="s">
        <v>5646</v>
      </c>
      <c r="N538" s="22"/>
      <c r="O538" s="22" t="s">
        <v>5647</v>
      </c>
      <c r="P538" s="22" t="str">
        <f>HYPERLINK("https://ceds.ed.gov/cedselementdetails.aspx?termid=21815")</f>
        <v>https://ceds.ed.gov/cedselementdetails.aspx?termid=21815</v>
      </c>
      <c r="Q538" s="22">
        <v>60263</v>
      </c>
    </row>
    <row r="539" spans="1:17" ht="72" x14ac:dyDescent="0.3">
      <c r="A539" s="22" t="s">
        <v>7709</v>
      </c>
      <c r="B539" s="22" t="s">
        <v>9196</v>
      </c>
      <c r="C539" s="22" t="s">
        <v>7769</v>
      </c>
      <c r="D539" s="22" t="s">
        <v>7710</v>
      </c>
      <c r="E539" s="22" t="s">
        <v>6878</v>
      </c>
      <c r="F539" s="24" t="s">
        <v>6879</v>
      </c>
      <c r="G539" s="23" t="s">
        <v>32</v>
      </c>
      <c r="H539" s="22" t="s">
        <v>207</v>
      </c>
      <c r="I539" s="22"/>
      <c r="J539" s="22" t="s">
        <v>118</v>
      </c>
      <c r="K539" s="24"/>
      <c r="L539" s="24"/>
      <c r="M539" s="25" t="s">
        <v>6880</v>
      </c>
      <c r="N539" s="22"/>
      <c r="O539" s="22" t="s">
        <v>6881</v>
      </c>
      <c r="P539" s="22" t="str">
        <f>HYPERLINK("https://ceds.ed.gov/cedselementdetails.aspx?termid=21792")</f>
        <v>https://ceds.ed.gov/cedselementdetails.aspx?termid=21792</v>
      </c>
      <c r="Q539" s="22">
        <v>60236</v>
      </c>
    </row>
    <row r="540" spans="1:17" ht="72" x14ac:dyDescent="0.3">
      <c r="A540" s="22" t="s">
        <v>7709</v>
      </c>
      <c r="B540" s="22" t="s">
        <v>9196</v>
      </c>
      <c r="C540" s="22" t="s">
        <v>7769</v>
      </c>
      <c r="D540" s="22" t="s">
        <v>7710</v>
      </c>
      <c r="E540" s="22" t="s">
        <v>6882</v>
      </c>
      <c r="F540" s="24" t="s">
        <v>6883</v>
      </c>
      <c r="G540" s="23" t="s">
        <v>32</v>
      </c>
      <c r="H540" s="22" t="s">
        <v>207</v>
      </c>
      <c r="I540" s="22"/>
      <c r="J540" s="22" t="s">
        <v>118</v>
      </c>
      <c r="K540" s="24"/>
      <c r="L540" s="24"/>
      <c r="M540" s="25" t="s">
        <v>6884</v>
      </c>
      <c r="N540" s="22"/>
      <c r="O540" s="22" t="s">
        <v>6885</v>
      </c>
      <c r="P540" s="22" t="str">
        <f>HYPERLINK("https://ceds.ed.gov/cedselementdetails.aspx?termid=21793")</f>
        <v>https://ceds.ed.gov/cedselementdetails.aspx?termid=21793</v>
      </c>
      <c r="Q540" s="22">
        <v>60237</v>
      </c>
    </row>
    <row r="541" spans="1:17" ht="409.6" x14ac:dyDescent="0.3">
      <c r="A541" s="22" t="s">
        <v>7709</v>
      </c>
      <c r="B541" s="22" t="s">
        <v>9196</v>
      </c>
      <c r="C541" s="22" t="s">
        <v>7769</v>
      </c>
      <c r="D541" s="22" t="s">
        <v>7710</v>
      </c>
      <c r="E541" s="22" t="s">
        <v>4332</v>
      </c>
      <c r="F541" s="24" t="s">
        <v>4333</v>
      </c>
      <c r="G541" s="26" t="s">
        <v>8734</v>
      </c>
      <c r="H541" s="24" t="s">
        <v>4336</v>
      </c>
      <c r="I541" s="22"/>
      <c r="J541" s="22"/>
      <c r="K541" s="24"/>
      <c r="L541" s="24"/>
      <c r="M541" s="25" t="s">
        <v>4334</v>
      </c>
      <c r="N541" s="22"/>
      <c r="O541" s="22" t="s">
        <v>4335</v>
      </c>
      <c r="P541" s="22" t="str">
        <f>HYPERLINK("https://ceds.ed.gov/cedselementdetails.aspx?termid=21141")</f>
        <v>https://ceds.ed.gov/cedselementdetails.aspx?termid=21141</v>
      </c>
      <c r="Q541" s="22">
        <v>60238</v>
      </c>
    </row>
    <row r="542" spans="1:17" ht="86.4" x14ac:dyDescent="0.3">
      <c r="A542" s="22" t="s">
        <v>7709</v>
      </c>
      <c r="B542" s="22" t="s">
        <v>9196</v>
      </c>
      <c r="C542" s="22" t="s">
        <v>7769</v>
      </c>
      <c r="D542" s="22" t="s">
        <v>7710</v>
      </c>
      <c r="E542" s="22" t="s">
        <v>8312</v>
      </c>
      <c r="F542" s="24" t="s">
        <v>8313</v>
      </c>
      <c r="G542" s="23" t="s">
        <v>32</v>
      </c>
      <c r="H542" s="22"/>
      <c r="I542" s="22" t="s">
        <v>172</v>
      </c>
      <c r="J542" s="22" t="s">
        <v>85</v>
      </c>
      <c r="K542" s="24" t="s">
        <v>8314</v>
      </c>
      <c r="L542" s="24" t="s">
        <v>6772</v>
      </c>
      <c r="M542" s="25" t="s">
        <v>6773</v>
      </c>
      <c r="N542" s="22"/>
      <c r="O542" s="22" t="s">
        <v>8315</v>
      </c>
      <c r="P542" s="22" t="str">
        <f>HYPERLINK("https://ceds.ed.gov/cedselementdetails.aspx?termid=22459")</f>
        <v>https://ceds.ed.gov/cedselementdetails.aspx?termid=22459</v>
      </c>
      <c r="Q542" s="22">
        <v>61420</v>
      </c>
    </row>
    <row r="543" spans="1:17" ht="100.8" x14ac:dyDescent="0.3">
      <c r="A543" s="22" t="s">
        <v>7709</v>
      </c>
      <c r="B543" s="22" t="s">
        <v>9196</v>
      </c>
      <c r="C543" s="22" t="s">
        <v>7769</v>
      </c>
      <c r="D543" s="22" t="s">
        <v>7710</v>
      </c>
      <c r="E543" s="22" t="s">
        <v>4328</v>
      </c>
      <c r="F543" s="24" t="s">
        <v>4329</v>
      </c>
      <c r="G543" s="26" t="s">
        <v>8921</v>
      </c>
      <c r="H543" s="22" t="s">
        <v>207</v>
      </c>
      <c r="I543" s="22"/>
      <c r="J543" s="22"/>
      <c r="K543" s="24"/>
      <c r="L543" s="24"/>
      <c r="M543" s="25" t="s">
        <v>4330</v>
      </c>
      <c r="N543" s="22"/>
      <c r="O543" s="22" t="s">
        <v>4331</v>
      </c>
      <c r="P543" s="22" t="str">
        <f>HYPERLINK("https://ceds.ed.gov/cedselementdetails.aspx?termid=21817")</f>
        <v>https://ceds.ed.gov/cedselementdetails.aspx?termid=21817</v>
      </c>
      <c r="Q543" s="22">
        <v>60265</v>
      </c>
    </row>
    <row r="544" spans="1:17" ht="86.4" x14ac:dyDescent="0.3">
      <c r="A544" s="22" t="s">
        <v>7709</v>
      </c>
      <c r="B544" s="22" t="s">
        <v>9196</v>
      </c>
      <c r="C544" s="22" t="s">
        <v>7769</v>
      </c>
      <c r="D544" s="22" t="s">
        <v>7710</v>
      </c>
      <c r="E544" s="22" t="s">
        <v>3453</v>
      </c>
      <c r="F544" s="24" t="s">
        <v>3454</v>
      </c>
      <c r="G544" s="26" t="s">
        <v>8839</v>
      </c>
      <c r="H544" s="22"/>
      <c r="I544" s="22"/>
      <c r="J544" s="22"/>
      <c r="K544" s="24"/>
      <c r="L544" s="24"/>
      <c r="M544" s="25" t="s">
        <v>3455</v>
      </c>
      <c r="N544" s="22"/>
      <c r="O544" s="22" t="s">
        <v>3456</v>
      </c>
      <c r="P544" s="22" t="str">
        <f>HYPERLINK("https://ceds.ed.gov/cedselementdetails.aspx?termid=22586")</f>
        <v>https://ceds.ed.gov/cedselementdetails.aspx?termid=22586</v>
      </c>
      <c r="Q544" s="22">
        <v>62077</v>
      </c>
    </row>
    <row r="545" spans="1:17" ht="172.8" x14ac:dyDescent="0.3">
      <c r="A545" s="22" t="s">
        <v>7709</v>
      </c>
      <c r="B545" s="22" t="s">
        <v>9196</v>
      </c>
      <c r="C545" s="22" t="s">
        <v>7772</v>
      </c>
      <c r="D545" s="22" t="s">
        <v>7710</v>
      </c>
      <c r="E545" s="22" t="s">
        <v>3560</v>
      </c>
      <c r="F545" s="24" t="s">
        <v>294</v>
      </c>
      <c r="G545" s="26" t="s">
        <v>8850</v>
      </c>
      <c r="H545" s="24" t="s">
        <v>3077</v>
      </c>
      <c r="I545" s="22"/>
      <c r="J545" s="22"/>
      <c r="K545" s="24"/>
      <c r="L545" s="24"/>
      <c r="M545" s="25" t="s">
        <v>3561</v>
      </c>
      <c r="N545" s="22"/>
      <c r="O545" s="22" t="s">
        <v>3562</v>
      </c>
      <c r="P545" s="22" t="str">
        <f>HYPERLINK("https://ceds.ed.gov/cedselementdetails.aspx?termid=21346")</f>
        <v>https://ceds.ed.gov/cedselementdetails.aspx?termid=21346</v>
      </c>
      <c r="Q545" s="22">
        <v>58702</v>
      </c>
    </row>
    <row r="546" spans="1:17" ht="158.4" x14ac:dyDescent="0.3">
      <c r="A546" s="22" t="s">
        <v>7709</v>
      </c>
      <c r="B546" s="22" t="s">
        <v>9196</v>
      </c>
      <c r="C546" s="22" t="s">
        <v>7772</v>
      </c>
      <c r="D546" s="22" t="s">
        <v>7710</v>
      </c>
      <c r="E546" s="22" t="s">
        <v>4342</v>
      </c>
      <c r="F546" s="24" t="s">
        <v>4343</v>
      </c>
      <c r="G546" s="23" t="s">
        <v>32</v>
      </c>
      <c r="H546" s="24" t="s">
        <v>4346</v>
      </c>
      <c r="I546" s="22"/>
      <c r="J546" s="22" t="s">
        <v>118</v>
      </c>
      <c r="K546" s="24"/>
      <c r="L546" s="24" t="s">
        <v>8212</v>
      </c>
      <c r="M546" s="25" t="s">
        <v>4344</v>
      </c>
      <c r="N546" s="22"/>
      <c r="O546" s="22" t="s">
        <v>4345</v>
      </c>
      <c r="P546" s="22" t="str">
        <f>HYPERLINK("https://ceds.ed.gov/cedselementdetails.aspx?termid=21143")</f>
        <v>https://ceds.ed.gov/cedselementdetails.aspx?termid=21143</v>
      </c>
      <c r="Q546" s="22">
        <v>58684</v>
      </c>
    </row>
    <row r="547" spans="1:17" ht="57.6" x14ac:dyDescent="0.3">
      <c r="A547" s="22" t="s">
        <v>7709</v>
      </c>
      <c r="B547" s="22" t="s">
        <v>9196</v>
      </c>
      <c r="C547" s="22" t="s">
        <v>7772</v>
      </c>
      <c r="D547" s="22" t="s">
        <v>7710</v>
      </c>
      <c r="E547" s="22" t="s">
        <v>3555</v>
      </c>
      <c r="F547" s="24" t="s">
        <v>3556</v>
      </c>
      <c r="G547" s="23" t="s">
        <v>32</v>
      </c>
      <c r="H547" s="24" t="s">
        <v>3559</v>
      </c>
      <c r="I547" s="22"/>
      <c r="J547" s="22" t="s">
        <v>118</v>
      </c>
      <c r="K547" s="24"/>
      <c r="L547" s="24"/>
      <c r="M547" s="25" t="s">
        <v>3557</v>
      </c>
      <c r="N547" s="22"/>
      <c r="O547" s="22" t="s">
        <v>3558</v>
      </c>
      <c r="P547" s="22" t="str">
        <f>HYPERLINK("https://ceds.ed.gov/cedselementdetails.aspx?termid=21345")</f>
        <v>https://ceds.ed.gov/cedselementdetails.aspx?termid=21345</v>
      </c>
      <c r="Q547" s="22">
        <v>58701</v>
      </c>
    </row>
    <row r="548" spans="1:17" ht="57.6" x14ac:dyDescent="0.3">
      <c r="A548" s="22" t="s">
        <v>7709</v>
      </c>
      <c r="B548" s="22" t="s">
        <v>9196</v>
      </c>
      <c r="C548" s="22" t="s">
        <v>7772</v>
      </c>
      <c r="D548" s="22" t="s">
        <v>7710</v>
      </c>
      <c r="E548" s="22" t="s">
        <v>3519</v>
      </c>
      <c r="F548" s="24" t="s">
        <v>3520</v>
      </c>
      <c r="G548" s="23" t="s">
        <v>32</v>
      </c>
      <c r="H548" s="22" t="s">
        <v>207</v>
      </c>
      <c r="I548" s="22"/>
      <c r="J548" s="22" t="s">
        <v>118</v>
      </c>
      <c r="K548" s="24"/>
      <c r="L548" s="24" t="s">
        <v>143</v>
      </c>
      <c r="M548" s="25" t="s">
        <v>3521</v>
      </c>
      <c r="N548" s="22"/>
      <c r="O548" s="22" t="s">
        <v>3522</v>
      </c>
      <c r="P548" s="22" t="str">
        <f>HYPERLINK("https://ceds.ed.gov/cedselementdetails.aspx?termid=21794")</f>
        <v>https://ceds.ed.gov/cedselementdetails.aspx?termid=21794</v>
      </c>
      <c r="Q548" s="22">
        <v>60240</v>
      </c>
    </row>
    <row r="549" spans="1:17" ht="345.6" x14ac:dyDescent="0.3">
      <c r="A549" s="22" t="s">
        <v>7709</v>
      </c>
      <c r="B549" s="22" t="s">
        <v>9196</v>
      </c>
      <c r="C549" s="22" t="s">
        <v>7772</v>
      </c>
      <c r="D549" s="22" t="s">
        <v>7710</v>
      </c>
      <c r="E549" s="22" t="s">
        <v>3320</v>
      </c>
      <c r="F549" s="24" t="s">
        <v>3321</v>
      </c>
      <c r="G549" s="26" t="s">
        <v>8817</v>
      </c>
      <c r="H549" s="22"/>
      <c r="I549" s="22"/>
      <c r="J549" s="22"/>
      <c r="K549" s="24"/>
      <c r="L549" s="24"/>
      <c r="M549" s="25" t="s">
        <v>3322</v>
      </c>
      <c r="N549" s="22"/>
      <c r="O549" s="22" t="s">
        <v>3323</v>
      </c>
      <c r="P549" s="22" t="str">
        <f>HYPERLINK("https://ceds.ed.gov/cedselementdetails.aspx?termid=22613")</f>
        <v>https://ceds.ed.gov/cedselementdetails.aspx?termid=22613</v>
      </c>
      <c r="Q549" s="22">
        <v>62121</v>
      </c>
    </row>
    <row r="550" spans="1:17" ht="409.6" x14ac:dyDescent="0.3">
      <c r="A550" s="22" t="s">
        <v>7709</v>
      </c>
      <c r="B550" s="22" t="s">
        <v>9196</v>
      </c>
      <c r="C550" s="22" t="s">
        <v>7772</v>
      </c>
      <c r="D550" s="22" t="s">
        <v>7710</v>
      </c>
      <c r="E550" s="22" t="s">
        <v>3548</v>
      </c>
      <c r="F550" s="24" t="s">
        <v>3321</v>
      </c>
      <c r="G550" s="26" t="s">
        <v>8846</v>
      </c>
      <c r="H550" s="22"/>
      <c r="I550" s="22"/>
      <c r="J550" s="22"/>
      <c r="K550" s="24"/>
      <c r="L550" s="24"/>
      <c r="M550" s="25" t="s">
        <v>3549</v>
      </c>
      <c r="N550" s="22"/>
      <c r="O550" s="22" t="s">
        <v>3550</v>
      </c>
      <c r="P550" s="22" t="str">
        <f>HYPERLINK("https://ceds.ed.gov/cedselementdetails.aspx?termid=21613")</f>
        <v>https://ceds.ed.gov/cedselementdetails.aspx?termid=21613</v>
      </c>
      <c r="Q550" s="22">
        <v>62134</v>
      </c>
    </row>
    <row r="551" spans="1:17" ht="72" x14ac:dyDescent="0.3">
      <c r="A551" s="22" t="s">
        <v>7709</v>
      </c>
      <c r="B551" s="22" t="s">
        <v>9196</v>
      </c>
      <c r="C551" s="22" t="s">
        <v>7772</v>
      </c>
      <c r="D551" s="22" t="s">
        <v>7710</v>
      </c>
      <c r="E551" s="22" t="s">
        <v>3551</v>
      </c>
      <c r="F551" s="24" t="s">
        <v>3552</v>
      </c>
      <c r="G551" s="26" t="s">
        <v>8848</v>
      </c>
      <c r="H551" s="22"/>
      <c r="I551" s="22"/>
      <c r="J551" s="22"/>
      <c r="K551" s="24"/>
      <c r="L551" s="24"/>
      <c r="M551" s="25" t="s">
        <v>3553</v>
      </c>
      <c r="N551" s="22"/>
      <c r="O551" s="22" t="s">
        <v>3554</v>
      </c>
      <c r="P551" s="22" t="str">
        <f>HYPERLINK("https://ceds.ed.gov/cedselementdetails.aspx?termid=21614")</f>
        <v>https://ceds.ed.gov/cedselementdetails.aspx?termid=21614</v>
      </c>
      <c r="Q551" s="22">
        <v>62120</v>
      </c>
    </row>
    <row r="552" spans="1:17" x14ac:dyDescent="0.3">
      <c r="A552" s="22" t="s">
        <v>7709</v>
      </c>
      <c r="B552" s="22" t="s">
        <v>9196</v>
      </c>
      <c r="C552" s="22" t="s">
        <v>7772</v>
      </c>
      <c r="D552" s="22" t="s">
        <v>7710</v>
      </c>
      <c r="E552" s="22" t="s">
        <v>7374</v>
      </c>
      <c r="F552" s="24" t="s">
        <v>7375</v>
      </c>
      <c r="G552" s="23" t="s">
        <v>32</v>
      </c>
      <c r="H552" s="22"/>
      <c r="I552" s="22"/>
      <c r="J552" s="22" t="s">
        <v>1699</v>
      </c>
      <c r="K552" s="24"/>
      <c r="L552" s="24"/>
      <c r="M552" s="25" t="s">
        <v>7376</v>
      </c>
      <c r="N552" s="22"/>
      <c r="O552" s="22" t="s">
        <v>7377</v>
      </c>
      <c r="P552" s="22" t="str">
        <f>HYPERLINK("https://ceds.ed.gov/cedselementdetails.aspx?termid=22470")</f>
        <v>https://ceds.ed.gov/cedselementdetails.aspx?termid=22470</v>
      </c>
      <c r="Q552" s="22">
        <v>61452</v>
      </c>
    </row>
    <row r="553" spans="1:17" ht="28.8" x14ac:dyDescent="0.3">
      <c r="A553" s="22" t="s">
        <v>7709</v>
      </c>
      <c r="B553" s="22" t="s">
        <v>9196</v>
      </c>
      <c r="C553" s="22" t="s">
        <v>7772</v>
      </c>
      <c r="D553" s="22" t="s">
        <v>7710</v>
      </c>
      <c r="E553" s="22" t="s">
        <v>4380</v>
      </c>
      <c r="F553" s="24" t="s">
        <v>4381</v>
      </c>
      <c r="G553" s="23" t="s">
        <v>32</v>
      </c>
      <c r="H553" s="22" t="s">
        <v>207</v>
      </c>
      <c r="I553" s="22"/>
      <c r="J553" s="22" t="s">
        <v>1518</v>
      </c>
      <c r="K553" s="24"/>
      <c r="L553" s="24"/>
      <c r="M553" s="25" t="s">
        <v>4382</v>
      </c>
      <c r="N553" s="22"/>
      <c r="O553" s="22" t="s">
        <v>4383</v>
      </c>
      <c r="P553" s="22" t="str">
        <f>HYPERLINK("https://ceds.ed.gov/cedselementdetails.aspx?termid=21795")</f>
        <v>https://ceds.ed.gov/cedselementdetails.aspx?termid=21795</v>
      </c>
      <c r="Q553" s="22">
        <v>60241</v>
      </c>
    </row>
    <row r="554" spans="1:17" ht="28.8" x14ac:dyDescent="0.3">
      <c r="A554" s="22" t="s">
        <v>7709</v>
      </c>
      <c r="B554" s="22" t="s">
        <v>9196</v>
      </c>
      <c r="C554" s="22" t="s">
        <v>7772</v>
      </c>
      <c r="D554" s="22" t="s">
        <v>7710</v>
      </c>
      <c r="E554" s="22" t="s">
        <v>4372</v>
      </c>
      <c r="F554" s="24" t="s">
        <v>4373</v>
      </c>
      <c r="G554" s="23" t="s">
        <v>32</v>
      </c>
      <c r="H554" s="22" t="s">
        <v>207</v>
      </c>
      <c r="I554" s="22"/>
      <c r="J554" s="22" t="s">
        <v>1518</v>
      </c>
      <c r="K554" s="24"/>
      <c r="L554" s="24"/>
      <c r="M554" s="25" t="s">
        <v>4374</v>
      </c>
      <c r="N554" s="22"/>
      <c r="O554" s="22" t="s">
        <v>4375</v>
      </c>
      <c r="P554" s="22" t="str">
        <f>HYPERLINK("https://ceds.ed.gov/cedselementdetails.aspx?termid=21796")</f>
        <v>https://ceds.ed.gov/cedselementdetails.aspx?termid=21796</v>
      </c>
      <c r="Q554" s="22">
        <v>60242</v>
      </c>
    </row>
    <row r="555" spans="1:17" ht="86.4" x14ac:dyDescent="0.3">
      <c r="A555" s="22" t="s">
        <v>7709</v>
      </c>
      <c r="B555" s="22" t="s">
        <v>9196</v>
      </c>
      <c r="C555" s="22" t="s">
        <v>7772</v>
      </c>
      <c r="D555" s="22" t="s">
        <v>7710</v>
      </c>
      <c r="E555" s="22" t="s">
        <v>7353</v>
      </c>
      <c r="F555" s="24" t="s">
        <v>7354</v>
      </c>
      <c r="G555" s="26" t="s">
        <v>9186</v>
      </c>
      <c r="H555" s="22" t="s">
        <v>207</v>
      </c>
      <c r="I555" s="22"/>
      <c r="J555" s="22"/>
      <c r="K555" s="24"/>
      <c r="L555" s="24"/>
      <c r="M555" s="25" t="s">
        <v>7355</v>
      </c>
      <c r="N555" s="22"/>
      <c r="O555" s="22" t="s">
        <v>7356</v>
      </c>
      <c r="P555" s="22" t="str">
        <f>HYPERLINK("https://ceds.ed.gov/cedselementdetails.aspx?termid=21797")</f>
        <v>https://ceds.ed.gov/cedselementdetails.aspx?termid=21797</v>
      </c>
      <c r="Q555" s="22">
        <v>60266</v>
      </c>
    </row>
    <row r="556" spans="1:17" ht="57.6" x14ac:dyDescent="0.3">
      <c r="A556" s="22" t="s">
        <v>7709</v>
      </c>
      <c r="B556" s="22" t="s">
        <v>9196</v>
      </c>
      <c r="C556" s="22" t="s">
        <v>7772</v>
      </c>
      <c r="D556" s="22" t="s">
        <v>7710</v>
      </c>
      <c r="E556" s="22" t="s">
        <v>7357</v>
      </c>
      <c r="F556" s="24" t="s">
        <v>7358</v>
      </c>
      <c r="G556" s="26" t="s">
        <v>9187</v>
      </c>
      <c r="H556" s="22" t="s">
        <v>207</v>
      </c>
      <c r="I556" s="22"/>
      <c r="J556" s="22"/>
      <c r="K556" s="24"/>
      <c r="L556" s="24"/>
      <c r="M556" s="25" t="s">
        <v>7359</v>
      </c>
      <c r="N556" s="22"/>
      <c r="O556" s="22" t="s">
        <v>7360</v>
      </c>
      <c r="P556" s="22" t="str">
        <f>HYPERLINK("https://ceds.ed.gov/cedselementdetails.aspx?termid=21818")</f>
        <v>https://ceds.ed.gov/cedselementdetails.aspx?termid=21818</v>
      </c>
      <c r="Q556" s="22">
        <v>60267</v>
      </c>
    </row>
    <row r="557" spans="1:17" ht="201.6" x14ac:dyDescent="0.3">
      <c r="A557" s="22" t="s">
        <v>7709</v>
      </c>
      <c r="B557" s="22" t="s">
        <v>9196</v>
      </c>
      <c r="C557" s="22" t="s">
        <v>7772</v>
      </c>
      <c r="D557" s="22" t="s">
        <v>7710</v>
      </c>
      <c r="E557" s="22" t="s">
        <v>6855</v>
      </c>
      <c r="F557" s="24" t="s">
        <v>6856</v>
      </c>
      <c r="G557" s="23" t="s">
        <v>32</v>
      </c>
      <c r="H557" s="22" t="s">
        <v>2493</v>
      </c>
      <c r="I557" s="22"/>
      <c r="J557" s="22" t="s">
        <v>1518</v>
      </c>
      <c r="K557" s="24"/>
      <c r="L557" s="24" t="s">
        <v>8323</v>
      </c>
      <c r="M557" s="25" t="s">
        <v>6857</v>
      </c>
      <c r="N557" s="22"/>
      <c r="O557" s="22" t="s">
        <v>6858</v>
      </c>
      <c r="P557" s="22" t="str">
        <f>HYPERLINK("https://ceds.ed.gov/cedselementdetails.aspx?termid=21032")</f>
        <v>https://ceds.ed.gov/cedselementdetails.aspx?termid=21032</v>
      </c>
      <c r="Q557" s="22">
        <v>61428</v>
      </c>
    </row>
    <row r="558" spans="1:17" ht="57.6" x14ac:dyDescent="0.3">
      <c r="A558" s="22" t="s">
        <v>7709</v>
      </c>
      <c r="B558" s="22" t="s">
        <v>9196</v>
      </c>
      <c r="C558" s="22" t="s">
        <v>7772</v>
      </c>
      <c r="D558" s="22" t="s">
        <v>7710</v>
      </c>
      <c r="E558" s="22" t="s">
        <v>6875</v>
      </c>
      <c r="F558" s="24" t="s">
        <v>8324</v>
      </c>
      <c r="G558" s="23" t="s">
        <v>32</v>
      </c>
      <c r="H558" s="22" t="s">
        <v>2493</v>
      </c>
      <c r="I558" s="22"/>
      <c r="J558" s="22" t="s">
        <v>1518</v>
      </c>
      <c r="K558" s="24"/>
      <c r="L558" s="24"/>
      <c r="M558" s="25" t="s">
        <v>6876</v>
      </c>
      <c r="N558" s="22"/>
      <c r="O558" s="22" t="s">
        <v>6877</v>
      </c>
      <c r="P558" s="22" t="str">
        <f>HYPERLINK("https://ceds.ed.gov/cedselementdetails.aspx?termid=21295")</f>
        <v>https://ceds.ed.gov/cedselementdetails.aspx?termid=21295</v>
      </c>
      <c r="Q558" s="22">
        <v>61998</v>
      </c>
    </row>
    <row r="559" spans="1:17" ht="115.2" x14ac:dyDescent="0.3">
      <c r="A559" s="22" t="s">
        <v>7709</v>
      </c>
      <c r="B559" s="22" t="s">
        <v>9196</v>
      </c>
      <c r="C559" s="22" t="s">
        <v>7772</v>
      </c>
      <c r="D559" s="22" t="s">
        <v>7710</v>
      </c>
      <c r="E559" s="22" t="s">
        <v>6859</v>
      </c>
      <c r="F559" s="24" t="s">
        <v>6860</v>
      </c>
      <c r="G559" s="23" t="s">
        <v>32</v>
      </c>
      <c r="H559" s="22" t="s">
        <v>2493</v>
      </c>
      <c r="I559" s="22"/>
      <c r="J559" s="22" t="s">
        <v>1518</v>
      </c>
      <c r="K559" s="24"/>
      <c r="L559" s="24"/>
      <c r="M559" s="25" t="s">
        <v>6861</v>
      </c>
      <c r="N559" s="22"/>
      <c r="O559" s="22" t="s">
        <v>6862</v>
      </c>
      <c r="P559" s="22" t="str">
        <f>HYPERLINK("https://ceds.ed.gov/cedselementdetails.aspx?termid=21136")</f>
        <v>https://ceds.ed.gov/cedselementdetails.aspx?termid=21136</v>
      </c>
      <c r="Q559" s="22">
        <v>61973</v>
      </c>
    </row>
    <row r="560" spans="1:17" ht="115.2" x14ac:dyDescent="0.3">
      <c r="A560" s="22" t="s">
        <v>7709</v>
      </c>
      <c r="B560" s="22" t="s">
        <v>9196</v>
      </c>
      <c r="C560" s="22" t="s">
        <v>7772</v>
      </c>
      <c r="D560" s="22" t="s">
        <v>7710</v>
      </c>
      <c r="E560" s="22" t="s">
        <v>6867</v>
      </c>
      <c r="F560" s="24" t="s">
        <v>6868</v>
      </c>
      <c r="G560" s="23" t="s">
        <v>32</v>
      </c>
      <c r="H560" s="22" t="s">
        <v>2493</v>
      </c>
      <c r="I560" s="22"/>
      <c r="J560" s="22" t="s">
        <v>1518</v>
      </c>
      <c r="K560" s="24"/>
      <c r="L560" s="24"/>
      <c r="M560" s="25" t="s">
        <v>6869</v>
      </c>
      <c r="N560" s="22"/>
      <c r="O560" s="22" t="s">
        <v>6870</v>
      </c>
      <c r="P560" s="22" t="str">
        <f>HYPERLINK("https://ceds.ed.gov/cedselementdetails.aspx?termid=21233")</f>
        <v>https://ceds.ed.gov/cedselementdetails.aspx?termid=21233</v>
      </c>
      <c r="Q560" s="22">
        <v>61991</v>
      </c>
    </row>
    <row r="561" spans="1:17" ht="129.6" x14ac:dyDescent="0.3">
      <c r="A561" s="22" t="s">
        <v>7709</v>
      </c>
      <c r="B561" s="22" t="s">
        <v>9196</v>
      </c>
      <c r="C561" s="22" t="s">
        <v>7772</v>
      </c>
      <c r="D561" s="22" t="s">
        <v>7710</v>
      </c>
      <c r="E561" s="22" t="s">
        <v>6863</v>
      </c>
      <c r="F561" s="24" t="s">
        <v>6864</v>
      </c>
      <c r="G561" s="23" t="s">
        <v>32</v>
      </c>
      <c r="H561" s="22" t="s">
        <v>2493</v>
      </c>
      <c r="I561" s="22"/>
      <c r="J561" s="22" t="s">
        <v>1518</v>
      </c>
      <c r="K561" s="24"/>
      <c r="L561" s="24"/>
      <c r="M561" s="25" t="s">
        <v>6865</v>
      </c>
      <c r="N561" s="22"/>
      <c r="O561" s="22" t="s">
        <v>6866</v>
      </c>
      <c r="P561" s="22" t="str">
        <f>HYPERLINK("https://ceds.ed.gov/cedselementdetails.aspx?termid=21205")</f>
        <v>https://ceds.ed.gov/cedselementdetails.aspx?termid=21205</v>
      </c>
      <c r="Q561" s="22">
        <v>61985</v>
      </c>
    </row>
    <row r="562" spans="1:17" ht="144" x14ac:dyDescent="0.3">
      <c r="A562" s="22" t="s">
        <v>7709</v>
      </c>
      <c r="B562" s="22" t="s">
        <v>9196</v>
      </c>
      <c r="C562" s="22" t="s">
        <v>7772</v>
      </c>
      <c r="D562" s="22" t="s">
        <v>7710</v>
      </c>
      <c r="E562" s="22" t="s">
        <v>6871</v>
      </c>
      <c r="F562" s="24" t="s">
        <v>6872</v>
      </c>
      <c r="G562" s="23" t="s">
        <v>32</v>
      </c>
      <c r="H562" s="22" t="s">
        <v>2493</v>
      </c>
      <c r="I562" s="22"/>
      <c r="J562" s="22" t="s">
        <v>1518</v>
      </c>
      <c r="K562" s="24"/>
      <c r="L562" s="24"/>
      <c r="M562" s="25" t="s">
        <v>6873</v>
      </c>
      <c r="N562" s="22"/>
      <c r="O562" s="22" t="s">
        <v>6874</v>
      </c>
      <c r="P562" s="22" t="str">
        <f>HYPERLINK("https://ceds.ed.gov/cedselementdetails.aspx?termid=21293")</f>
        <v>https://ceds.ed.gov/cedselementdetails.aspx?termid=21293</v>
      </c>
      <c r="Q562" s="22">
        <v>61997</v>
      </c>
    </row>
    <row r="563" spans="1:17" ht="43.2" x14ac:dyDescent="0.3">
      <c r="A563" s="22" t="s">
        <v>7709</v>
      </c>
      <c r="B563" s="22" t="s">
        <v>9196</v>
      </c>
      <c r="C563" s="22" t="s">
        <v>7772</v>
      </c>
      <c r="D563" s="22" t="s">
        <v>7710</v>
      </c>
      <c r="E563" s="22" t="s">
        <v>5695</v>
      </c>
      <c r="F563" s="24" t="s">
        <v>5696</v>
      </c>
      <c r="G563" s="23" t="s">
        <v>32</v>
      </c>
      <c r="H563" s="22" t="s">
        <v>207</v>
      </c>
      <c r="I563" s="22" t="s">
        <v>172</v>
      </c>
      <c r="J563" s="22" t="s">
        <v>157</v>
      </c>
      <c r="K563" s="24" t="s">
        <v>7946</v>
      </c>
      <c r="L563" s="24"/>
      <c r="M563" s="25" t="s">
        <v>5697</v>
      </c>
      <c r="N563" s="22"/>
      <c r="O563" s="22" t="s">
        <v>5698</v>
      </c>
      <c r="P563" s="22" t="str">
        <f>HYPERLINK("https://ceds.ed.gov/cedselementdetails.aspx?termid=21204")</f>
        <v>https://ceds.ed.gov/cedselementdetails.aspx?termid=21204</v>
      </c>
      <c r="Q563" s="22">
        <v>60243</v>
      </c>
    </row>
    <row r="564" spans="1:17" ht="43.2" x14ac:dyDescent="0.3">
      <c r="A564" s="22" t="s">
        <v>7709</v>
      </c>
      <c r="B564" s="22" t="s">
        <v>9196</v>
      </c>
      <c r="C564" s="22" t="s">
        <v>7772</v>
      </c>
      <c r="D564" s="22" t="s">
        <v>7710</v>
      </c>
      <c r="E564" s="22" t="s">
        <v>7326</v>
      </c>
      <c r="F564" s="24" t="s">
        <v>7327</v>
      </c>
      <c r="G564" s="26" t="s">
        <v>22</v>
      </c>
      <c r="H564" s="22" t="s">
        <v>207</v>
      </c>
      <c r="I564" s="22"/>
      <c r="J564" s="22"/>
      <c r="K564" s="24"/>
      <c r="L564" s="24"/>
      <c r="M564" s="25" t="s">
        <v>7328</v>
      </c>
      <c r="N564" s="22"/>
      <c r="O564" s="22" t="s">
        <v>7329</v>
      </c>
      <c r="P564" s="22" t="str">
        <f>HYPERLINK("https://ceds.ed.gov/cedselementdetails.aspx?termid=21798")</f>
        <v>https://ceds.ed.gov/cedselementdetails.aspx?termid=21798</v>
      </c>
      <c r="Q564" s="22">
        <v>60244</v>
      </c>
    </row>
    <row r="565" spans="1:17" ht="28.8" x14ac:dyDescent="0.3">
      <c r="A565" s="22" t="s">
        <v>7709</v>
      </c>
      <c r="B565" s="22" t="s">
        <v>9196</v>
      </c>
      <c r="C565" s="22" t="s">
        <v>7772</v>
      </c>
      <c r="D565" s="22" t="s">
        <v>7710</v>
      </c>
      <c r="E565" s="22" t="s">
        <v>7322</v>
      </c>
      <c r="F565" s="24" t="s">
        <v>7323</v>
      </c>
      <c r="G565" s="23" t="s">
        <v>32</v>
      </c>
      <c r="H565" s="22"/>
      <c r="I565" s="22"/>
      <c r="J565" s="22" t="s">
        <v>328</v>
      </c>
      <c r="K565" s="24"/>
      <c r="L565" s="24"/>
      <c r="M565" s="25" t="s">
        <v>7324</v>
      </c>
      <c r="N565" s="22"/>
      <c r="O565" s="22" t="s">
        <v>7325</v>
      </c>
      <c r="P565" s="22" t="str">
        <f>HYPERLINK("https://ceds.ed.gov/cedselementdetails.aspx?termid=22469")</f>
        <v>https://ceds.ed.gov/cedselementdetails.aspx?termid=22469</v>
      </c>
      <c r="Q565" s="22">
        <v>61450</v>
      </c>
    </row>
    <row r="566" spans="1:17" ht="409.6" x14ac:dyDescent="0.3">
      <c r="A566" s="22" t="s">
        <v>7709</v>
      </c>
      <c r="B566" s="22" t="s">
        <v>9196</v>
      </c>
      <c r="C566" s="22" t="s">
        <v>7772</v>
      </c>
      <c r="D566" s="22" t="s">
        <v>7710</v>
      </c>
      <c r="E566" s="22" t="s">
        <v>3316</v>
      </c>
      <c r="F566" s="24" t="s">
        <v>3317</v>
      </c>
      <c r="G566" s="26" t="s">
        <v>8816</v>
      </c>
      <c r="H566" s="22"/>
      <c r="I566" s="22"/>
      <c r="J566" s="22"/>
      <c r="K566" s="24"/>
      <c r="L566" s="24"/>
      <c r="M566" s="25" t="s">
        <v>3318</v>
      </c>
      <c r="N566" s="22"/>
      <c r="O566" s="22" t="s">
        <v>3319</v>
      </c>
      <c r="P566" s="22" t="str">
        <f>HYPERLINK("https://ceds.ed.gov/cedselementdetails.aspx?termid=22581")</f>
        <v>https://ceds.ed.gov/cedselementdetails.aspx?termid=22581</v>
      </c>
      <c r="Q566" s="22">
        <v>62071</v>
      </c>
    </row>
    <row r="567" spans="1:17" ht="409.6" x14ac:dyDescent="0.3">
      <c r="A567" s="22" t="s">
        <v>7709</v>
      </c>
      <c r="B567" s="22" t="s">
        <v>9196</v>
      </c>
      <c r="C567" s="22" t="s">
        <v>7772</v>
      </c>
      <c r="D567" s="22" t="s">
        <v>7710</v>
      </c>
      <c r="E567" s="22" t="s">
        <v>3420</v>
      </c>
      <c r="F567" s="24" t="s">
        <v>3421</v>
      </c>
      <c r="G567" s="26" t="s">
        <v>8828</v>
      </c>
      <c r="H567" s="22"/>
      <c r="I567" s="22"/>
      <c r="J567" s="22"/>
      <c r="K567" s="24"/>
      <c r="L567" s="24"/>
      <c r="M567" s="25" t="s">
        <v>3422</v>
      </c>
      <c r="N567" s="22"/>
      <c r="O567" s="22" t="s">
        <v>3423</v>
      </c>
      <c r="P567" s="22" t="str">
        <f>HYPERLINK("https://ceds.ed.gov/cedselementdetails.aspx?termid=22617")</f>
        <v>https://ceds.ed.gov/cedselementdetails.aspx?termid=22617</v>
      </c>
      <c r="Q567" s="22">
        <v>62142</v>
      </c>
    </row>
    <row r="568" spans="1:17" ht="43.2" x14ac:dyDescent="0.3">
      <c r="A568" s="22" t="s">
        <v>7709</v>
      </c>
      <c r="B568" s="22" t="s">
        <v>9196</v>
      </c>
      <c r="C568" s="22" t="s">
        <v>7772</v>
      </c>
      <c r="D568" s="22" t="s">
        <v>7710</v>
      </c>
      <c r="E568" s="22" t="s">
        <v>4935</v>
      </c>
      <c r="F568" s="24" t="s">
        <v>4936</v>
      </c>
      <c r="G568" s="26" t="s">
        <v>22</v>
      </c>
      <c r="H568" s="22"/>
      <c r="I568" s="22"/>
      <c r="J568" s="22"/>
      <c r="K568" s="24"/>
      <c r="L568" s="24"/>
      <c r="M568" s="25" t="s">
        <v>4937</v>
      </c>
      <c r="N568" s="22"/>
      <c r="O568" s="22" t="s">
        <v>4938</v>
      </c>
      <c r="P568" s="22" t="str">
        <f>HYPERLINK("https://ceds.ed.gov/cedselementdetails.aspx?termid=22353")</f>
        <v>https://ceds.ed.gov/cedselementdetails.aspx?termid=22353</v>
      </c>
      <c r="Q568" s="22">
        <v>61231</v>
      </c>
    </row>
    <row r="569" spans="1:17" ht="43.2" x14ac:dyDescent="0.3">
      <c r="A569" s="22" t="s">
        <v>7709</v>
      </c>
      <c r="B569" s="22" t="s">
        <v>9196</v>
      </c>
      <c r="C569" s="22" t="s">
        <v>7772</v>
      </c>
      <c r="D569" s="22" t="s">
        <v>7710</v>
      </c>
      <c r="E569" s="22" t="s">
        <v>6851</v>
      </c>
      <c r="F569" s="24" t="s">
        <v>6852</v>
      </c>
      <c r="G569" s="26" t="s">
        <v>22</v>
      </c>
      <c r="H569" s="22"/>
      <c r="I569" s="22"/>
      <c r="J569" s="22"/>
      <c r="K569" s="24"/>
      <c r="L569" s="24"/>
      <c r="M569" s="25" t="s">
        <v>6853</v>
      </c>
      <c r="N569" s="22"/>
      <c r="O569" s="22" t="s">
        <v>6854</v>
      </c>
      <c r="P569" s="22" t="str">
        <f>HYPERLINK("https://ceds.ed.gov/cedselementdetails.aspx?termid=22560")</f>
        <v>https://ceds.ed.gov/cedselementdetails.aspx?termid=22560</v>
      </c>
      <c r="Q569" s="22">
        <v>62036</v>
      </c>
    </row>
    <row r="570" spans="1:17" ht="57.6" x14ac:dyDescent="0.3">
      <c r="A570" s="22" t="s">
        <v>7709</v>
      </c>
      <c r="B570" s="22" t="s">
        <v>9196</v>
      </c>
      <c r="C570" s="22" t="s">
        <v>7772</v>
      </c>
      <c r="D570" s="22" t="s">
        <v>7710</v>
      </c>
      <c r="E570" s="22" t="s">
        <v>6900</v>
      </c>
      <c r="F570" s="24" t="s">
        <v>6901</v>
      </c>
      <c r="G570" s="23" t="s">
        <v>32</v>
      </c>
      <c r="H570" s="24" t="s">
        <v>6905</v>
      </c>
      <c r="I570" s="22" t="s">
        <v>172</v>
      </c>
      <c r="J570" s="22" t="s">
        <v>4141</v>
      </c>
      <c r="K570" s="24" t="s">
        <v>7946</v>
      </c>
      <c r="L570" s="24"/>
      <c r="M570" s="25" t="s">
        <v>6902</v>
      </c>
      <c r="N570" s="22" t="s">
        <v>6903</v>
      </c>
      <c r="O570" s="22" t="s">
        <v>6904</v>
      </c>
      <c r="P570" s="22" t="str">
        <f>HYPERLINK("https://ceds.ed.gov/cedselementdetails.aspx?termid=21118")</f>
        <v>https://ceds.ed.gov/cedselementdetails.aspx?termid=21118</v>
      </c>
      <c r="Q570" s="22">
        <v>61429</v>
      </c>
    </row>
    <row r="571" spans="1:17" ht="115.2" x14ac:dyDescent="0.3">
      <c r="A571" s="22" t="s">
        <v>7709</v>
      </c>
      <c r="B571" s="22" t="s">
        <v>9196</v>
      </c>
      <c r="C571" s="22" t="s">
        <v>7772</v>
      </c>
      <c r="D571" s="22" t="s">
        <v>7710</v>
      </c>
      <c r="E571" s="22" t="s">
        <v>6924</v>
      </c>
      <c r="F571" s="24" t="s">
        <v>8326</v>
      </c>
      <c r="G571" s="23" t="s">
        <v>32</v>
      </c>
      <c r="H571" s="22" t="s">
        <v>69</v>
      </c>
      <c r="I571" s="22"/>
      <c r="J571" s="22" t="s">
        <v>6925</v>
      </c>
      <c r="K571" s="24"/>
      <c r="L571" s="24"/>
      <c r="M571" s="25" t="s">
        <v>6926</v>
      </c>
      <c r="N571" s="22"/>
      <c r="O571" s="22" t="s">
        <v>6927</v>
      </c>
      <c r="P571" s="22" t="str">
        <f>HYPERLINK("https://ceds.ed.gov/cedselementdetails.aspx?termid=21707")</f>
        <v>https://ceds.ed.gov/cedselementdetails.aspx?termid=21707</v>
      </c>
      <c r="Q571" s="22">
        <v>63288</v>
      </c>
    </row>
    <row r="572" spans="1:17" ht="216" x14ac:dyDescent="0.3">
      <c r="A572" s="22" t="s">
        <v>7709</v>
      </c>
      <c r="B572" s="22" t="s">
        <v>9196</v>
      </c>
      <c r="C572" s="22" t="s">
        <v>7772</v>
      </c>
      <c r="D572" s="22" t="s">
        <v>7710</v>
      </c>
      <c r="E572" s="22" t="s">
        <v>7656</v>
      </c>
      <c r="F572" s="24" t="s">
        <v>7657</v>
      </c>
      <c r="G572" s="26" t="s">
        <v>8514</v>
      </c>
      <c r="H572" s="22"/>
      <c r="I572" s="22" t="s">
        <v>172</v>
      </c>
      <c r="J572" s="22"/>
      <c r="K572" s="24" t="s">
        <v>7995</v>
      </c>
      <c r="L572" s="24"/>
      <c r="M572" s="25" t="s">
        <v>7658</v>
      </c>
      <c r="N572" s="22"/>
      <c r="O572" s="22" t="s">
        <v>7656</v>
      </c>
      <c r="P572" s="22" t="str">
        <f>HYPERLINK("https://ceds.ed.gov/cedselementdetails.aspx?termid=22959")</f>
        <v>https://ceds.ed.gov/cedselementdetails.aspx?termid=22959</v>
      </c>
      <c r="Q572" s="22">
        <v>63513</v>
      </c>
    </row>
    <row r="573" spans="1:17" ht="28.8" x14ac:dyDescent="0.3">
      <c r="A573" s="22" t="s">
        <v>7709</v>
      </c>
      <c r="B573" s="22" t="s">
        <v>9196</v>
      </c>
      <c r="C573" s="22" t="s">
        <v>7772</v>
      </c>
      <c r="D573" s="22" t="s">
        <v>7710</v>
      </c>
      <c r="E573" s="22" t="s">
        <v>7667</v>
      </c>
      <c r="F573" s="24" t="s">
        <v>7668</v>
      </c>
      <c r="G573" s="23" t="s">
        <v>32</v>
      </c>
      <c r="H573" s="22"/>
      <c r="I573" s="22"/>
      <c r="J573" s="22" t="s">
        <v>1518</v>
      </c>
      <c r="K573" s="24"/>
      <c r="L573" s="24"/>
      <c r="M573" s="25" t="s">
        <v>7669</v>
      </c>
      <c r="N573" s="22"/>
      <c r="O573" s="22" t="s">
        <v>7670</v>
      </c>
      <c r="P573" s="22" t="str">
        <f>HYPERLINK("https://ceds.ed.gov/cedselementdetails.aspx?termid=22962")</f>
        <v>https://ceds.ed.gov/cedselementdetails.aspx?termid=22962</v>
      </c>
      <c r="Q573" s="22">
        <v>63514</v>
      </c>
    </row>
    <row r="574" spans="1:17" ht="28.8" x14ac:dyDescent="0.3">
      <c r="A574" s="22" t="s">
        <v>7709</v>
      </c>
      <c r="B574" s="22" t="s">
        <v>9196</v>
      </c>
      <c r="C574" s="22" t="s">
        <v>7772</v>
      </c>
      <c r="D574" s="22" t="s">
        <v>7710</v>
      </c>
      <c r="E574" s="22" t="s">
        <v>7671</v>
      </c>
      <c r="F574" s="24" t="s">
        <v>7672</v>
      </c>
      <c r="G574" s="23" t="s">
        <v>32</v>
      </c>
      <c r="H574" s="22"/>
      <c r="I574" s="22"/>
      <c r="J574" s="22" t="s">
        <v>1518</v>
      </c>
      <c r="K574" s="24"/>
      <c r="L574" s="24"/>
      <c r="M574" s="25" t="s">
        <v>7673</v>
      </c>
      <c r="N574" s="22"/>
      <c r="O574" s="22" t="s">
        <v>7674</v>
      </c>
      <c r="P574" s="22" t="str">
        <f>HYPERLINK("https://ceds.ed.gov/cedselementdetails.aspx?termid=22963")</f>
        <v>https://ceds.ed.gov/cedselementdetails.aspx?termid=22963</v>
      </c>
      <c r="Q574" s="22">
        <v>63515</v>
      </c>
    </row>
    <row r="575" spans="1:17" ht="57.6" x14ac:dyDescent="0.3">
      <c r="A575" s="22" t="s">
        <v>7709</v>
      </c>
      <c r="B575" s="22" t="s">
        <v>9196</v>
      </c>
      <c r="C575" s="22" t="s">
        <v>7772</v>
      </c>
      <c r="D575" s="22" t="s">
        <v>7710</v>
      </c>
      <c r="E575" s="22" t="s">
        <v>7675</v>
      </c>
      <c r="F575" s="24" t="s">
        <v>7676</v>
      </c>
      <c r="G575" s="26" t="s">
        <v>9149</v>
      </c>
      <c r="H575" s="22"/>
      <c r="I575" s="22"/>
      <c r="J575" s="22"/>
      <c r="K575" s="24"/>
      <c r="L575" s="24"/>
      <c r="M575" s="25" t="s">
        <v>7677</v>
      </c>
      <c r="N575" s="22"/>
      <c r="O575" s="22" t="s">
        <v>7678</v>
      </c>
      <c r="P575" s="22" t="str">
        <f>HYPERLINK("https://ceds.ed.gov/cedselementdetails.aspx?termid=22964")</f>
        <v>https://ceds.ed.gov/cedselementdetails.aspx?termid=22964</v>
      </c>
      <c r="Q575" s="22">
        <v>63516</v>
      </c>
    </row>
    <row r="576" spans="1:17" ht="28.8" x14ac:dyDescent="0.3">
      <c r="A576" s="22" t="s">
        <v>7709</v>
      </c>
      <c r="B576" s="22" t="s">
        <v>9196</v>
      </c>
      <c r="C576" s="22" t="s">
        <v>7772</v>
      </c>
      <c r="D576" s="22" t="s">
        <v>7741</v>
      </c>
      <c r="E576" s="22" t="s">
        <v>366</v>
      </c>
      <c r="F576" s="24" t="s">
        <v>367</v>
      </c>
      <c r="G576" s="23" t="s">
        <v>32</v>
      </c>
      <c r="H576" s="22" t="s">
        <v>69</v>
      </c>
      <c r="I576" s="22" t="s">
        <v>172</v>
      </c>
      <c r="J576" s="22" t="s">
        <v>317</v>
      </c>
      <c r="K576" s="24" t="s">
        <v>7946</v>
      </c>
      <c r="L576" s="24" t="s">
        <v>368</v>
      </c>
      <c r="M576" s="25" t="s">
        <v>369</v>
      </c>
      <c r="N576" s="22"/>
      <c r="O576" s="22" t="s">
        <v>370</v>
      </c>
      <c r="P576" s="22" t="str">
        <f>HYPERLINK("https://ceds.ed.gov/cedselementdetails.aspx?termid=21722")</f>
        <v>https://ceds.ed.gov/cedselementdetails.aspx?termid=21722</v>
      </c>
      <c r="Q576" s="22">
        <v>63855</v>
      </c>
    </row>
    <row r="577" spans="1:17" ht="43.2" x14ac:dyDescent="0.3">
      <c r="A577" s="22" t="s">
        <v>7709</v>
      </c>
      <c r="B577" s="22" t="s">
        <v>9196</v>
      </c>
      <c r="C577" s="22" t="s">
        <v>7772</v>
      </c>
      <c r="D577" s="22" t="s">
        <v>7741</v>
      </c>
      <c r="E577" s="22" t="s">
        <v>2488</v>
      </c>
      <c r="F577" s="24" t="s">
        <v>2489</v>
      </c>
      <c r="G577" s="23" t="s">
        <v>32</v>
      </c>
      <c r="H577" s="22" t="s">
        <v>2493</v>
      </c>
      <c r="I577" s="22" t="s">
        <v>172</v>
      </c>
      <c r="J577" s="22" t="s">
        <v>1518</v>
      </c>
      <c r="K577" s="24" t="s">
        <v>7946</v>
      </c>
      <c r="L577" s="24"/>
      <c r="M577" s="25" t="s">
        <v>2491</v>
      </c>
      <c r="N577" s="22"/>
      <c r="O577" s="22" t="s">
        <v>2492</v>
      </c>
      <c r="P577" s="22" t="str">
        <f>HYPERLINK("https://ceds.ed.gov/cedselementdetails.aspx?termid=21047")</f>
        <v>https://ceds.ed.gov/cedselementdetails.aspx?termid=21047</v>
      </c>
      <c r="Q577" s="22">
        <v>63856</v>
      </c>
    </row>
    <row r="578" spans="1:17" ht="72" x14ac:dyDescent="0.3">
      <c r="A578" s="22" t="s">
        <v>7709</v>
      </c>
      <c r="B578" s="22" t="s">
        <v>9196</v>
      </c>
      <c r="C578" s="22" t="s">
        <v>7772</v>
      </c>
      <c r="D578" s="22" t="s">
        <v>7741</v>
      </c>
      <c r="E578" s="22" t="s">
        <v>2494</v>
      </c>
      <c r="F578" s="24" t="s">
        <v>2495</v>
      </c>
      <c r="G578" s="26" t="s">
        <v>8416</v>
      </c>
      <c r="H578" s="22" t="s">
        <v>69</v>
      </c>
      <c r="I578" s="22" t="s">
        <v>172</v>
      </c>
      <c r="J578" s="22"/>
      <c r="K578" s="24" t="s">
        <v>7946</v>
      </c>
      <c r="L578" s="24" t="s">
        <v>2496</v>
      </c>
      <c r="M578" s="25" t="s">
        <v>2497</v>
      </c>
      <c r="N578" s="22"/>
      <c r="O578" s="22" t="s">
        <v>2498</v>
      </c>
      <c r="P578" s="22" t="str">
        <f>HYPERLINK("https://ceds.ed.gov/cedselementdetails.aspx?termid=21714")</f>
        <v>https://ceds.ed.gov/cedselementdetails.aspx?termid=21714</v>
      </c>
      <c r="Q578" s="22">
        <v>63857</v>
      </c>
    </row>
    <row r="579" spans="1:17" ht="144" x14ac:dyDescent="0.3">
      <c r="A579" s="22" t="s">
        <v>7709</v>
      </c>
      <c r="B579" s="22" t="s">
        <v>9196</v>
      </c>
      <c r="C579" s="22" t="s">
        <v>7772</v>
      </c>
      <c r="D579" s="22" t="s">
        <v>7741</v>
      </c>
      <c r="E579" s="22" t="s">
        <v>4101</v>
      </c>
      <c r="F579" s="24" t="s">
        <v>4102</v>
      </c>
      <c r="G579" s="26" t="s">
        <v>8454</v>
      </c>
      <c r="H579" s="22" t="s">
        <v>69</v>
      </c>
      <c r="I579" s="22" t="s">
        <v>172</v>
      </c>
      <c r="J579" s="22"/>
      <c r="K579" s="24" t="s">
        <v>7946</v>
      </c>
      <c r="L579" s="24" t="s">
        <v>8206</v>
      </c>
      <c r="M579" s="25" t="s">
        <v>4103</v>
      </c>
      <c r="N579" s="22"/>
      <c r="O579" s="22" t="s">
        <v>4104</v>
      </c>
      <c r="P579" s="22" t="str">
        <f>HYPERLINK("https://ceds.ed.gov/cedselementdetails.aspx?termid=21713")</f>
        <v>https://ceds.ed.gov/cedselementdetails.aspx?termid=21713</v>
      </c>
      <c r="Q579" s="22">
        <v>63858</v>
      </c>
    </row>
    <row r="580" spans="1:17" ht="273.60000000000002" x14ac:dyDescent="0.3">
      <c r="A580" s="22" t="s">
        <v>7709</v>
      </c>
      <c r="B580" s="22" t="s">
        <v>9196</v>
      </c>
      <c r="C580" s="22" t="s">
        <v>7772</v>
      </c>
      <c r="D580" s="22" t="s">
        <v>7741</v>
      </c>
      <c r="E580" s="22" t="s">
        <v>4918</v>
      </c>
      <c r="F580" s="24" t="s">
        <v>4919</v>
      </c>
      <c r="G580" s="26" t="s">
        <v>8465</v>
      </c>
      <c r="H580" s="22" t="s">
        <v>69</v>
      </c>
      <c r="I580" s="22" t="s">
        <v>172</v>
      </c>
      <c r="J580" s="22"/>
      <c r="K580" s="24" t="s">
        <v>7946</v>
      </c>
      <c r="L580" s="24" t="s">
        <v>4920</v>
      </c>
      <c r="M580" s="25" t="s">
        <v>4921</v>
      </c>
      <c r="N580" s="22"/>
      <c r="O580" s="22" t="s">
        <v>4922</v>
      </c>
      <c r="P580" s="22" t="str">
        <f>HYPERLINK("https://ceds.ed.gov/cedselementdetails.aspx?termid=21708")</f>
        <v>https://ceds.ed.gov/cedselementdetails.aspx?termid=21708</v>
      </c>
      <c r="Q580" s="22">
        <v>63859</v>
      </c>
    </row>
    <row r="581" spans="1:17" ht="409.6" x14ac:dyDescent="0.3">
      <c r="A581" s="22" t="s">
        <v>7709</v>
      </c>
      <c r="B581" s="22" t="s">
        <v>9196</v>
      </c>
      <c r="C581" s="22" t="s">
        <v>7772</v>
      </c>
      <c r="D581" s="22" t="s">
        <v>7741</v>
      </c>
      <c r="E581" s="22" t="s">
        <v>4949</v>
      </c>
      <c r="F581" s="24" t="s">
        <v>4950</v>
      </c>
      <c r="G581" s="26" t="s">
        <v>8468</v>
      </c>
      <c r="H581" s="24" t="s">
        <v>4953</v>
      </c>
      <c r="I581" s="22" t="s">
        <v>172</v>
      </c>
      <c r="J581" s="22"/>
      <c r="K581" s="24" t="s">
        <v>7946</v>
      </c>
      <c r="L581" s="24"/>
      <c r="M581" s="25" t="s">
        <v>4951</v>
      </c>
      <c r="N581" s="22"/>
      <c r="O581" s="22" t="s">
        <v>4952</v>
      </c>
      <c r="P581" s="22" t="str">
        <f>HYPERLINK("https://ceds.ed.gov/cedselementdetails.aspx?termid=21087")</f>
        <v>https://ceds.ed.gov/cedselementdetails.aspx?termid=21087</v>
      </c>
      <c r="Q581" s="22">
        <v>63860</v>
      </c>
    </row>
    <row r="582" spans="1:17" ht="57.6" x14ac:dyDescent="0.3">
      <c r="A582" s="22" t="s">
        <v>7709</v>
      </c>
      <c r="B582" s="22" t="s">
        <v>9196</v>
      </c>
      <c r="C582" s="22" t="s">
        <v>7772</v>
      </c>
      <c r="D582" s="22" t="s">
        <v>7741</v>
      </c>
      <c r="E582" s="22" t="s">
        <v>5439</v>
      </c>
      <c r="F582" s="24" t="s">
        <v>5440</v>
      </c>
      <c r="G582" s="26" t="s">
        <v>22</v>
      </c>
      <c r="H582" s="22" t="s">
        <v>226</v>
      </c>
      <c r="I582" s="22" t="s">
        <v>172</v>
      </c>
      <c r="J582" s="22"/>
      <c r="K582" s="24" t="s">
        <v>7946</v>
      </c>
      <c r="L582" s="24"/>
      <c r="M582" s="25" t="s">
        <v>5441</v>
      </c>
      <c r="N582" s="22" t="s">
        <v>5442</v>
      </c>
      <c r="O582" s="22" t="s">
        <v>5443</v>
      </c>
      <c r="P582" s="22" t="str">
        <f>HYPERLINK("https://ceds.ed.gov/cedselementdetails.aspx?termid=21534")</f>
        <v>https://ceds.ed.gov/cedselementdetails.aspx?termid=21534</v>
      </c>
      <c r="Q582" s="22">
        <v>63861</v>
      </c>
    </row>
    <row r="583" spans="1:17" ht="57.6" x14ac:dyDescent="0.3">
      <c r="A583" s="22" t="s">
        <v>7709</v>
      </c>
      <c r="B583" s="22" t="s">
        <v>9196</v>
      </c>
      <c r="C583" s="22" t="s">
        <v>7772</v>
      </c>
      <c r="D583" s="22" t="s">
        <v>7741</v>
      </c>
      <c r="E583" s="22" t="s">
        <v>7233</v>
      </c>
      <c r="F583" s="24" t="s">
        <v>7234</v>
      </c>
      <c r="G583" s="26" t="s">
        <v>22</v>
      </c>
      <c r="H583" s="22"/>
      <c r="I583" s="22" t="s">
        <v>172</v>
      </c>
      <c r="J583" s="22"/>
      <c r="K583" s="24" t="s">
        <v>7946</v>
      </c>
      <c r="L583" s="24"/>
      <c r="M583" s="25" t="s">
        <v>7235</v>
      </c>
      <c r="N583" s="22"/>
      <c r="O583" s="22" t="s">
        <v>7236</v>
      </c>
      <c r="P583" s="22" t="str">
        <f>HYPERLINK("https://ceds.ed.gov/cedselementdetails.aspx?termid=21543")</f>
        <v>https://ceds.ed.gov/cedselementdetails.aspx?termid=21543</v>
      </c>
      <c r="Q583" s="22">
        <v>63862</v>
      </c>
    </row>
    <row r="584" spans="1:17" ht="129.6" x14ac:dyDescent="0.3">
      <c r="A584" s="22" t="s">
        <v>7709</v>
      </c>
      <c r="B584" s="22" t="s">
        <v>9196</v>
      </c>
      <c r="C584" s="22" t="s">
        <v>7754</v>
      </c>
      <c r="D584" s="22" t="s">
        <v>7710</v>
      </c>
      <c r="E584" s="22" t="s">
        <v>4965</v>
      </c>
      <c r="F584" s="24" t="s">
        <v>4966</v>
      </c>
      <c r="G584" s="26" t="s">
        <v>8993</v>
      </c>
      <c r="H584" s="24" t="s">
        <v>4927</v>
      </c>
      <c r="I584" s="22"/>
      <c r="J584" s="22"/>
      <c r="K584" s="24"/>
      <c r="L584" s="24"/>
      <c r="M584" s="25" t="s">
        <v>4967</v>
      </c>
      <c r="N584" s="22"/>
      <c r="O584" s="22" t="s">
        <v>4968</v>
      </c>
      <c r="P584" s="22" t="str">
        <f>HYPERLINK("https://ceds.ed.gov/cedselementdetails.aspx?termid=21316")</f>
        <v>https://ceds.ed.gov/cedselementdetails.aspx?termid=21316</v>
      </c>
      <c r="Q584" s="22">
        <v>58694</v>
      </c>
    </row>
    <row r="585" spans="1:17" ht="115.2" x14ac:dyDescent="0.3">
      <c r="A585" s="22" t="s">
        <v>7709</v>
      </c>
      <c r="B585" s="22" t="s">
        <v>9196</v>
      </c>
      <c r="C585" s="22" t="s">
        <v>7754</v>
      </c>
      <c r="D585" s="22" t="s">
        <v>7710</v>
      </c>
      <c r="E585" s="22" t="s">
        <v>4923</v>
      </c>
      <c r="F585" s="24" t="s">
        <v>4924</v>
      </c>
      <c r="G585" s="23" t="s">
        <v>7423</v>
      </c>
      <c r="H585" s="24" t="s">
        <v>4927</v>
      </c>
      <c r="I585" s="22"/>
      <c r="J585" s="22"/>
      <c r="K585" s="24"/>
      <c r="L585" s="24" t="s">
        <v>7994</v>
      </c>
      <c r="M585" s="25" t="s">
        <v>4925</v>
      </c>
      <c r="N585" s="22"/>
      <c r="O585" s="22" t="s">
        <v>4926</v>
      </c>
      <c r="P585" s="22" t="str">
        <f>HYPERLINK("https://ceds.ed.gov/cedselementdetails.aspx?termid=21317")</f>
        <v>https://ceds.ed.gov/cedselementdetails.aspx?termid=21317</v>
      </c>
      <c r="Q585" s="22">
        <v>58695</v>
      </c>
    </row>
    <row r="586" spans="1:17" ht="115.2" x14ac:dyDescent="0.3">
      <c r="A586" s="22" t="s">
        <v>7709</v>
      </c>
      <c r="B586" s="22" t="s">
        <v>9196</v>
      </c>
      <c r="C586" s="22" t="s">
        <v>7754</v>
      </c>
      <c r="D586" s="22" t="s">
        <v>7710</v>
      </c>
      <c r="E586" s="22" t="s">
        <v>4928</v>
      </c>
      <c r="F586" s="24" t="s">
        <v>4924</v>
      </c>
      <c r="G586" s="23" t="s">
        <v>7423</v>
      </c>
      <c r="H586" s="22"/>
      <c r="I586" s="22" t="s">
        <v>172</v>
      </c>
      <c r="J586" s="22"/>
      <c r="K586" s="24" t="s">
        <v>8231</v>
      </c>
      <c r="L586" s="24" t="s">
        <v>8232</v>
      </c>
      <c r="M586" s="25" t="s">
        <v>4929</v>
      </c>
      <c r="N586" s="22"/>
      <c r="O586" s="22" t="s">
        <v>4930</v>
      </c>
      <c r="P586" s="22" t="str">
        <f>HYPERLINK("https://ceds.ed.gov/cedselementdetails.aspx?termid=22618")</f>
        <v>https://ceds.ed.gov/cedselementdetails.aspx?termid=22618</v>
      </c>
      <c r="Q586" s="22">
        <v>62218</v>
      </c>
    </row>
    <row r="587" spans="1:17" ht="409.6" x14ac:dyDescent="0.3">
      <c r="A587" s="22" t="s">
        <v>7709</v>
      </c>
      <c r="B587" s="22" t="s">
        <v>9196</v>
      </c>
      <c r="C587" s="22" t="s">
        <v>7754</v>
      </c>
      <c r="D587" s="22" t="s">
        <v>7710</v>
      </c>
      <c r="E587" s="22" t="s">
        <v>4931</v>
      </c>
      <c r="F587" s="24" t="s">
        <v>4932</v>
      </c>
      <c r="G587" s="26" t="s">
        <v>8988</v>
      </c>
      <c r="H587" s="22"/>
      <c r="I587" s="22"/>
      <c r="J587" s="22"/>
      <c r="K587" s="24"/>
      <c r="L587" s="24" t="s">
        <v>8233</v>
      </c>
      <c r="M587" s="25" t="s">
        <v>4933</v>
      </c>
      <c r="N587" s="22"/>
      <c r="O587" s="22" t="s">
        <v>4934</v>
      </c>
      <c r="P587" s="22" t="str">
        <f>HYPERLINK("https://ceds.ed.gov/cedselementdetails.aspx?termid=22619")</f>
        <v>https://ceds.ed.gov/cedselementdetails.aspx?termid=22619</v>
      </c>
      <c r="Q587" s="22">
        <v>62225</v>
      </c>
    </row>
    <row r="588" spans="1:17" ht="100.8" x14ac:dyDescent="0.3">
      <c r="A588" s="22" t="s">
        <v>7709</v>
      </c>
      <c r="B588" s="22" t="s">
        <v>9196</v>
      </c>
      <c r="C588" s="22" t="s">
        <v>7773</v>
      </c>
      <c r="D588" s="22" t="s">
        <v>7710</v>
      </c>
      <c r="E588" s="22" t="s">
        <v>3265</v>
      </c>
      <c r="F588" s="24" t="s">
        <v>3266</v>
      </c>
      <c r="G588" s="26" t="s">
        <v>8810</v>
      </c>
      <c r="H588" s="24" t="s">
        <v>3077</v>
      </c>
      <c r="I588" s="22"/>
      <c r="J588" s="22"/>
      <c r="K588" s="24"/>
      <c r="L588" s="24"/>
      <c r="M588" s="25" t="s">
        <v>3267</v>
      </c>
      <c r="N588" s="22"/>
      <c r="O588" s="22" t="s">
        <v>3268</v>
      </c>
      <c r="P588" s="22" t="str">
        <f>HYPERLINK("https://ceds.ed.gov/cedselementdetails.aspx?termid=21344")</f>
        <v>https://ceds.ed.gov/cedselementdetails.aspx?termid=21344</v>
      </c>
      <c r="Q588" s="22">
        <v>58700</v>
      </c>
    </row>
    <row r="589" spans="1:17" ht="28.8" x14ac:dyDescent="0.3">
      <c r="A589" s="22" t="s">
        <v>7709</v>
      </c>
      <c r="B589" s="22" t="s">
        <v>9196</v>
      </c>
      <c r="C589" s="22" t="s">
        <v>7773</v>
      </c>
      <c r="D589" s="22" t="s">
        <v>7710</v>
      </c>
      <c r="E589" s="22" t="s">
        <v>5977</v>
      </c>
      <c r="F589" s="24" t="s">
        <v>5978</v>
      </c>
      <c r="G589" s="23" t="s">
        <v>32</v>
      </c>
      <c r="H589" s="22"/>
      <c r="I589" s="22"/>
      <c r="J589" s="22" t="s">
        <v>85</v>
      </c>
      <c r="K589" s="24"/>
      <c r="L589" s="24"/>
      <c r="M589" s="25" t="s">
        <v>5979</v>
      </c>
      <c r="N589" s="22"/>
      <c r="O589" s="22" t="s">
        <v>5980</v>
      </c>
      <c r="P589" s="22" t="str">
        <f>HYPERLINK("https://ceds.ed.gov/cedselementdetails.aspx?termid=22398")</f>
        <v>https://ceds.ed.gov/cedselementdetails.aspx?termid=22398</v>
      </c>
      <c r="Q589" s="22">
        <v>61328</v>
      </c>
    </row>
    <row r="590" spans="1:17" ht="28.8" x14ac:dyDescent="0.3">
      <c r="A590" s="22" t="s">
        <v>7709</v>
      </c>
      <c r="B590" s="22" t="s">
        <v>9196</v>
      </c>
      <c r="C590" s="22" t="s">
        <v>7773</v>
      </c>
      <c r="D590" s="22" t="s">
        <v>7710</v>
      </c>
      <c r="E590" s="22" t="s">
        <v>5530</v>
      </c>
      <c r="F590" s="24" t="s">
        <v>5531</v>
      </c>
      <c r="G590" s="23" t="s">
        <v>32</v>
      </c>
      <c r="H590" s="22" t="s">
        <v>207</v>
      </c>
      <c r="I590" s="22"/>
      <c r="J590" s="22" t="s">
        <v>157</v>
      </c>
      <c r="K590" s="24"/>
      <c r="L590" s="24"/>
      <c r="M590" s="25" t="s">
        <v>5532</v>
      </c>
      <c r="N590" s="22"/>
      <c r="O590" s="22" t="s">
        <v>5533</v>
      </c>
      <c r="P590" s="22" t="str">
        <f>HYPERLINK("https://ceds.ed.gov/cedselementdetails.aspx?termid=22064")</f>
        <v>https://ceds.ed.gov/cedselementdetails.aspx?termid=22064</v>
      </c>
      <c r="Q590" s="22">
        <v>59499</v>
      </c>
    </row>
    <row r="591" spans="1:17" ht="409.6" x14ac:dyDescent="0.3">
      <c r="A591" s="22" t="s">
        <v>7709</v>
      </c>
      <c r="B591" s="22" t="s">
        <v>9196</v>
      </c>
      <c r="C591" s="22" t="s">
        <v>7773</v>
      </c>
      <c r="D591" s="22" t="s">
        <v>7710</v>
      </c>
      <c r="E591" s="22" t="s">
        <v>6979</v>
      </c>
      <c r="F591" s="24" t="s">
        <v>6980</v>
      </c>
      <c r="G591" s="26" t="s">
        <v>8538</v>
      </c>
      <c r="H591" s="22" t="s">
        <v>207</v>
      </c>
      <c r="I591" s="22"/>
      <c r="J591" s="22"/>
      <c r="K591" s="24"/>
      <c r="L591" s="24"/>
      <c r="M591" s="25" t="s">
        <v>6981</v>
      </c>
      <c r="N591" s="22"/>
      <c r="O591" s="22" t="s">
        <v>6982</v>
      </c>
      <c r="P591" s="22" t="str">
        <f>HYPERLINK("https://ceds.ed.gov/cedselementdetails.aspx?termid=21804")</f>
        <v>https://ceds.ed.gov/cedselementdetails.aspx?termid=21804</v>
      </c>
      <c r="Q591" s="22">
        <v>60250</v>
      </c>
    </row>
    <row r="592" spans="1:17" ht="28.8" x14ac:dyDescent="0.3">
      <c r="A592" s="22" t="s">
        <v>7709</v>
      </c>
      <c r="B592" s="22" t="s">
        <v>9196</v>
      </c>
      <c r="C592" s="22" t="s">
        <v>7773</v>
      </c>
      <c r="D592" s="22" t="s">
        <v>7710</v>
      </c>
      <c r="E592" s="22" t="s">
        <v>2945</v>
      </c>
      <c r="F592" s="24" t="s">
        <v>2946</v>
      </c>
      <c r="G592" s="23" t="s">
        <v>32</v>
      </c>
      <c r="H592" s="22"/>
      <c r="I592" s="22"/>
      <c r="J592" s="22" t="s">
        <v>157</v>
      </c>
      <c r="K592" s="24"/>
      <c r="L592" s="24"/>
      <c r="M592" s="25" t="s">
        <v>2947</v>
      </c>
      <c r="N592" s="22"/>
      <c r="O592" s="22" t="s">
        <v>2948</v>
      </c>
      <c r="P592" s="22" t="str">
        <f>HYPERLINK("https://ceds.ed.gov/cedselementdetails.aspx?termid=22566")</f>
        <v>https://ceds.ed.gov/cedselementdetails.aspx?termid=22566</v>
      </c>
      <c r="Q592" s="22">
        <v>62054</v>
      </c>
    </row>
    <row r="593" spans="1:17" ht="86.4" x14ac:dyDescent="0.3">
      <c r="A593" s="22" t="s">
        <v>7709</v>
      </c>
      <c r="B593" s="22" t="s">
        <v>9196</v>
      </c>
      <c r="C593" s="22" t="s">
        <v>7773</v>
      </c>
      <c r="D593" s="22" t="s">
        <v>7710</v>
      </c>
      <c r="E593" s="22" t="s">
        <v>2961</v>
      </c>
      <c r="F593" s="24" t="s">
        <v>2962</v>
      </c>
      <c r="G593" s="26" t="s">
        <v>8774</v>
      </c>
      <c r="H593" s="22"/>
      <c r="I593" s="22"/>
      <c r="J593" s="22"/>
      <c r="K593" s="24"/>
      <c r="L593" s="24"/>
      <c r="M593" s="25" t="s">
        <v>2963</v>
      </c>
      <c r="N593" s="22"/>
      <c r="O593" s="22" t="s">
        <v>2964</v>
      </c>
      <c r="P593" s="22" t="str">
        <f>HYPERLINK("https://ceds.ed.gov/cedselementdetails.aspx?termid=21071")</f>
        <v>https://ceds.ed.gov/cedselementdetails.aspx?termid=21071</v>
      </c>
      <c r="Q593" s="22">
        <v>62131</v>
      </c>
    </row>
    <row r="594" spans="1:17" ht="115.2" x14ac:dyDescent="0.3">
      <c r="A594" s="22" t="s">
        <v>7709</v>
      </c>
      <c r="B594" s="22" t="s">
        <v>9196</v>
      </c>
      <c r="C594" s="22" t="s">
        <v>7773</v>
      </c>
      <c r="D594" s="22" t="s">
        <v>7710</v>
      </c>
      <c r="E594" s="22" t="s">
        <v>2006</v>
      </c>
      <c r="F594" s="24" t="s">
        <v>2007</v>
      </c>
      <c r="G594" s="26" t="s">
        <v>8720</v>
      </c>
      <c r="H594" s="22" t="s">
        <v>207</v>
      </c>
      <c r="I594" s="22"/>
      <c r="J594" s="22"/>
      <c r="K594" s="24"/>
      <c r="L594" s="24"/>
      <c r="M594" s="25" t="s">
        <v>2008</v>
      </c>
      <c r="N594" s="22" t="s">
        <v>2009</v>
      </c>
      <c r="O594" s="22" t="s">
        <v>2010</v>
      </c>
      <c r="P594" s="22" t="str">
        <f>HYPERLINK("https://ceds.ed.gov/cedselementdetails.aspx?termid=21805")</f>
        <v>https://ceds.ed.gov/cedselementdetails.aspx?termid=21805</v>
      </c>
      <c r="Q594" s="22">
        <v>60253</v>
      </c>
    </row>
    <row r="595" spans="1:17" ht="28.8" x14ac:dyDescent="0.3">
      <c r="A595" s="22" t="s">
        <v>7709</v>
      </c>
      <c r="B595" s="22" t="s">
        <v>9196</v>
      </c>
      <c r="C595" s="22" t="s">
        <v>7773</v>
      </c>
      <c r="D595" s="22" t="s">
        <v>7710</v>
      </c>
      <c r="E595" s="22" t="s">
        <v>2928</v>
      </c>
      <c r="F595" s="24" t="s">
        <v>2929</v>
      </c>
      <c r="G595" s="23" t="s">
        <v>32</v>
      </c>
      <c r="H595" s="22" t="s">
        <v>207</v>
      </c>
      <c r="I595" s="22"/>
      <c r="J595" s="22" t="s">
        <v>118</v>
      </c>
      <c r="K595" s="24"/>
      <c r="L595" s="24"/>
      <c r="M595" s="25" t="s">
        <v>2930</v>
      </c>
      <c r="N595" s="22"/>
      <c r="O595" s="22" t="s">
        <v>2931</v>
      </c>
      <c r="P595" s="22" t="str">
        <f>HYPERLINK("https://ceds.ed.gov/cedselementdetails.aspx?termid=21070")</f>
        <v>https://ceds.ed.gov/cedselementdetails.aspx?termid=21070</v>
      </c>
      <c r="Q595" s="22">
        <v>60252</v>
      </c>
    </row>
    <row r="596" spans="1:17" ht="43.2" x14ac:dyDescent="0.3">
      <c r="A596" s="22" t="s">
        <v>7709</v>
      </c>
      <c r="B596" s="22" t="s">
        <v>9196</v>
      </c>
      <c r="C596" s="22" t="s">
        <v>7773</v>
      </c>
      <c r="D596" s="22" t="s">
        <v>7710</v>
      </c>
      <c r="E596" s="22" t="s">
        <v>2920</v>
      </c>
      <c r="F596" s="24" t="s">
        <v>2921</v>
      </c>
      <c r="G596" s="23" t="s">
        <v>32</v>
      </c>
      <c r="H596" s="22" t="s">
        <v>207</v>
      </c>
      <c r="I596" s="22"/>
      <c r="J596" s="22" t="s">
        <v>118</v>
      </c>
      <c r="K596" s="24"/>
      <c r="L596" s="24"/>
      <c r="M596" s="25" t="s">
        <v>2922</v>
      </c>
      <c r="N596" s="22"/>
      <c r="O596" s="22" t="s">
        <v>2923</v>
      </c>
      <c r="P596" s="22" t="str">
        <f>HYPERLINK("https://ceds.ed.gov/cedselementdetails.aspx?termid=21069")</f>
        <v>https://ceds.ed.gov/cedselementdetails.aspx?termid=21069</v>
      </c>
      <c r="Q596" s="22">
        <v>60251</v>
      </c>
    </row>
    <row r="597" spans="1:17" ht="86.4" x14ac:dyDescent="0.3">
      <c r="A597" s="22" t="s">
        <v>7709</v>
      </c>
      <c r="B597" s="22" t="s">
        <v>9196</v>
      </c>
      <c r="C597" s="22" t="s">
        <v>7773</v>
      </c>
      <c r="D597" s="22" t="s">
        <v>7741</v>
      </c>
      <c r="E597" s="22" t="s">
        <v>7083</v>
      </c>
      <c r="F597" s="24" t="s">
        <v>7084</v>
      </c>
      <c r="G597" s="23" t="s">
        <v>32</v>
      </c>
      <c r="H597" s="22" t="s">
        <v>355</v>
      </c>
      <c r="I597" s="22" t="s">
        <v>172</v>
      </c>
      <c r="J597" s="22" t="s">
        <v>85</v>
      </c>
      <c r="K597" s="24" t="s">
        <v>7946</v>
      </c>
      <c r="L597" s="24" t="s">
        <v>8337</v>
      </c>
      <c r="M597" s="25" t="s">
        <v>7085</v>
      </c>
      <c r="N597" s="22"/>
      <c r="O597" s="22" t="s">
        <v>7086</v>
      </c>
      <c r="P597" s="22" t="str">
        <f>HYPERLINK("https://ceds.ed.gov/cedselementdetails.aspx?termid=21757")</f>
        <v>https://ceds.ed.gov/cedselementdetails.aspx?termid=21757</v>
      </c>
      <c r="Q597" s="22">
        <v>63851</v>
      </c>
    </row>
    <row r="598" spans="1:17" ht="86.4" x14ac:dyDescent="0.3">
      <c r="A598" s="22" t="s">
        <v>7709</v>
      </c>
      <c r="B598" s="22" t="s">
        <v>9196</v>
      </c>
      <c r="C598" s="22" t="s">
        <v>7773</v>
      </c>
      <c r="D598" s="22" t="s">
        <v>7741</v>
      </c>
      <c r="E598" s="22" t="s">
        <v>7087</v>
      </c>
      <c r="F598" s="24" t="s">
        <v>7088</v>
      </c>
      <c r="G598" s="26" t="s">
        <v>8545</v>
      </c>
      <c r="H598" s="22" t="s">
        <v>355</v>
      </c>
      <c r="I598" s="22" t="s">
        <v>172</v>
      </c>
      <c r="J598" s="22"/>
      <c r="K598" s="24" t="s">
        <v>7946</v>
      </c>
      <c r="L598" s="24"/>
      <c r="M598" s="25" t="s">
        <v>7089</v>
      </c>
      <c r="N598" s="22"/>
      <c r="O598" s="22" t="s">
        <v>7090</v>
      </c>
      <c r="P598" s="22" t="str">
        <f>HYPERLINK("https://ceds.ed.gov/cedselementdetails.aspx?termid=21756")</f>
        <v>https://ceds.ed.gov/cedselementdetails.aspx?termid=21756</v>
      </c>
      <c r="Q598" s="22">
        <v>63852</v>
      </c>
    </row>
    <row r="599" spans="1:17" ht="57.6" x14ac:dyDescent="0.3">
      <c r="A599" s="22" t="s">
        <v>7709</v>
      </c>
      <c r="B599" s="22" t="s">
        <v>9196</v>
      </c>
      <c r="C599" s="22" t="s">
        <v>7773</v>
      </c>
      <c r="D599" s="22" t="s">
        <v>7741</v>
      </c>
      <c r="E599" s="22" t="s">
        <v>7417</v>
      </c>
      <c r="F599" s="24" t="s">
        <v>7418</v>
      </c>
      <c r="G599" s="23" t="s">
        <v>32</v>
      </c>
      <c r="H599" s="22" t="s">
        <v>2493</v>
      </c>
      <c r="I599" s="22" t="s">
        <v>172</v>
      </c>
      <c r="J599" s="22" t="s">
        <v>1518</v>
      </c>
      <c r="K599" s="24" t="s">
        <v>7946</v>
      </c>
      <c r="L599" s="24"/>
      <c r="M599" s="25" t="s">
        <v>7419</v>
      </c>
      <c r="N599" s="22"/>
      <c r="O599" s="22" t="s">
        <v>7420</v>
      </c>
      <c r="P599" s="22" t="str">
        <f>HYPERLINK("https://ceds.ed.gov/cedselementdetails.aspx?termid=21302")</f>
        <v>https://ceds.ed.gov/cedselementdetails.aspx?termid=21302</v>
      </c>
      <c r="Q599" s="22">
        <v>63853</v>
      </c>
    </row>
    <row r="600" spans="1:17" ht="43.2" x14ac:dyDescent="0.3">
      <c r="A600" s="22" t="s">
        <v>7709</v>
      </c>
      <c r="B600" s="22" t="s">
        <v>9196</v>
      </c>
      <c r="C600" s="22" t="s">
        <v>7732</v>
      </c>
      <c r="D600" s="22" t="s">
        <v>7710</v>
      </c>
      <c r="E600" s="22" t="s">
        <v>6920</v>
      </c>
      <c r="F600" s="24" t="s">
        <v>6921</v>
      </c>
      <c r="G600" s="23" t="s">
        <v>32</v>
      </c>
      <c r="H600" s="22" t="s">
        <v>207</v>
      </c>
      <c r="I600" s="22"/>
      <c r="J600" s="22" t="s">
        <v>118</v>
      </c>
      <c r="K600" s="24"/>
      <c r="L600" s="24"/>
      <c r="M600" s="25" t="s">
        <v>6922</v>
      </c>
      <c r="N600" s="22"/>
      <c r="O600" s="22" t="s">
        <v>6923</v>
      </c>
      <c r="P600" s="22" t="str">
        <f>HYPERLINK("https://ceds.ed.gov/cedselementdetails.aspx?termid=22067")</f>
        <v>https://ceds.ed.gov/cedselementdetails.aspx?termid=22067</v>
      </c>
      <c r="Q600" s="22">
        <v>59502</v>
      </c>
    </row>
    <row r="601" spans="1:17" ht="57.6" x14ac:dyDescent="0.3">
      <c r="A601" s="22" t="s">
        <v>7709</v>
      </c>
      <c r="B601" s="22" t="s">
        <v>9196</v>
      </c>
      <c r="C601" s="22" t="s">
        <v>7732</v>
      </c>
      <c r="D601" s="22" t="s">
        <v>7710</v>
      </c>
      <c r="E601" s="22" t="s">
        <v>6916</v>
      </c>
      <c r="F601" s="24" t="s">
        <v>6917</v>
      </c>
      <c r="G601" s="23" t="s">
        <v>32</v>
      </c>
      <c r="H601" s="22" t="s">
        <v>207</v>
      </c>
      <c r="I601" s="22"/>
      <c r="J601" s="22" t="s">
        <v>118</v>
      </c>
      <c r="K601" s="24"/>
      <c r="L601" s="24"/>
      <c r="M601" s="25" t="s">
        <v>6918</v>
      </c>
      <c r="N601" s="22"/>
      <c r="O601" s="22" t="s">
        <v>6919</v>
      </c>
      <c r="P601" s="22" t="str">
        <f>HYPERLINK("https://ceds.ed.gov/cedselementdetails.aspx?termid=22068")</f>
        <v>https://ceds.ed.gov/cedselementdetails.aspx?termid=22068</v>
      </c>
      <c r="Q601" s="22">
        <v>59503</v>
      </c>
    </row>
    <row r="602" spans="1:17" ht="43.2" x14ac:dyDescent="0.3">
      <c r="A602" s="22" t="s">
        <v>7709</v>
      </c>
      <c r="B602" s="22" t="s">
        <v>9196</v>
      </c>
      <c r="C602" s="22" t="s">
        <v>7732</v>
      </c>
      <c r="D602" s="22" t="s">
        <v>7710</v>
      </c>
      <c r="E602" s="22" t="s">
        <v>6439</v>
      </c>
      <c r="F602" s="24" t="s">
        <v>6440</v>
      </c>
      <c r="G602" s="23" t="s">
        <v>32</v>
      </c>
      <c r="H602" s="22" t="s">
        <v>207</v>
      </c>
      <c r="I602" s="22"/>
      <c r="J602" s="22" t="s">
        <v>1518</v>
      </c>
      <c r="K602" s="24"/>
      <c r="L602" s="24"/>
      <c r="M602" s="25" t="s">
        <v>6441</v>
      </c>
      <c r="N602" s="22"/>
      <c r="O602" s="22" t="s">
        <v>6442</v>
      </c>
      <c r="P602" s="22" t="str">
        <f>HYPERLINK("https://ceds.ed.gov/cedselementdetails.aspx?termid=21803")</f>
        <v>https://ceds.ed.gov/cedselementdetails.aspx?termid=21803</v>
      </c>
      <c r="Q602" s="22">
        <v>60249</v>
      </c>
    </row>
    <row r="603" spans="1:17" ht="100.8" x14ac:dyDescent="0.3">
      <c r="A603" s="22" t="s">
        <v>7709</v>
      </c>
      <c r="B603" s="22" t="s">
        <v>9196</v>
      </c>
      <c r="C603" s="22" t="s">
        <v>7732</v>
      </c>
      <c r="D603" s="22" t="s">
        <v>7710</v>
      </c>
      <c r="E603" s="22" t="s">
        <v>5599</v>
      </c>
      <c r="F603" s="24" t="s">
        <v>5600</v>
      </c>
      <c r="G603" s="23" t="s">
        <v>32</v>
      </c>
      <c r="H603" s="24" t="s">
        <v>5342</v>
      </c>
      <c r="I603" s="22"/>
      <c r="J603" s="22" t="s">
        <v>1518</v>
      </c>
      <c r="K603" s="24"/>
      <c r="L603" s="24"/>
      <c r="M603" s="25" t="s">
        <v>5601</v>
      </c>
      <c r="N603" s="22"/>
      <c r="O603" s="22" t="s">
        <v>5602</v>
      </c>
      <c r="P603" s="22" t="str">
        <f>HYPERLINK("https://ceds.ed.gov/cedselementdetails.aspx?termid=21200")</f>
        <v>https://ceds.ed.gov/cedselementdetails.aspx?termid=21200</v>
      </c>
      <c r="Q603" s="22">
        <v>59513</v>
      </c>
    </row>
    <row r="604" spans="1:17" ht="144" x14ac:dyDescent="0.3">
      <c r="A604" s="22" t="s">
        <v>7709</v>
      </c>
      <c r="B604" s="22" t="s">
        <v>9196</v>
      </c>
      <c r="C604" s="22" t="s">
        <v>7732</v>
      </c>
      <c r="D604" s="22" t="s">
        <v>7710</v>
      </c>
      <c r="E604" s="22" t="s">
        <v>2592</v>
      </c>
      <c r="F604" s="24" t="s">
        <v>8058</v>
      </c>
      <c r="G604" s="26" t="s">
        <v>8750</v>
      </c>
      <c r="H604" s="22" t="s">
        <v>58</v>
      </c>
      <c r="I604" s="22"/>
      <c r="J604" s="22"/>
      <c r="K604" s="24"/>
      <c r="L604" s="24"/>
      <c r="M604" s="25" t="s">
        <v>2593</v>
      </c>
      <c r="N604" s="22"/>
      <c r="O604" s="22" t="s">
        <v>2594</v>
      </c>
      <c r="P604" s="22" t="str">
        <f>HYPERLINK("https://ceds.ed.gov/cedselementdetails.aspx?termid=21057")</f>
        <v>https://ceds.ed.gov/cedselementdetails.aspx?termid=21057</v>
      </c>
      <c r="Q604" s="22">
        <v>59729</v>
      </c>
    </row>
    <row r="605" spans="1:17" ht="43.2" x14ac:dyDescent="0.3">
      <c r="A605" s="22" t="s">
        <v>7709</v>
      </c>
      <c r="B605" s="22" t="s">
        <v>9196</v>
      </c>
      <c r="C605" s="22" t="s">
        <v>7732</v>
      </c>
      <c r="D605" s="22" t="s">
        <v>7710</v>
      </c>
      <c r="E605" s="22" t="s">
        <v>6071</v>
      </c>
      <c r="F605" s="24" t="s">
        <v>6072</v>
      </c>
      <c r="G605" s="26" t="s">
        <v>22</v>
      </c>
      <c r="H605" s="22"/>
      <c r="I605" s="22"/>
      <c r="J605" s="22"/>
      <c r="K605" s="24"/>
      <c r="L605" s="24"/>
      <c r="M605" s="25" t="s">
        <v>6073</v>
      </c>
      <c r="N605" s="22"/>
      <c r="O605" s="22" t="s">
        <v>6074</v>
      </c>
      <c r="P605" s="22" t="str">
        <f>HYPERLINK("https://ceds.ed.gov/cedselementdetails.aspx?termid=22599")</f>
        <v>https://ceds.ed.gov/cedselementdetails.aspx?termid=22599</v>
      </c>
      <c r="Q605" s="22">
        <v>62098</v>
      </c>
    </row>
    <row r="606" spans="1:17" ht="28.8" x14ac:dyDescent="0.3">
      <c r="A606" s="22" t="s">
        <v>7709</v>
      </c>
      <c r="B606" s="22" t="s">
        <v>9196</v>
      </c>
      <c r="C606" s="22" t="s">
        <v>7732</v>
      </c>
      <c r="D606" s="22" t="s">
        <v>7710</v>
      </c>
      <c r="E606" s="22" t="s">
        <v>6075</v>
      </c>
      <c r="F606" s="24" t="s">
        <v>6076</v>
      </c>
      <c r="G606" s="23" t="s">
        <v>32</v>
      </c>
      <c r="H606" s="22"/>
      <c r="I606" s="22"/>
      <c r="J606" s="22" t="s">
        <v>118</v>
      </c>
      <c r="K606" s="24"/>
      <c r="L606" s="24"/>
      <c r="M606" s="25" t="s">
        <v>6077</v>
      </c>
      <c r="N606" s="22"/>
      <c r="O606" s="22" t="s">
        <v>6078</v>
      </c>
      <c r="P606" s="22" t="str">
        <f>HYPERLINK("https://ceds.ed.gov/cedselementdetails.aspx?termid=22600")</f>
        <v>https://ceds.ed.gov/cedselementdetails.aspx?termid=22600</v>
      </c>
      <c r="Q606" s="22">
        <v>62099</v>
      </c>
    </row>
    <row r="607" spans="1:17" ht="43.2" x14ac:dyDescent="0.3">
      <c r="A607" s="22" t="s">
        <v>7709</v>
      </c>
      <c r="B607" s="22" t="s">
        <v>9196</v>
      </c>
      <c r="C607" s="22" t="s">
        <v>7732</v>
      </c>
      <c r="D607" s="22" t="s">
        <v>7710</v>
      </c>
      <c r="E607" s="22" t="s">
        <v>1929</v>
      </c>
      <c r="F607" s="24" t="s">
        <v>1930</v>
      </c>
      <c r="G607" s="23" t="s">
        <v>32</v>
      </c>
      <c r="H607" s="22"/>
      <c r="I607" s="22"/>
      <c r="J607" s="22" t="s">
        <v>118</v>
      </c>
      <c r="K607" s="24"/>
      <c r="L607" s="24"/>
      <c r="M607" s="25" t="s">
        <v>1931</v>
      </c>
      <c r="N607" s="22"/>
      <c r="O607" s="22" t="s">
        <v>1932</v>
      </c>
      <c r="P607" s="22" t="str">
        <f>HYPERLINK("https://ceds.ed.gov/cedselementdetails.aspx?termid=22255")</f>
        <v>https://ceds.ed.gov/cedselementdetails.aspx?termid=22255</v>
      </c>
      <c r="Q607" s="22">
        <v>61079</v>
      </c>
    </row>
    <row r="608" spans="1:17" ht="72" x14ac:dyDescent="0.3">
      <c r="A608" s="22" t="s">
        <v>7709</v>
      </c>
      <c r="B608" s="22" t="s">
        <v>9196</v>
      </c>
      <c r="C608" s="22" t="s">
        <v>7732</v>
      </c>
      <c r="D608" s="22" t="s">
        <v>7710</v>
      </c>
      <c r="E608" s="22" t="s">
        <v>1933</v>
      </c>
      <c r="F608" s="24" t="s">
        <v>1934</v>
      </c>
      <c r="G608" s="26" t="s">
        <v>8713</v>
      </c>
      <c r="H608" s="22"/>
      <c r="I608" s="22"/>
      <c r="J608" s="22"/>
      <c r="K608" s="24"/>
      <c r="L608" s="24"/>
      <c r="M608" s="25" t="s">
        <v>1935</v>
      </c>
      <c r="N608" s="22"/>
      <c r="O608" s="22" t="s">
        <v>1936</v>
      </c>
      <c r="P608" s="22" t="str">
        <f>HYPERLINK("https://ceds.ed.gov/cedselementdetails.aspx?termid=22256")</f>
        <v>https://ceds.ed.gov/cedselementdetails.aspx?termid=22256</v>
      </c>
      <c r="Q608" s="22">
        <v>61082</v>
      </c>
    </row>
    <row r="609" spans="1:17" ht="43.2" x14ac:dyDescent="0.3">
      <c r="A609" s="22" t="s">
        <v>7709</v>
      </c>
      <c r="B609" s="22" t="s">
        <v>9196</v>
      </c>
      <c r="C609" s="22" t="s">
        <v>7732</v>
      </c>
      <c r="D609" s="22" t="s">
        <v>7710</v>
      </c>
      <c r="E609" s="22" t="s">
        <v>5969</v>
      </c>
      <c r="F609" s="24" t="s">
        <v>5970</v>
      </c>
      <c r="G609" s="26" t="s">
        <v>22</v>
      </c>
      <c r="H609" s="22" t="s">
        <v>207</v>
      </c>
      <c r="I609" s="22"/>
      <c r="J609" s="22"/>
      <c r="K609" s="24"/>
      <c r="L609" s="24"/>
      <c r="M609" s="25" t="s">
        <v>5971</v>
      </c>
      <c r="N609" s="22"/>
      <c r="O609" s="22" t="s">
        <v>5972</v>
      </c>
      <c r="P609" s="22" t="str">
        <f>HYPERLINK("https://ceds.ed.gov/cedselementdetails.aspx?termid=21806")</f>
        <v>https://ceds.ed.gov/cedselementdetails.aspx?termid=21806</v>
      </c>
      <c r="Q609" s="22">
        <v>60254</v>
      </c>
    </row>
    <row r="610" spans="1:17" ht="28.8" x14ac:dyDescent="0.3">
      <c r="A610" s="22" t="s">
        <v>7709</v>
      </c>
      <c r="B610" s="22" t="s">
        <v>9196</v>
      </c>
      <c r="C610" s="22" t="s">
        <v>7732</v>
      </c>
      <c r="D610" s="22" t="s">
        <v>7710</v>
      </c>
      <c r="E610" s="22" t="s">
        <v>5973</v>
      </c>
      <c r="F610" s="24" t="s">
        <v>5974</v>
      </c>
      <c r="G610" s="23" t="s">
        <v>32</v>
      </c>
      <c r="H610" s="22" t="s">
        <v>207</v>
      </c>
      <c r="I610" s="22"/>
      <c r="J610" s="22" t="s">
        <v>157</v>
      </c>
      <c r="K610" s="24"/>
      <c r="L610" s="24"/>
      <c r="M610" s="25" t="s">
        <v>5975</v>
      </c>
      <c r="N610" s="22"/>
      <c r="O610" s="22" t="s">
        <v>5976</v>
      </c>
      <c r="P610" s="22" t="str">
        <f>HYPERLINK("https://ceds.ed.gov/cedselementdetails.aspx?termid=21807")</f>
        <v>https://ceds.ed.gov/cedselementdetails.aspx?termid=21807</v>
      </c>
      <c r="Q610" s="22">
        <v>60255</v>
      </c>
    </row>
    <row r="611" spans="1:17" ht="43.2" x14ac:dyDescent="0.3">
      <c r="A611" s="22" t="s">
        <v>7709</v>
      </c>
      <c r="B611" s="22" t="s">
        <v>9196</v>
      </c>
      <c r="C611" s="22" t="s">
        <v>7732</v>
      </c>
      <c r="D611" s="22" t="s">
        <v>7710</v>
      </c>
      <c r="E611" s="22" t="s">
        <v>6083</v>
      </c>
      <c r="F611" s="24" t="s">
        <v>6084</v>
      </c>
      <c r="G611" s="26" t="s">
        <v>22</v>
      </c>
      <c r="H611" s="22" t="s">
        <v>207</v>
      </c>
      <c r="I611" s="22"/>
      <c r="J611" s="22"/>
      <c r="K611" s="24"/>
      <c r="L611" s="24"/>
      <c r="M611" s="25" t="s">
        <v>6085</v>
      </c>
      <c r="N611" s="22"/>
      <c r="O611" s="22" t="s">
        <v>6086</v>
      </c>
      <c r="P611" s="22" t="str">
        <f>HYPERLINK("https://ceds.ed.gov/cedselementdetails.aspx?termid=21810")</f>
        <v>https://ceds.ed.gov/cedselementdetails.aspx?termid=21810</v>
      </c>
      <c r="Q611" s="22">
        <v>60258</v>
      </c>
    </row>
    <row r="612" spans="1:17" ht="172.8" x14ac:dyDescent="0.3">
      <c r="A612" s="22" t="s">
        <v>7709</v>
      </c>
      <c r="B612" s="22" t="s">
        <v>9196</v>
      </c>
      <c r="C612" s="22" t="s">
        <v>7732</v>
      </c>
      <c r="D612" s="22" t="s">
        <v>7710</v>
      </c>
      <c r="E612" s="22" t="s">
        <v>6055</v>
      </c>
      <c r="F612" s="24" t="s">
        <v>6056</v>
      </c>
      <c r="G612" s="26" t="s">
        <v>9096</v>
      </c>
      <c r="H612" s="22" t="s">
        <v>207</v>
      </c>
      <c r="I612" s="22"/>
      <c r="J612" s="22"/>
      <c r="K612" s="24"/>
      <c r="L612" s="24"/>
      <c r="M612" s="25" t="s">
        <v>6057</v>
      </c>
      <c r="N612" s="22"/>
      <c r="O612" s="22" t="s">
        <v>6058</v>
      </c>
      <c r="P612" s="22" t="str">
        <f>HYPERLINK("https://ceds.ed.gov/cedselementdetails.aspx?termid=21811")</f>
        <v>https://ceds.ed.gov/cedselementdetails.aspx?termid=21811</v>
      </c>
      <c r="Q612" s="22">
        <v>60259</v>
      </c>
    </row>
    <row r="613" spans="1:17" ht="57.6" x14ac:dyDescent="0.3">
      <c r="A613" s="22" t="s">
        <v>7709</v>
      </c>
      <c r="B613" s="22" t="s">
        <v>9196</v>
      </c>
      <c r="C613" s="22" t="s">
        <v>7732</v>
      </c>
      <c r="D613" s="22" t="s">
        <v>7710</v>
      </c>
      <c r="E613" s="22" t="s">
        <v>7304</v>
      </c>
      <c r="F613" s="24" t="s">
        <v>7305</v>
      </c>
      <c r="G613" s="26" t="s">
        <v>22</v>
      </c>
      <c r="H613" s="22"/>
      <c r="I613" s="22"/>
      <c r="J613" s="22"/>
      <c r="K613" s="24"/>
      <c r="L613" s="24" t="s">
        <v>7306</v>
      </c>
      <c r="M613" s="25" t="s">
        <v>7307</v>
      </c>
      <c r="N613" s="22"/>
      <c r="O613" s="22" t="s">
        <v>7308</v>
      </c>
      <c r="P613" s="22" t="str">
        <f>HYPERLINK("https://ceds.ed.gov/cedselementdetails.aspx?termid=22554")</f>
        <v>https://ceds.ed.gov/cedselementdetails.aspx?termid=22554</v>
      </c>
      <c r="Q613" s="22">
        <v>61929</v>
      </c>
    </row>
    <row r="614" spans="1:17" ht="43.2" x14ac:dyDescent="0.3">
      <c r="A614" s="22" t="s">
        <v>7709</v>
      </c>
      <c r="B614" s="22" t="s">
        <v>9196</v>
      </c>
      <c r="C614" s="22" t="s">
        <v>7732</v>
      </c>
      <c r="D614" s="22" t="s">
        <v>7710</v>
      </c>
      <c r="E614" s="22" t="s">
        <v>1884</v>
      </c>
      <c r="F614" s="24" t="s">
        <v>1885</v>
      </c>
      <c r="G614" s="23" t="s">
        <v>32</v>
      </c>
      <c r="H614" s="22" t="s">
        <v>207</v>
      </c>
      <c r="I614" s="22"/>
      <c r="J614" s="22" t="s">
        <v>118</v>
      </c>
      <c r="K614" s="24"/>
      <c r="L614" s="24"/>
      <c r="M614" s="25" t="s">
        <v>1886</v>
      </c>
      <c r="N614" s="22" t="s">
        <v>1887</v>
      </c>
      <c r="O614" s="22" t="s">
        <v>1888</v>
      </c>
      <c r="P614" s="22" t="str">
        <f>HYPERLINK("https://ceds.ed.gov/cedselementdetails.aspx?termid=22065")</f>
        <v>https://ceds.ed.gov/cedselementdetails.aspx?termid=22065</v>
      </c>
      <c r="Q614" s="22">
        <v>59500</v>
      </c>
    </row>
    <row r="615" spans="1:17" ht="28.8" x14ac:dyDescent="0.3">
      <c r="A615" s="22" t="s">
        <v>7709</v>
      </c>
      <c r="B615" s="22" t="s">
        <v>9196</v>
      </c>
      <c r="C615" s="22" t="s">
        <v>7732</v>
      </c>
      <c r="D615" s="22" t="s">
        <v>7710</v>
      </c>
      <c r="E615" s="22" t="s">
        <v>4037</v>
      </c>
      <c r="F615" s="24" t="s">
        <v>4038</v>
      </c>
      <c r="G615" s="23" t="s">
        <v>32</v>
      </c>
      <c r="H615" s="22" t="s">
        <v>207</v>
      </c>
      <c r="I615" s="22"/>
      <c r="J615" s="22" t="s">
        <v>118</v>
      </c>
      <c r="K615" s="24"/>
      <c r="L615" s="24"/>
      <c r="M615" s="25" t="s">
        <v>4039</v>
      </c>
      <c r="N615" s="22"/>
      <c r="O615" s="22" t="s">
        <v>4040</v>
      </c>
      <c r="P615" s="22" t="str">
        <f>HYPERLINK("https://ceds.ed.gov/cedselementdetails.aspx?termid=22066")</f>
        <v>https://ceds.ed.gov/cedselementdetails.aspx?termid=22066</v>
      </c>
      <c r="Q615" s="22">
        <v>59501</v>
      </c>
    </row>
    <row r="616" spans="1:17" ht="115.2" x14ac:dyDescent="0.3">
      <c r="A616" s="22" t="s">
        <v>7709</v>
      </c>
      <c r="B616" s="22" t="s">
        <v>9196</v>
      </c>
      <c r="C616" s="22" t="s">
        <v>7732</v>
      </c>
      <c r="D616" s="22" t="s">
        <v>7710</v>
      </c>
      <c r="E616" s="22" t="s">
        <v>3312</v>
      </c>
      <c r="F616" s="24" t="s">
        <v>3313</v>
      </c>
      <c r="G616" s="26" t="s">
        <v>8815</v>
      </c>
      <c r="H616" s="22" t="s">
        <v>207</v>
      </c>
      <c r="I616" s="22"/>
      <c r="J616" s="22"/>
      <c r="K616" s="24"/>
      <c r="L616" s="24"/>
      <c r="M616" s="25" t="s">
        <v>3314</v>
      </c>
      <c r="N616" s="22"/>
      <c r="O616" s="22" t="s">
        <v>3315</v>
      </c>
      <c r="P616" s="22" t="str">
        <f>HYPERLINK("https://ceds.ed.gov/cedselementdetails.aspx?termid=21812")</f>
        <v>https://ceds.ed.gov/cedselementdetails.aspx?termid=21812</v>
      </c>
      <c r="Q616" s="22">
        <v>60260</v>
      </c>
    </row>
    <row r="617" spans="1:17" ht="43.2" x14ac:dyDescent="0.3">
      <c r="A617" s="22" t="s">
        <v>7709</v>
      </c>
      <c r="B617" s="22" t="s">
        <v>9196</v>
      </c>
      <c r="C617" s="22" t="s">
        <v>7732</v>
      </c>
      <c r="D617" s="22" t="s">
        <v>7710</v>
      </c>
      <c r="E617" s="22" t="s">
        <v>6962</v>
      </c>
      <c r="F617" s="24" t="s">
        <v>6963</v>
      </c>
      <c r="G617" s="26" t="s">
        <v>22</v>
      </c>
      <c r="H617" s="22" t="s">
        <v>207</v>
      </c>
      <c r="I617" s="22"/>
      <c r="J617" s="22"/>
      <c r="K617" s="24"/>
      <c r="L617" s="24"/>
      <c r="M617" s="25" t="s">
        <v>6964</v>
      </c>
      <c r="N617" s="22"/>
      <c r="O617" s="22" t="s">
        <v>6965</v>
      </c>
      <c r="P617" s="22" t="str">
        <f>HYPERLINK("https://ceds.ed.gov/cedselementdetails.aspx?termid=21813")</f>
        <v>https://ceds.ed.gov/cedselementdetails.aspx?termid=21813</v>
      </c>
      <c r="Q617" s="22">
        <v>60261</v>
      </c>
    </row>
    <row r="618" spans="1:17" ht="115.2" x14ac:dyDescent="0.3">
      <c r="A618" s="22" t="s">
        <v>7709</v>
      </c>
      <c r="B618" s="22" t="s">
        <v>9196</v>
      </c>
      <c r="C618" s="22" t="s">
        <v>7732</v>
      </c>
      <c r="D618" s="22" t="s">
        <v>7710</v>
      </c>
      <c r="E618" s="22" t="s">
        <v>6958</v>
      </c>
      <c r="F618" s="24" t="s">
        <v>6959</v>
      </c>
      <c r="G618" s="26" t="s">
        <v>22</v>
      </c>
      <c r="H618" s="22" t="s">
        <v>207</v>
      </c>
      <c r="I618" s="22"/>
      <c r="J618" s="22"/>
      <c r="K618" s="24"/>
      <c r="L618" s="24" t="s">
        <v>8331</v>
      </c>
      <c r="M618" s="25" t="s">
        <v>6960</v>
      </c>
      <c r="N618" s="22"/>
      <c r="O618" s="22" t="s">
        <v>6961</v>
      </c>
      <c r="P618" s="22" t="str">
        <f>HYPERLINK("https://ceds.ed.gov/cedselementdetails.aspx?termid=21814")</f>
        <v>https://ceds.ed.gov/cedselementdetails.aspx?termid=21814</v>
      </c>
      <c r="Q618" s="22">
        <v>60262</v>
      </c>
    </row>
    <row r="619" spans="1:17" ht="158.4" x14ac:dyDescent="0.3">
      <c r="A619" s="22" t="s">
        <v>7709</v>
      </c>
      <c r="B619" s="22" t="s">
        <v>9196</v>
      </c>
      <c r="C619" s="22" t="s">
        <v>7732</v>
      </c>
      <c r="D619" s="22" t="s">
        <v>7710</v>
      </c>
      <c r="E619" s="22" t="s">
        <v>3376</v>
      </c>
      <c r="F619" s="24" t="s">
        <v>3377</v>
      </c>
      <c r="G619" s="26" t="s">
        <v>8823</v>
      </c>
      <c r="H619" s="22"/>
      <c r="I619" s="22"/>
      <c r="J619" s="22"/>
      <c r="K619" s="24"/>
      <c r="L619" s="24"/>
      <c r="M619" s="25" t="s">
        <v>3378</v>
      </c>
      <c r="N619" s="22"/>
      <c r="O619" s="22" t="s">
        <v>3379</v>
      </c>
      <c r="P619" s="22" t="str">
        <f>HYPERLINK("https://ceds.ed.gov/cedselementdetails.aspx?termid=22304")</f>
        <v>https://ceds.ed.gov/cedselementdetails.aspx?termid=22304</v>
      </c>
      <c r="Q619" s="22">
        <v>61143</v>
      </c>
    </row>
    <row r="620" spans="1:17" ht="43.2" x14ac:dyDescent="0.3">
      <c r="A620" s="22" t="s">
        <v>7709</v>
      </c>
      <c r="B620" s="22" t="s">
        <v>9196</v>
      </c>
      <c r="C620" s="22" t="s">
        <v>7732</v>
      </c>
      <c r="D620" s="22" t="s">
        <v>7710</v>
      </c>
      <c r="E620" s="22" t="s">
        <v>6047</v>
      </c>
      <c r="F620" s="24" t="s">
        <v>6048</v>
      </c>
      <c r="G620" s="26" t="s">
        <v>9026</v>
      </c>
      <c r="H620" s="22"/>
      <c r="I620" s="22"/>
      <c r="J620" s="22"/>
      <c r="K620" s="24"/>
      <c r="L620" s="24"/>
      <c r="M620" s="25" t="s">
        <v>6049</v>
      </c>
      <c r="N620" s="22"/>
      <c r="O620" s="22" t="s">
        <v>6050</v>
      </c>
      <c r="P620" s="22" t="str">
        <f>HYPERLINK("https://ceds.ed.gov/cedselementdetails.aspx?termid=22399")</f>
        <v>https://ceds.ed.gov/cedselementdetails.aspx?termid=22399</v>
      </c>
      <c r="Q620" s="22">
        <v>61329</v>
      </c>
    </row>
    <row r="621" spans="1:17" ht="43.2" x14ac:dyDescent="0.3">
      <c r="A621" s="22" t="s">
        <v>7709</v>
      </c>
      <c r="B621" s="22" t="s">
        <v>9196</v>
      </c>
      <c r="C621" s="22" t="s">
        <v>7732</v>
      </c>
      <c r="D621" s="22" t="s">
        <v>7710</v>
      </c>
      <c r="E621" s="22" t="s">
        <v>6079</v>
      </c>
      <c r="F621" s="24" t="s">
        <v>6080</v>
      </c>
      <c r="G621" s="26" t="s">
        <v>22</v>
      </c>
      <c r="H621" s="22"/>
      <c r="I621" s="22"/>
      <c r="J621" s="22"/>
      <c r="K621" s="24"/>
      <c r="L621" s="24"/>
      <c r="M621" s="25" t="s">
        <v>6081</v>
      </c>
      <c r="N621" s="22"/>
      <c r="O621" s="22" t="s">
        <v>6082</v>
      </c>
      <c r="P621" s="22" t="str">
        <f>HYPERLINK("https://ceds.ed.gov/cedselementdetails.aspx?termid=22415")</f>
        <v>https://ceds.ed.gov/cedselementdetails.aspx?termid=22415</v>
      </c>
      <c r="Q621" s="22">
        <v>61350</v>
      </c>
    </row>
    <row r="622" spans="1:17" ht="172.8" x14ac:dyDescent="0.3">
      <c r="A622" s="22" t="s">
        <v>7709</v>
      </c>
      <c r="B622" s="22" t="s">
        <v>9196</v>
      </c>
      <c r="C622" s="22" t="s">
        <v>7774</v>
      </c>
      <c r="D622" s="22" t="s">
        <v>7710</v>
      </c>
      <c r="E622" s="22" t="s">
        <v>6911</v>
      </c>
      <c r="F622" s="24" t="s">
        <v>6912</v>
      </c>
      <c r="G622" s="23" t="s">
        <v>32</v>
      </c>
      <c r="H622" s="24" t="s">
        <v>6915</v>
      </c>
      <c r="I622" s="22" t="s">
        <v>172</v>
      </c>
      <c r="J622" s="22" t="s">
        <v>132</v>
      </c>
      <c r="K622" s="24" t="s">
        <v>7946</v>
      </c>
      <c r="L622" s="24" t="s">
        <v>7945</v>
      </c>
      <c r="M622" s="25" t="s">
        <v>6913</v>
      </c>
      <c r="N622" s="22"/>
      <c r="O622" s="22" t="s">
        <v>6914</v>
      </c>
      <c r="P622" s="22" t="str">
        <f>HYPERLINK("https://ceds.ed.gov/cedselementdetails.aspx?termid=21156")</f>
        <v>https://ceds.ed.gov/cedselementdetails.aspx?termid=21156</v>
      </c>
      <c r="Q622" s="22">
        <v>61514</v>
      </c>
    </row>
    <row r="623" spans="1:17" ht="244.8" x14ac:dyDescent="0.3">
      <c r="A623" s="22" t="s">
        <v>7709</v>
      </c>
      <c r="B623" s="22" t="s">
        <v>9196</v>
      </c>
      <c r="C623" s="22" t="s">
        <v>7774</v>
      </c>
      <c r="D623" s="22" t="s">
        <v>7710</v>
      </c>
      <c r="E623" s="22" t="s">
        <v>6906</v>
      </c>
      <c r="F623" s="24" t="s">
        <v>6907</v>
      </c>
      <c r="G623" s="26" t="s">
        <v>8531</v>
      </c>
      <c r="H623" s="24" t="s">
        <v>6910</v>
      </c>
      <c r="I623" s="22" t="s">
        <v>172</v>
      </c>
      <c r="J623" s="22"/>
      <c r="K623" s="24" t="s">
        <v>7946</v>
      </c>
      <c r="L623" s="24"/>
      <c r="M623" s="25" t="s">
        <v>6908</v>
      </c>
      <c r="N623" s="22"/>
      <c r="O623" s="22" t="s">
        <v>6909</v>
      </c>
      <c r="P623" s="22" t="str">
        <f>HYPERLINK("https://ceds.ed.gov/cedselementdetails.aspx?termid=21162")</f>
        <v>https://ceds.ed.gov/cedselementdetails.aspx?termid=21162</v>
      </c>
      <c r="Q623" s="22">
        <v>61515</v>
      </c>
    </row>
    <row r="624" spans="1:17" ht="86.4" x14ac:dyDescent="0.3">
      <c r="A624" s="22" t="s">
        <v>7709</v>
      </c>
      <c r="B624" s="22" t="s">
        <v>9196</v>
      </c>
      <c r="C624" s="22" t="s">
        <v>7774</v>
      </c>
      <c r="D624" s="22" t="s">
        <v>7710</v>
      </c>
      <c r="E624" s="22" t="s">
        <v>5860</v>
      </c>
      <c r="F624" s="24" t="s">
        <v>5861</v>
      </c>
      <c r="G624" s="23" t="s">
        <v>32</v>
      </c>
      <c r="H624" s="24" t="s">
        <v>5865</v>
      </c>
      <c r="I624" s="22"/>
      <c r="J624" s="22" t="s">
        <v>85</v>
      </c>
      <c r="K624" s="24"/>
      <c r="L624" s="24"/>
      <c r="M624" s="25" t="s">
        <v>5862</v>
      </c>
      <c r="N624" s="22" t="s">
        <v>5863</v>
      </c>
      <c r="O624" s="22" t="s">
        <v>5864</v>
      </c>
      <c r="P624" s="22" t="str">
        <f>HYPERLINK("https://ceds.ed.gov/cedselementdetails.aspx?termid=21212")</f>
        <v>https://ceds.ed.gov/cedselementdetails.aspx?termid=21212</v>
      </c>
      <c r="Q624" s="22">
        <v>61318</v>
      </c>
    </row>
    <row r="625" spans="1:17" ht="158.4" x14ac:dyDescent="0.3">
      <c r="A625" s="22" t="s">
        <v>7709</v>
      </c>
      <c r="B625" s="22" t="s">
        <v>9196</v>
      </c>
      <c r="C625" s="22" t="s">
        <v>7774</v>
      </c>
      <c r="D625" s="22" t="s">
        <v>7710</v>
      </c>
      <c r="E625" s="22" t="s">
        <v>4050</v>
      </c>
      <c r="F625" s="24" t="s">
        <v>4051</v>
      </c>
      <c r="G625" s="23" t="s">
        <v>32</v>
      </c>
      <c r="H625" s="24" t="s">
        <v>4054</v>
      </c>
      <c r="I625" s="22"/>
      <c r="J625" s="22" t="s">
        <v>7536</v>
      </c>
      <c r="K625" s="24"/>
      <c r="L625" s="24" t="s">
        <v>8200</v>
      </c>
      <c r="M625" s="25" t="s">
        <v>4052</v>
      </c>
      <c r="N625" s="22"/>
      <c r="O625" s="22" t="s">
        <v>4053</v>
      </c>
      <c r="P625" s="22" t="str">
        <f>HYPERLINK("https://ceds.ed.gov/cedselementdetails.aspx?termid=21115")</f>
        <v>https://ceds.ed.gov/cedselementdetails.aspx?termid=21115</v>
      </c>
      <c r="Q625" s="22">
        <v>61315</v>
      </c>
    </row>
    <row r="626" spans="1:17" ht="158.4" x14ac:dyDescent="0.3">
      <c r="A626" s="22" t="s">
        <v>7709</v>
      </c>
      <c r="B626" s="22" t="s">
        <v>9196</v>
      </c>
      <c r="C626" s="22" t="s">
        <v>7774</v>
      </c>
      <c r="D626" s="22" t="s">
        <v>7710</v>
      </c>
      <c r="E626" s="22" t="s">
        <v>5415</v>
      </c>
      <c r="F626" s="24" t="s">
        <v>5416</v>
      </c>
      <c r="G626" s="23" t="s">
        <v>32</v>
      </c>
      <c r="H626" s="24" t="s">
        <v>4054</v>
      </c>
      <c r="I626" s="22"/>
      <c r="J626" s="22" t="s">
        <v>7536</v>
      </c>
      <c r="K626" s="24"/>
      <c r="L626" s="24" t="s">
        <v>8207</v>
      </c>
      <c r="M626" s="25" t="s">
        <v>5417</v>
      </c>
      <c r="N626" s="22"/>
      <c r="O626" s="22" t="s">
        <v>5418</v>
      </c>
      <c r="P626" s="22" t="str">
        <f>HYPERLINK("https://ceds.ed.gov/cedselementdetails.aspx?termid=21184")</f>
        <v>https://ceds.ed.gov/cedselementdetails.aspx?termid=21184</v>
      </c>
      <c r="Q626" s="22">
        <v>61316</v>
      </c>
    </row>
    <row r="627" spans="1:17" ht="158.4" x14ac:dyDescent="0.3">
      <c r="A627" s="22" t="s">
        <v>7709</v>
      </c>
      <c r="B627" s="22" t="s">
        <v>9196</v>
      </c>
      <c r="C627" s="22" t="s">
        <v>7774</v>
      </c>
      <c r="D627" s="22" t="s">
        <v>7710</v>
      </c>
      <c r="E627" s="22" t="s">
        <v>4973</v>
      </c>
      <c r="F627" s="24" t="s">
        <v>4974</v>
      </c>
      <c r="G627" s="23" t="s">
        <v>32</v>
      </c>
      <c r="H627" s="24" t="s">
        <v>4054</v>
      </c>
      <c r="I627" s="22"/>
      <c r="J627" s="22" t="s">
        <v>7536</v>
      </c>
      <c r="K627" s="24"/>
      <c r="L627" s="24" t="s">
        <v>8207</v>
      </c>
      <c r="M627" s="25" t="s">
        <v>4975</v>
      </c>
      <c r="N627" s="22" t="s">
        <v>4976</v>
      </c>
      <c r="O627" s="22" t="s">
        <v>4977</v>
      </c>
      <c r="P627" s="22" t="str">
        <f>HYPERLINK("https://ceds.ed.gov/cedselementdetails.aspx?termid=21172")</f>
        <v>https://ceds.ed.gov/cedselementdetails.aspx?termid=21172</v>
      </c>
      <c r="Q627" s="22">
        <v>61317</v>
      </c>
    </row>
    <row r="628" spans="1:17" ht="129.6" x14ac:dyDescent="0.3">
      <c r="A628" s="22" t="s">
        <v>7709</v>
      </c>
      <c r="B628" s="22" t="s">
        <v>9196</v>
      </c>
      <c r="C628" s="22" t="s">
        <v>7774</v>
      </c>
      <c r="D628" s="22" t="s">
        <v>7710</v>
      </c>
      <c r="E628" s="22" t="s">
        <v>4114</v>
      </c>
      <c r="F628" s="24" t="s">
        <v>4115</v>
      </c>
      <c r="G628" s="23" t="s">
        <v>32</v>
      </c>
      <c r="H628" s="24" t="s">
        <v>4119</v>
      </c>
      <c r="I628" s="22"/>
      <c r="J628" s="22" t="s">
        <v>2743</v>
      </c>
      <c r="K628" s="24"/>
      <c r="L628" s="24" t="s">
        <v>8207</v>
      </c>
      <c r="M628" s="25" t="s">
        <v>4117</v>
      </c>
      <c r="N628" s="22"/>
      <c r="O628" s="22" t="s">
        <v>4118</v>
      </c>
      <c r="P628" s="22" t="str">
        <f>HYPERLINK("https://ceds.ed.gov/cedselementdetails.aspx?termid=21121")</f>
        <v>https://ceds.ed.gov/cedselementdetails.aspx?termid=21121</v>
      </c>
      <c r="Q628" s="22">
        <v>61319</v>
      </c>
    </row>
    <row r="629" spans="1:17" ht="72" x14ac:dyDescent="0.3">
      <c r="A629" s="22" t="s">
        <v>7709</v>
      </c>
      <c r="B629" s="22" t="s">
        <v>9196</v>
      </c>
      <c r="C629" s="22" t="s">
        <v>7774</v>
      </c>
      <c r="D629" s="22" t="s">
        <v>7710</v>
      </c>
      <c r="E629" s="22" t="s">
        <v>5873</v>
      </c>
      <c r="F629" s="24" t="s">
        <v>5874</v>
      </c>
      <c r="G629" s="23" t="s">
        <v>32</v>
      </c>
      <c r="H629" s="24" t="s">
        <v>64</v>
      </c>
      <c r="I629" s="22" t="s">
        <v>172</v>
      </c>
      <c r="J629" s="22" t="s">
        <v>1339</v>
      </c>
      <c r="K629" s="24" t="s">
        <v>7946</v>
      </c>
      <c r="L629" s="24"/>
      <c r="M629" s="25" t="s">
        <v>5875</v>
      </c>
      <c r="N629" s="22"/>
      <c r="O629" s="22" t="s">
        <v>5876</v>
      </c>
      <c r="P629" s="22" t="str">
        <f>HYPERLINK("https://ceds.ed.gov/cedselementdetails.aspx?termid=21213")</f>
        <v>https://ceds.ed.gov/cedselementdetails.aspx?termid=21213</v>
      </c>
      <c r="Q629" s="22">
        <v>61314</v>
      </c>
    </row>
    <row r="630" spans="1:17" ht="129.6" x14ac:dyDescent="0.3">
      <c r="A630" s="22" t="s">
        <v>7709</v>
      </c>
      <c r="B630" s="22" t="s">
        <v>9196</v>
      </c>
      <c r="C630" s="22" t="s">
        <v>7774</v>
      </c>
      <c r="D630" s="22" t="s">
        <v>7710</v>
      </c>
      <c r="E630" s="22" t="s">
        <v>3435</v>
      </c>
      <c r="F630" s="24" t="s">
        <v>3436</v>
      </c>
      <c r="G630" s="26" t="s">
        <v>8831</v>
      </c>
      <c r="H630" s="22"/>
      <c r="I630" s="22"/>
      <c r="J630" s="22"/>
      <c r="K630" s="24"/>
      <c r="L630" s="24"/>
      <c r="M630" s="25" t="s">
        <v>3437</v>
      </c>
      <c r="N630" s="22"/>
      <c r="O630" s="22" t="s">
        <v>3438</v>
      </c>
      <c r="P630" s="22" t="str">
        <f>HYPERLINK("https://ceds.ed.gov/cedselementdetails.aspx?termid=22585")</f>
        <v>https://ceds.ed.gov/cedselementdetails.aspx?termid=22585</v>
      </c>
      <c r="Q630" s="22">
        <v>62075</v>
      </c>
    </row>
    <row r="631" spans="1:17" ht="115.2" x14ac:dyDescent="0.3">
      <c r="A631" s="22" t="s">
        <v>7709</v>
      </c>
      <c r="B631" s="22" t="s">
        <v>9196</v>
      </c>
      <c r="C631" s="22" t="s">
        <v>7774</v>
      </c>
      <c r="D631" s="22" t="s">
        <v>7710</v>
      </c>
      <c r="E631" s="22" t="s">
        <v>7268</v>
      </c>
      <c r="F631" s="24" t="s">
        <v>7269</v>
      </c>
      <c r="G631" s="23" t="s">
        <v>32</v>
      </c>
      <c r="H631" s="22"/>
      <c r="I631" s="22"/>
      <c r="J631" s="22" t="s">
        <v>780</v>
      </c>
      <c r="K631" s="24"/>
      <c r="L631" s="24" t="s">
        <v>8331</v>
      </c>
      <c r="M631" s="25" t="s">
        <v>7270</v>
      </c>
      <c r="N631" s="22"/>
      <c r="O631" s="22" t="s">
        <v>7271</v>
      </c>
      <c r="P631" s="22" t="str">
        <f>HYPERLINK("https://ceds.ed.gov/cedselementdetails.aspx?termid=22609")</f>
        <v>https://ceds.ed.gov/cedselementdetails.aspx?termid=22609</v>
      </c>
      <c r="Q631" s="22">
        <v>62109</v>
      </c>
    </row>
    <row r="632" spans="1:17" ht="100.8" x14ac:dyDescent="0.3">
      <c r="A632" s="22" t="s">
        <v>7709</v>
      </c>
      <c r="B632" s="22" t="s">
        <v>9196</v>
      </c>
      <c r="C632" s="22" t="s">
        <v>7774</v>
      </c>
      <c r="D632" s="22" t="s">
        <v>7710</v>
      </c>
      <c r="E632" s="22" t="s">
        <v>203</v>
      </c>
      <c r="F632" s="24" t="s">
        <v>204</v>
      </c>
      <c r="G632" s="26" t="s">
        <v>8577</v>
      </c>
      <c r="H632" s="22" t="s">
        <v>207</v>
      </c>
      <c r="I632" s="22"/>
      <c r="J632" s="22" t="s">
        <v>85</v>
      </c>
      <c r="K632" s="24"/>
      <c r="L632" s="24"/>
      <c r="M632" s="25" t="s">
        <v>205</v>
      </c>
      <c r="N632" s="22"/>
      <c r="O632" s="22" t="s">
        <v>206</v>
      </c>
      <c r="P632" s="22" t="str">
        <f>HYPERLINK("https://ceds.ed.gov/cedselementdetails.aspx?termid=21698")</f>
        <v>https://ceds.ed.gov/cedselementdetails.aspx?termid=21698</v>
      </c>
      <c r="Q632" s="22">
        <v>61349</v>
      </c>
    </row>
    <row r="633" spans="1:17" ht="187.2" x14ac:dyDescent="0.3">
      <c r="A633" s="22" t="s">
        <v>7709</v>
      </c>
      <c r="B633" s="22" t="s">
        <v>9196</v>
      </c>
      <c r="C633" s="22" t="s">
        <v>7774</v>
      </c>
      <c r="D633" s="22" t="s">
        <v>7710</v>
      </c>
      <c r="E633" s="22" t="s">
        <v>189</v>
      </c>
      <c r="F633" s="24" t="s">
        <v>190</v>
      </c>
      <c r="G633" s="23" t="s">
        <v>32</v>
      </c>
      <c r="H633" s="24" t="s">
        <v>175</v>
      </c>
      <c r="I633" s="22" t="s">
        <v>172</v>
      </c>
      <c r="J633" s="22" t="s">
        <v>191</v>
      </c>
      <c r="K633" s="24" t="s">
        <v>7946</v>
      </c>
      <c r="L633" s="24"/>
      <c r="M633" s="25" t="s">
        <v>192</v>
      </c>
      <c r="N633" s="22"/>
      <c r="O633" s="22" t="s">
        <v>193</v>
      </c>
      <c r="P633" s="22" t="str">
        <f>HYPERLINK("https://ceds.ed.gov/cedselementdetails.aspx?termid=21269")</f>
        <v>https://ceds.ed.gov/cedselementdetails.aspx?termid=21269</v>
      </c>
      <c r="Q633" s="22">
        <v>61348</v>
      </c>
    </row>
    <row r="634" spans="1:17" ht="187.2" x14ac:dyDescent="0.3">
      <c r="A634" s="22" t="s">
        <v>7709</v>
      </c>
      <c r="B634" s="22" t="s">
        <v>9196</v>
      </c>
      <c r="C634" s="22" t="s">
        <v>7774</v>
      </c>
      <c r="D634" s="22" t="s">
        <v>7710</v>
      </c>
      <c r="E634" s="22" t="s">
        <v>170</v>
      </c>
      <c r="F634" s="24" t="s">
        <v>171</v>
      </c>
      <c r="G634" s="23" t="s">
        <v>32</v>
      </c>
      <c r="H634" s="24" t="s">
        <v>175</v>
      </c>
      <c r="I634" s="22" t="s">
        <v>172</v>
      </c>
      <c r="J634" s="22" t="s">
        <v>157</v>
      </c>
      <c r="K634" s="24" t="s">
        <v>7946</v>
      </c>
      <c r="L634" s="24"/>
      <c r="M634" s="25" t="s">
        <v>173</v>
      </c>
      <c r="N634" s="22"/>
      <c r="O634" s="22" t="s">
        <v>174</v>
      </c>
      <c r="P634" s="22" t="str">
        <f>HYPERLINK("https://ceds.ed.gov/cedselementdetails.aspx?termid=21019")</f>
        <v>https://ceds.ed.gov/cedselementdetails.aspx?termid=21019</v>
      </c>
      <c r="Q634" s="22">
        <v>61344</v>
      </c>
    </row>
    <row r="635" spans="1:17" ht="187.2" x14ac:dyDescent="0.3">
      <c r="A635" s="22" t="s">
        <v>7709</v>
      </c>
      <c r="B635" s="22" t="s">
        <v>9196</v>
      </c>
      <c r="C635" s="22" t="s">
        <v>7774</v>
      </c>
      <c r="D635" s="22" t="s">
        <v>7710</v>
      </c>
      <c r="E635" s="22" t="s">
        <v>176</v>
      </c>
      <c r="F635" s="24" t="s">
        <v>177</v>
      </c>
      <c r="G635" s="23" t="s">
        <v>32</v>
      </c>
      <c r="H635" s="24" t="s">
        <v>175</v>
      </c>
      <c r="I635" s="22" t="s">
        <v>172</v>
      </c>
      <c r="J635" s="22" t="s">
        <v>85</v>
      </c>
      <c r="K635" s="24" t="s">
        <v>7946</v>
      </c>
      <c r="L635" s="24"/>
      <c r="M635" s="25" t="s">
        <v>178</v>
      </c>
      <c r="N635" s="22"/>
      <c r="O635" s="22" t="s">
        <v>179</v>
      </c>
      <c r="P635" s="22" t="str">
        <f>HYPERLINK("https://ceds.ed.gov/cedselementdetails.aspx?termid=21040")</f>
        <v>https://ceds.ed.gov/cedselementdetails.aspx?termid=21040</v>
      </c>
      <c r="Q635" s="22">
        <v>61345</v>
      </c>
    </row>
    <row r="636" spans="1:17" ht="409.6" x14ac:dyDescent="0.3">
      <c r="A636" s="22" t="s">
        <v>7709</v>
      </c>
      <c r="B636" s="22" t="s">
        <v>9196</v>
      </c>
      <c r="C636" s="22" t="s">
        <v>7774</v>
      </c>
      <c r="D636" s="22" t="s">
        <v>7710</v>
      </c>
      <c r="E636" s="22" t="s">
        <v>6941</v>
      </c>
      <c r="F636" s="24" t="s">
        <v>6942</v>
      </c>
      <c r="G636" s="26" t="s">
        <v>8533</v>
      </c>
      <c r="H636" s="24" t="s">
        <v>6945</v>
      </c>
      <c r="I636" s="22" t="s">
        <v>172</v>
      </c>
      <c r="J636" s="22"/>
      <c r="K636" s="24" t="s">
        <v>8327</v>
      </c>
      <c r="L636" s="24"/>
      <c r="M636" s="25" t="s">
        <v>6943</v>
      </c>
      <c r="N636" s="22"/>
      <c r="O636" s="22" t="s">
        <v>6944</v>
      </c>
      <c r="P636" s="22" t="str">
        <f>HYPERLINK("https://ceds.ed.gov/cedselementdetails.aspx?termid=21267")</f>
        <v>https://ceds.ed.gov/cedselementdetails.aspx?termid=21267</v>
      </c>
      <c r="Q636" s="22">
        <v>61346</v>
      </c>
    </row>
    <row r="637" spans="1:17" ht="187.2" x14ac:dyDescent="0.3">
      <c r="A637" s="22" t="s">
        <v>7709</v>
      </c>
      <c r="B637" s="22" t="s">
        <v>9196</v>
      </c>
      <c r="C637" s="22" t="s">
        <v>7774</v>
      </c>
      <c r="D637" s="22" t="s">
        <v>7710</v>
      </c>
      <c r="E637" s="22" t="s">
        <v>184</v>
      </c>
      <c r="F637" s="24" t="s">
        <v>185</v>
      </c>
      <c r="G637" s="23" t="s">
        <v>32</v>
      </c>
      <c r="H637" s="24" t="s">
        <v>175</v>
      </c>
      <c r="I637" s="22" t="s">
        <v>172</v>
      </c>
      <c r="J637" s="22" t="s">
        <v>186</v>
      </c>
      <c r="K637" s="24" t="s">
        <v>7946</v>
      </c>
      <c r="L637" s="24"/>
      <c r="M637" s="25" t="s">
        <v>187</v>
      </c>
      <c r="N637" s="22"/>
      <c r="O637" s="22" t="s">
        <v>188</v>
      </c>
      <c r="P637" s="22" t="str">
        <f>HYPERLINK("https://ceds.ed.gov/cedselementdetails.aspx?termid=21214")</f>
        <v>https://ceds.ed.gov/cedselementdetails.aspx?termid=21214</v>
      </c>
      <c r="Q637" s="22">
        <v>61347</v>
      </c>
    </row>
    <row r="638" spans="1:17" ht="72" x14ac:dyDescent="0.3">
      <c r="A638" s="22" t="s">
        <v>7709</v>
      </c>
      <c r="B638" s="22" t="s">
        <v>9196</v>
      </c>
      <c r="C638" s="22" t="s">
        <v>7774</v>
      </c>
      <c r="D638" s="22" t="s">
        <v>7710</v>
      </c>
      <c r="E638" s="22" t="s">
        <v>5965</v>
      </c>
      <c r="F638" s="24" t="s">
        <v>5966</v>
      </c>
      <c r="G638" s="26" t="s">
        <v>22</v>
      </c>
      <c r="H638" s="24" t="s">
        <v>64</v>
      </c>
      <c r="I638" s="22"/>
      <c r="J638" s="22"/>
      <c r="K638" s="24"/>
      <c r="L638" s="24"/>
      <c r="M638" s="25" t="s">
        <v>5967</v>
      </c>
      <c r="N638" s="22"/>
      <c r="O638" s="22" t="s">
        <v>5968</v>
      </c>
      <c r="P638" s="22" t="str">
        <f>HYPERLINK("https://ceds.ed.gov/cedselementdetails.aspx?termid=21219")</f>
        <v>https://ceds.ed.gov/cedselementdetails.aspx?termid=21219</v>
      </c>
      <c r="Q638" s="22">
        <v>61326</v>
      </c>
    </row>
    <row r="639" spans="1:17" ht="86.4" x14ac:dyDescent="0.3">
      <c r="A639" s="22" t="s">
        <v>7709</v>
      </c>
      <c r="B639" s="22" t="s">
        <v>9196</v>
      </c>
      <c r="C639" s="22" t="s">
        <v>7774</v>
      </c>
      <c r="D639" s="22" t="s">
        <v>7710</v>
      </c>
      <c r="E639" s="22" t="s">
        <v>7168</v>
      </c>
      <c r="F639" s="24" t="s">
        <v>7169</v>
      </c>
      <c r="G639" s="26" t="s">
        <v>9168</v>
      </c>
      <c r="H639" s="24" t="s">
        <v>64</v>
      </c>
      <c r="I639" s="22"/>
      <c r="J639" s="22" t="s">
        <v>2543</v>
      </c>
      <c r="K639" s="24"/>
      <c r="L639" s="24"/>
      <c r="M639" s="25" t="s">
        <v>7170</v>
      </c>
      <c r="N639" s="22"/>
      <c r="O639" s="22" t="s">
        <v>7171</v>
      </c>
      <c r="P639" s="22" t="str">
        <f>HYPERLINK("https://ceds.ed.gov/cedselementdetails.aspx?termid=21280")</f>
        <v>https://ceds.ed.gov/cedselementdetails.aspx?termid=21280</v>
      </c>
      <c r="Q639" s="22">
        <v>61448</v>
      </c>
    </row>
    <row r="640" spans="1:17" ht="72" x14ac:dyDescent="0.3">
      <c r="A640" s="22" t="s">
        <v>7709</v>
      </c>
      <c r="B640" s="22" t="s">
        <v>9196</v>
      </c>
      <c r="C640" s="22" t="s">
        <v>7774</v>
      </c>
      <c r="D640" s="22" t="s">
        <v>7710</v>
      </c>
      <c r="E640" s="22" t="s">
        <v>7159</v>
      </c>
      <c r="F640" s="24" t="s">
        <v>7160</v>
      </c>
      <c r="G640" s="23" t="s">
        <v>32</v>
      </c>
      <c r="H640" s="24" t="s">
        <v>64</v>
      </c>
      <c r="I640" s="22"/>
      <c r="J640" s="22" t="s">
        <v>7161</v>
      </c>
      <c r="K640" s="24"/>
      <c r="L640" s="24"/>
      <c r="M640" s="25" t="s">
        <v>7162</v>
      </c>
      <c r="N640" s="22"/>
      <c r="O640" s="22" t="s">
        <v>7163</v>
      </c>
      <c r="P640" s="22" t="str">
        <f>HYPERLINK("https://ceds.ed.gov/cedselementdetails.aspx?termid=21279")</f>
        <v>https://ceds.ed.gov/cedselementdetails.aspx?termid=21279</v>
      </c>
      <c r="Q640" s="22">
        <v>61446</v>
      </c>
    </row>
    <row r="641" spans="1:17" ht="158.4" x14ac:dyDescent="0.3">
      <c r="A641" s="22" t="s">
        <v>7709</v>
      </c>
      <c r="B641" s="22" t="s">
        <v>9196</v>
      </c>
      <c r="C641" s="22" t="s">
        <v>7774</v>
      </c>
      <c r="D641" s="22" t="s">
        <v>7710</v>
      </c>
      <c r="E641" s="22" t="s">
        <v>2536</v>
      </c>
      <c r="F641" s="24" t="s">
        <v>2537</v>
      </c>
      <c r="G641" s="23" t="s">
        <v>32</v>
      </c>
      <c r="H641" s="22"/>
      <c r="I641" s="22"/>
      <c r="J641" s="22" t="s">
        <v>2538</v>
      </c>
      <c r="K641" s="24"/>
      <c r="L641" s="24"/>
      <c r="M641" s="25" t="s">
        <v>2539</v>
      </c>
      <c r="N641" s="22"/>
      <c r="O641" s="22" t="s">
        <v>2540</v>
      </c>
      <c r="P641" s="22" t="str">
        <f>HYPERLINK("https://ceds.ed.gov/cedselementdetails.aspx?termid=22176")</f>
        <v>https://ceds.ed.gov/cedselementdetails.aspx?termid=22176</v>
      </c>
      <c r="Q641" s="22">
        <v>63289</v>
      </c>
    </row>
    <row r="642" spans="1:17" ht="57.6" x14ac:dyDescent="0.3">
      <c r="A642" s="22" t="s">
        <v>7709</v>
      </c>
      <c r="B642" s="22" t="s">
        <v>9196</v>
      </c>
      <c r="C642" s="22" t="s">
        <v>7774</v>
      </c>
      <c r="D642" s="22" t="s">
        <v>7710</v>
      </c>
      <c r="E642" s="22" t="s">
        <v>3228</v>
      </c>
      <c r="F642" s="24" t="s">
        <v>3229</v>
      </c>
      <c r="G642" s="26" t="s">
        <v>3039</v>
      </c>
      <c r="H642" s="22"/>
      <c r="I642" s="22" t="s">
        <v>172</v>
      </c>
      <c r="J642" s="22"/>
      <c r="K642" s="24" t="s">
        <v>7946</v>
      </c>
      <c r="L642" s="24"/>
      <c r="M642" s="25" t="s">
        <v>3230</v>
      </c>
      <c r="N642" s="22"/>
      <c r="O642" s="22" t="s">
        <v>3231</v>
      </c>
      <c r="P642" s="22" t="str">
        <f>HYPERLINK("https://ceds.ed.gov/cedselementdetails.aspx?termid=22905")</f>
        <v>https://ceds.ed.gov/cedselementdetails.aspx?termid=22905</v>
      </c>
      <c r="Q642" s="22">
        <v>63290</v>
      </c>
    </row>
    <row r="643" spans="1:17" ht="57.6" x14ac:dyDescent="0.3">
      <c r="A643" s="22" t="s">
        <v>7709</v>
      </c>
      <c r="B643" s="22" t="s">
        <v>9196</v>
      </c>
      <c r="C643" s="22" t="s">
        <v>7774</v>
      </c>
      <c r="D643" s="22" t="s">
        <v>7710</v>
      </c>
      <c r="E643" s="22" t="s">
        <v>7164</v>
      </c>
      <c r="F643" s="24" t="s">
        <v>7165</v>
      </c>
      <c r="G643" s="26" t="s">
        <v>9167</v>
      </c>
      <c r="H643" s="22"/>
      <c r="I643" s="22"/>
      <c r="J643" s="22"/>
      <c r="K643" s="24"/>
      <c r="L643" s="24"/>
      <c r="M643" s="25" t="s">
        <v>7166</v>
      </c>
      <c r="N643" s="22"/>
      <c r="O643" s="22" t="s">
        <v>7167</v>
      </c>
      <c r="P643" s="22" t="str">
        <f>HYPERLINK("https://ceds.ed.gov/cedselementdetails.aspx?termid=22911")</f>
        <v>https://ceds.ed.gov/cedselementdetails.aspx?termid=22911</v>
      </c>
      <c r="Q643" s="22">
        <v>63291</v>
      </c>
    </row>
    <row r="644" spans="1:17" ht="100.8" x14ac:dyDescent="0.3">
      <c r="A644" s="22" t="s">
        <v>7709</v>
      </c>
      <c r="B644" s="22" t="s">
        <v>9196</v>
      </c>
      <c r="C644" s="22" t="s">
        <v>7775</v>
      </c>
      <c r="D644" s="22" t="s">
        <v>7710</v>
      </c>
      <c r="E644" s="22" t="s">
        <v>6018</v>
      </c>
      <c r="F644" s="24" t="s">
        <v>6019</v>
      </c>
      <c r="G644" s="23" t="s">
        <v>32</v>
      </c>
      <c r="H644" s="22" t="s">
        <v>207</v>
      </c>
      <c r="I644" s="22"/>
      <c r="J644" s="22" t="s">
        <v>132</v>
      </c>
      <c r="K644" s="24"/>
      <c r="L644" s="24" t="s">
        <v>133</v>
      </c>
      <c r="M644" s="25" t="s">
        <v>6020</v>
      </c>
      <c r="N644" s="22"/>
      <c r="O644" s="22" t="s">
        <v>6021</v>
      </c>
      <c r="P644" s="22" t="str">
        <f>HYPERLINK("https://ceds.ed.gov/cedselementdetails.aspx?termid=21808")</f>
        <v>https://ceds.ed.gov/cedselementdetails.aspx?termid=21808</v>
      </c>
      <c r="Q644" s="22">
        <v>60256</v>
      </c>
    </row>
    <row r="645" spans="1:17" ht="43.2" x14ac:dyDescent="0.3">
      <c r="A645" s="22" t="s">
        <v>7709</v>
      </c>
      <c r="B645" s="22" t="s">
        <v>9196</v>
      </c>
      <c r="C645" s="22" t="s">
        <v>7775</v>
      </c>
      <c r="D645" s="22" t="s">
        <v>7710</v>
      </c>
      <c r="E645" s="22" t="s">
        <v>6038</v>
      </c>
      <c r="F645" s="24" t="s">
        <v>6039</v>
      </c>
      <c r="G645" s="23" t="s">
        <v>32</v>
      </c>
      <c r="H645" s="22" t="s">
        <v>207</v>
      </c>
      <c r="I645" s="22"/>
      <c r="J645" s="22" t="s">
        <v>157</v>
      </c>
      <c r="K645" s="24"/>
      <c r="L645" s="24"/>
      <c r="M645" s="25" t="s">
        <v>6040</v>
      </c>
      <c r="N645" s="22"/>
      <c r="O645" s="22" t="s">
        <v>6041</v>
      </c>
      <c r="P645" s="22" t="str">
        <f>HYPERLINK("https://ceds.ed.gov/cedselementdetails.aspx?termid=21809")</f>
        <v>https://ceds.ed.gov/cedselementdetails.aspx?termid=21809</v>
      </c>
      <c r="Q645" s="22">
        <v>61340</v>
      </c>
    </row>
    <row r="646" spans="1:17" ht="158.4" x14ac:dyDescent="0.3">
      <c r="A646" s="22" t="s">
        <v>7709</v>
      </c>
      <c r="B646" s="22" t="s">
        <v>9196</v>
      </c>
      <c r="C646" s="22" t="s">
        <v>7775</v>
      </c>
      <c r="D646" s="22" t="s">
        <v>7710</v>
      </c>
      <c r="E646" s="22" t="s">
        <v>6042</v>
      </c>
      <c r="F646" s="24" t="s">
        <v>6043</v>
      </c>
      <c r="G646" s="26" t="s">
        <v>9093</v>
      </c>
      <c r="H646" s="22"/>
      <c r="I646" s="22"/>
      <c r="J646" s="22"/>
      <c r="K646" s="24"/>
      <c r="L646" s="24" t="s">
        <v>6044</v>
      </c>
      <c r="M646" s="25" t="s">
        <v>6045</v>
      </c>
      <c r="N646" s="22"/>
      <c r="O646" s="22" t="s">
        <v>6046</v>
      </c>
      <c r="P646" s="22" t="str">
        <f>HYPERLINK("https://ceds.ed.gov/cedselementdetails.aspx?termid=22412")</f>
        <v>https://ceds.ed.gov/cedselementdetails.aspx?termid=22412</v>
      </c>
      <c r="Q646" s="22">
        <v>61341</v>
      </c>
    </row>
    <row r="647" spans="1:17" ht="28.8" x14ac:dyDescent="0.3">
      <c r="A647" s="22" t="s">
        <v>7709</v>
      </c>
      <c r="B647" s="22" t="s">
        <v>9196</v>
      </c>
      <c r="C647" s="22" t="s">
        <v>7775</v>
      </c>
      <c r="D647" s="22" t="s">
        <v>7710</v>
      </c>
      <c r="E647" s="22" t="s">
        <v>6005</v>
      </c>
      <c r="F647" s="24" t="s">
        <v>6006</v>
      </c>
      <c r="G647" s="23" t="s">
        <v>32</v>
      </c>
      <c r="H647" s="22"/>
      <c r="I647" s="22"/>
      <c r="J647" s="22" t="s">
        <v>328</v>
      </c>
      <c r="K647" s="24"/>
      <c r="L647" s="24"/>
      <c r="M647" s="25" t="s">
        <v>6007</v>
      </c>
      <c r="N647" s="22"/>
      <c r="O647" s="22" t="s">
        <v>6008</v>
      </c>
      <c r="P647" s="22" t="str">
        <f>HYPERLINK("https://ceds.ed.gov/cedselementdetails.aspx?termid=22408")</f>
        <v>https://ceds.ed.gov/cedselementdetails.aspx?termid=22408</v>
      </c>
      <c r="Q647" s="22">
        <v>61337</v>
      </c>
    </row>
    <row r="648" spans="1:17" ht="409.6" x14ac:dyDescent="0.3">
      <c r="A648" s="22" t="s">
        <v>7709</v>
      </c>
      <c r="B648" s="22" t="s">
        <v>9196</v>
      </c>
      <c r="C648" s="22" t="s">
        <v>7775</v>
      </c>
      <c r="D648" s="22" t="s">
        <v>7710</v>
      </c>
      <c r="E648" s="22" t="s">
        <v>6009</v>
      </c>
      <c r="F648" s="24" t="s">
        <v>6010</v>
      </c>
      <c r="G648" s="26" t="s">
        <v>9089</v>
      </c>
      <c r="H648" s="22"/>
      <c r="I648" s="22"/>
      <c r="J648" s="22"/>
      <c r="K648" s="24"/>
      <c r="L648" s="24" t="s">
        <v>6011</v>
      </c>
      <c r="M648" s="25" t="s">
        <v>6012</v>
      </c>
      <c r="N648" s="22"/>
      <c r="O648" s="22" t="s">
        <v>6013</v>
      </c>
      <c r="P648" s="22" t="str">
        <f>HYPERLINK("https://ceds.ed.gov/cedselementdetails.aspx?termid=22245")</f>
        <v>https://ceds.ed.gov/cedselementdetails.aspx?termid=22245</v>
      </c>
      <c r="Q648" s="22">
        <v>61062</v>
      </c>
    </row>
    <row r="649" spans="1:17" ht="28.8" x14ac:dyDescent="0.3">
      <c r="A649" s="22" t="s">
        <v>7709</v>
      </c>
      <c r="B649" s="22" t="s">
        <v>9196</v>
      </c>
      <c r="C649" s="22" t="s">
        <v>7775</v>
      </c>
      <c r="D649" s="22" t="s">
        <v>7710</v>
      </c>
      <c r="E649" s="22" t="s">
        <v>6026</v>
      </c>
      <c r="F649" s="24" t="s">
        <v>6027</v>
      </c>
      <c r="G649" s="23" t="s">
        <v>32</v>
      </c>
      <c r="H649" s="22"/>
      <c r="I649" s="22"/>
      <c r="J649" s="22" t="s">
        <v>328</v>
      </c>
      <c r="K649" s="24"/>
      <c r="L649" s="24"/>
      <c r="M649" s="25" t="s">
        <v>6028</v>
      </c>
      <c r="N649" s="22"/>
      <c r="O649" s="22" t="s">
        <v>6029</v>
      </c>
      <c r="P649" s="22" t="str">
        <f>HYPERLINK("https://ceds.ed.gov/cedselementdetails.aspx?termid=22410")</f>
        <v>https://ceds.ed.gov/cedselementdetails.aspx?termid=22410</v>
      </c>
      <c r="Q649" s="22">
        <v>61338</v>
      </c>
    </row>
    <row r="650" spans="1:17" ht="57.6" x14ac:dyDescent="0.3">
      <c r="A650" s="22" t="s">
        <v>7709</v>
      </c>
      <c r="B650" s="22" t="s">
        <v>9196</v>
      </c>
      <c r="C650" s="22" t="s">
        <v>7775</v>
      </c>
      <c r="D650" s="22" t="s">
        <v>7710</v>
      </c>
      <c r="E650" s="22" t="s">
        <v>6022</v>
      </c>
      <c r="F650" s="24" t="s">
        <v>6023</v>
      </c>
      <c r="G650" s="26" t="s">
        <v>9090</v>
      </c>
      <c r="H650" s="22"/>
      <c r="I650" s="22"/>
      <c r="J650" s="22"/>
      <c r="K650" s="24"/>
      <c r="L650" s="24"/>
      <c r="M650" s="25" t="s">
        <v>6024</v>
      </c>
      <c r="N650" s="22"/>
      <c r="O650" s="22" t="s">
        <v>6025</v>
      </c>
      <c r="P650" s="22" t="str">
        <f>HYPERLINK("https://ceds.ed.gov/cedselementdetails.aspx?termid=22409")</f>
        <v>https://ceds.ed.gov/cedselementdetails.aspx?termid=22409</v>
      </c>
      <c r="Q650" s="22">
        <v>61339</v>
      </c>
    </row>
    <row r="651" spans="1:17" ht="72" x14ac:dyDescent="0.3">
      <c r="A651" s="22" t="s">
        <v>7709</v>
      </c>
      <c r="B651" s="22" t="s">
        <v>9196</v>
      </c>
      <c r="C651" s="22" t="s">
        <v>7775</v>
      </c>
      <c r="D651" s="22" t="s">
        <v>7710</v>
      </c>
      <c r="E651" s="22" t="s">
        <v>5997</v>
      </c>
      <c r="F651" s="24" t="s">
        <v>5998</v>
      </c>
      <c r="G651" s="26" t="s">
        <v>9087</v>
      </c>
      <c r="H651" s="22"/>
      <c r="I651" s="22"/>
      <c r="J651" s="22"/>
      <c r="K651" s="24"/>
      <c r="L651" s="24"/>
      <c r="M651" s="25" t="s">
        <v>5999</v>
      </c>
      <c r="N651" s="22"/>
      <c r="O651" s="22" t="s">
        <v>6000</v>
      </c>
      <c r="P651" s="22" t="str">
        <f>HYPERLINK("https://ceds.ed.gov/cedselementdetails.aspx?termid=22406")</f>
        <v>https://ceds.ed.gov/cedselementdetails.aspx?termid=22406</v>
      </c>
      <c r="Q651" s="22">
        <v>61335</v>
      </c>
    </row>
    <row r="652" spans="1:17" ht="28.8" x14ac:dyDescent="0.3">
      <c r="A652" s="22" t="s">
        <v>7709</v>
      </c>
      <c r="B652" s="22" t="s">
        <v>9196</v>
      </c>
      <c r="C652" s="22" t="s">
        <v>7775</v>
      </c>
      <c r="D652" s="22" t="s">
        <v>7710</v>
      </c>
      <c r="E652" s="22" t="s">
        <v>6001</v>
      </c>
      <c r="F652" s="24" t="s">
        <v>6002</v>
      </c>
      <c r="G652" s="23" t="s">
        <v>32</v>
      </c>
      <c r="H652" s="22"/>
      <c r="I652" s="22"/>
      <c r="J652" s="22" t="s">
        <v>1518</v>
      </c>
      <c r="K652" s="24"/>
      <c r="L652" s="24"/>
      <c r="M652" s="25" t="s">
        <v>6003</v>
      </c>
      <c r="N652" s="22"/>
      <c r="O652" s="22" t="s">
        <v>6004</v>
      </c>
      <c r="P652" s="22" t="str">
        <f>HYPERLINK("https://ceds.ed.gov/cedselementdetails.aspx?termid=22407")</f>
        <v>https://ceds.ed.gov/cedselementdetails.aspx?termid=22407</v>
      </c>
      <c r="Q652" s="22">
        <v>61336</v>
      </c>
    </row>
    <row r="653" spans="1:17" ht="403.2" x14ac:dyDescent="0.3">
      <c r="A653" s="22" t="s">
        <v>7709</v>
      </c>
      <c r="B653" s="22" t="s">
        <v>9196</v>
      </c>
      <c r="C653" s="22" t="s">
        <v>7775</v>
      </c>
      <c r="D653" s="22" t="s">
        <v>7710</v>
      </c>
      <c r="E653" s="22" t="s">
        <v>6034</v>
      </c>
      <c r="F653" s="24" t="s">
        <v>6035</v>
      </c>
      <c r="G653" s="26" t="s">
        <v>9092</v>
      </c>
      <c r="H653" s="22"/>
      <c r="I653" s="22"/>
      <c r="J653" s="22"/>
      <c r="K653" s="24"/>
      <c r="L653" s="24"/>
      <c r="M653" s="25" t="s">
        <v>6036</v>
      </c>
      <c r="N653" s="22"/>
      <c r="O653" s="22" t="s">
        <v>6037</v>
      </c>
      <c r="P653" s="22" t="str">
        <f>HYPERLINK("https://ceds.ed.gov/cedselementdetails.aspx?termid=22464")</f>
        <v>https://ceds.ed.gov/cedselementdetails.aspx?termid=22464</v>
      </c>
      <c r="Q653" s="22">
        <v>61432</v>
      </c>
    </row>
    <row r="654" spans="1:17" ht="115.2" x14ac:dyDescent="0.3">
      <c r="A654" s="22" t="s">
        <v>7709</v>
      </c>
      <c r="B654" s="22" t="s">
        <v>9196</v>
      </c>
      <c r="C654" s="22" t="s">
        <v>7775</v>
      </c>
      <c r="D654" s="22" t="s">
        <v>7710</v>
      </c>
      <c r="E654" s="22" t="s">
        <v>6110</v>
      </c>
      <c r="F654" s="24" t="s">
        <v>6111</v>
      </c>
      <c r="G654" s="23" t="s">
        <v>7423</v>
      </c>
      <c r="H654" s="22"/>
      <c r="I654" s="22"/>
      <c r="J654" s="22"/>
      <c r="K654" s="24"/>
      <c r="L654" s="24" t="s">
        <v>7994</v>
      </c>
      <c r="M654" s="25" t="s">
        <v>6112</v>
      </c>
      <c r="N654" s="22"/>
      <c r="O654" s="22" t="s">
        <v>6113</v>
      </c>
      <c r="P654" s="22" t="str">
        <f>HYPERLINK("https://ceds.ed.gov/cedselementdetails.aspx?termid=22357")</f>
        <v>https://ceds.ed.gov/cedselementdetails.aspx?termid=22357</v>
      </c>
      <c r="Q654" s="22">
        <v>61861</v>
      </c>
    </row>
    <row r="655" spans="1:17" ht="43.2" x14ac:dyDescent="0.3">
      <c r="A655" s="22" t="s">
        <v>7709</v>
      </c>
      <c r="B655" s="22" t="s">
        <v>9196</v>
      </c>
      <c r="C655" s="22" t="s">
        <v>7775</v>
      </c>
      <c r="D655" s="22" t="s">
        <v>7710</v>
      </c>
      <c r="E655" s="22" t="s">
        <v>6030</v>
      </c>
      <c r="F655" s="24" t="s">
        <v>6031</v>
      </c>
      <c r="G655" s="26" t="s">
        <v>22</v>
      </c>
      <c r="H655" s="22"/>
      <c r="I655" s="22"/>
      <c r="J655" s="22"/>
      <c r="K655" s="24"/>
      <c r="L655" s="24"/>
      <c r="M655" s="25" t="s">
        <v>6032</v>
      </c>
      <c r="N655" s="22"/>
      <c r="O655" s="22" t="s">
        <v>6033</v>
      </c>
      <c r="P655" s="22" t="str">
        <f>HYPERLINK("https://ceds.ed.gov/cedselementdetails.aspx?termid=22598")</f>
        <v>https://ceds.ed.gov/cedselementdetails.aspx?termid=22598</v>
      </c>
      <c r="Q655" s="22">
        <v>62097</v>
      </c>
    </row>
    <row r="656" spans="1:17" ht="43.2" x14ac:dyDescent="0.3">
      <c r="A656" s="22" t="s">
        <v>7709</v>
      </c>
      <c r="B656" s="22" t="s">
        <v>9196</v>
      </c>
      <c r="C656" s="22" t="s">
        <v>7775</v>
      </c>
      <c r="D656" s="22" t="s">
        <v>7710</v>
      </c>
      <c r="E656" s="22" t="s">
        <v>6014</v>
      </c>
      <c r="F656" s="24" t="s">
        <v>6015</v>
      </c>
      <c r="G656" s="23" t="s">
        <v>32</v>
      </c>
      <c r="H656" s="22"/>
      <c r="I656" s="22"/>
      <c r="J656" s="22" t="s">
        <v>118</v>
      </c>
      <c r="K656" s="24"/>
      <c r="L656" s="24"/>
      <c r="M656" s="25" t="s">
        <v>6016</v>
      </c>
      <c r="N656" s="22"/>
      <c r="O656" s="22" t="s">
        <v>6017</v>
      </c>
      <c r="P656" s="22" t="str">
        <f>HYPERLINK("https://ceds.ed.gov/cedselementdetails.aspx?termid=22421")</f>
        <v>https://ceds.ed.gov/cedselementdetails.aspx?termid=22421</v>
      </c>
      <c r="Q656" s="22">
        <v>61356</v>
      </c>
    </row>
    <row r="657" spans="1:17" ht="72" x14ac:dyDescent="0.3">
      <c r="A657" s="22" t="s">
        <v>7709</v>
      </c>
      <c r="B657" s="22" t="s">
        <v>9196</v>
      </c>
      <c r="C657" s="22" t="s">
        <v>7775</v>
      </c>
      <c r="D657" s="22" t="s">
        <v>7710</v>
      </c>
      <c r="E657" s="22" t="s">
        <v>5985</v>
      </c>
      <c r="F657" s="24" t="s">
        <v>5986</v>
      </c>
      <c r="G657" s="26" t="s">
        <v>9085</v>
      </c>
      <c r="H657" s="22"/>
      <c r="I657" s="22"/>
      <c r="J657" s="22"/>
      <c r="K657" s="24"/>
      <c r="L657" s="24"/>
      <c r="M657" s="25" t="s">
        <v>5987</v>
      </c>
      <c r="N657" s="22"/>
      <c r="O657" s="22" t="s">
        <v>5988</v>
      </c>
      <c r="P657" s="22" t="str">
        <f>HYPERLINK("https://ceds.ed.gov/cedselementdetails.aspx?termid=22403")</f>
        <v>https://ceds.ed.gov/cedselementdetails.aspx?termid=22403</v>
      </c>
      <c r="Q657" s="22">
        <v>61332</v>
      </c>
    </row>
    <row r="658" spans="1:17" ht="43.2" x14ac:dyDescent="0.3">
      <c r="A658" s="22" t="s">
        <v>7709</v>
      </c>
      <c r="B658" s="22" t="s">
        <v>9196</v>
      </c>
      <c r="C658" s="22" t="s">
        <v>7775</v>
      </c>
      <c r="D658" s="22" t="s">
        <v>7710</v>
      </c>
      <c r="E658" s="22" t="s">
        <v>5981</v>
      </c>
      <c r="F658" s="24" t="s">
        <v>5982</v>
      </c>
      <c r="G658" s="23" t="s">
        <v>32</v>
      </c>
      <c r="H658" s="22"/>
      <c r="I658" s="22"/>
      <c r="J658" s="22" t="s">
        <v>85</v>
      </c>
      <c r="K658" s="24"/>
      <c r="L658" s="24"/>
      <c r="M658" s="25" t="s">
        <v>5983</v>
      </c>
      <c r="N658" s="22"/>
      <c r="O658" s="22" t="s">
        <v>5984</v>
      </c>
      <c r="P658" s="22" t="str">
        <f>HYPERLINK("https://ceds.ed.gov/cedselementdetails.aspx?termid=22402")</f>
        <v>https://ceds.ed.gov/cedselementdetails.aspx?termid=22402</v>
      </c>
      <c r="Q658" s="22">
        <v>61331</v>
      </c>
    </row>
    <row r="659" spans="1:17" ht="57.6" x14ac:dyDescent="0.3">
      <c r="A659" s="22" t="s">
        <v>7709</v>
      </c>
      <c r="B659" s="22" t="s">
        <v>9196</v>
      </c>
      <c r="C659" s="22" t="s">
        <v>7775</v>
      </c>
      <c r="D659" s="22" t="s">
        <v>7710</v>
      </c>
      <c r="E659" s="22" t="s">
        <v>5989</v>
      </c>
      <c r="F659" s="24" t="s">
        <v>5990</v>
      </c>
      <c r="G659" s="23" t="s">
        <v>32</v>
      </c>
      <c r="H659" s="22"/>
      <c r="I659" s="22"/>
      <c r="J659" s="22" t="s">
        <v>85</v>
      </c>
      <c r="K659" s="24"/>
      <c r="L659" s="24"/>
      <c r="M659" s="25" t="s">
        <v>5991</v>
      </c>
      <c r="N659" s="22"/>
      <c r="O659" s="22" t="s">
        <v>5992</v>
      </c>
      <c r="P659" s="22" t="str">
        <f>HYPERLINK("https://ceds.ed.gov/cedselementdetails.aspx?termid=22404")</f>
        <v>https://ceds.ed.gov/cedselementdetails.aspx?termid=22404</v>
      </c>
      <c r="Q659" s="22">
        <v>61333</v>
      </c>
    </row>
    <row r="660" spans="1:17" ht="28.8" x14ac:dyDescent="0.3">
      <c r="A660" s="22" t="s">
        <v>7709</v>
      </c>
      <c r="B660" s="22" t="s">
        <v>9196</v>
      </c>
      <c r="C660" s="22" t="s">
        <v>7775</v>
      </c>
      <c r="D660" s="22" t="s">
        <v>7710</v>
      </c>
      <c r="E660" s="22" t="s">
        <v>5993</v>
      </c>
      <c r="F660" s="24" t="s">
        <v>5994</v>
      </c>
      <c r="G660" s="23" t="s">
        <v>32</v>
      </c>
      <c r="H660" s="22"/>
      <c r="I660" s="22"/>
      <c r="J660" s="22" t="s">
        <v>1518</v>
      </c>
      <c r="K660" s="24"/>
      <c r="L660" s="24"/>
      <c r="M660" s="25" t="s">
        <v>5995</v>
      </c>
      <c r="N660" s="22"/>
      <c r="O660" s="22" t="s">
        <v>5996</v>
      </c>
      <c r="P660" s="22" t="str">
        <f>HYPERLINK("https://ceds.ed.gov/cedselementdetails.aspx?termid=22405")</f>
        <v>https://ceds.ed.gov/cedselementdetails.aspx?termid=22405</v>
      </c>
      <c r="Q660" s="22">
        <v>61334</v>
      </c>
    </row>
    <row r="661" spans="1:17" ht="115.2" x14ac:dyDescent="0.3">
      <c r="A661" s="22" t="s">
        <v>7709</v>
      </c>
      <c r="B661" s="22" t="s">
        <v>9196</v>
      </c>
      <c r="C661" s="22" t="s">
        <v>7775</v>
      </c>
      <c r="D661" s="22" t="s">
        <v>7741</v>
      </c>
      <c r="E661" s="22" t="s">
        <v>7139</v>
      </c>
      <c r="F661" s="24" t="s">
        <v>7140</v>
      </c>
      <c r="G661" s="26" t="s">
        <v>22</v>
      </c>
      <c r="H661" s="22"/>
      <c r="I661" s="22" t="s">
        <v>172</v>
      </c>
      <c r="J661" s="22"/>
      <c r="K661" s="24" t="s">
        <v>7946</v>
      </c>
      <c r="L661" s="24" t="s">
        <v>8331</v>
      </c>
      <c r="M661" s="25" t="s">
        <v>7141</v>
      </c>
      <c r="N661" s="22"/>
      <c r="O661" s="22" t="s">
        <v>7142</v>
      </c>
      <c r="P661" s="22" t="str">
        <f>HYPERLINK("https://ceds.ed.gov/cedselementdetails.aspx?termid=22465")</f>
        <v>https://ceds.ed.gov/cedselementdetails.aspx?termid=22465</v>
      </c>
      <c r="Q661" s="22">
        <v>63865</v>
      </c>
    </row>
    <row r="662" spans="1:17" ht="115.2" x14ac:dyDescent="0.3">
      <c r="A662" s="22" t="s">
        <v>7709</v>
      </c>
      <c r="B662" s="22" t="s">
        <v>9196</v>
      </c>
      <c r="C662" s="22" t="s">
        <v>7775</v>
      </c>
      <c r="D662" s="22" t="s">
        <v>7741</v>
      </c>
      <c r="E662" s="22" t="s">
        <v>7143</v>
      </c>
      <c r="F662" s="24" t="s">
        <v>7144</v>
      </c>
      <c r="G662" s="26" t="s">
        <v>8550</v>
      </c>
      <c r="H662" s="22"/>
      <c r="I662" s="22" t="s">
        <v>172</v>
      </c>
      <c r="J662" s="22"/>
      <c r="K662" s="24" t="s">
        <v>7946</v>
      </c>
      <c r="L662" s="24" t="s">
        <v>8331</v>
      </c>
      <c r="M662" s="25" t="s">
        <v>7145</v>
      </c>
      <c r="N662" s="22"/>
      <c r="O662" s="22" t="s">
        <v>7146</v>
      </c>
      <c r="P662" s="22" t="str">
        <f>HYPERLINK("https://ceds.ed.gov/cedselementdetails.aspx?termid=22466")</f>
        <v>https://ceds.ed.gov/cedselementdetails.aspx?termid=22466</v>
      </c>
      <c r="Q662" s="22">
        <v>63866</v>
      </c>
    </row>
    <row r="663" spans="1:17" ht="172.8" x14ac:dyDescent="0.3">
      <c r="A663" s="22" t="s">
        <v>7709</v>
      </c>
      <c r="B663" s="22" t="s">
        <v>9196</v>
      </c>
      <c r="C663" s="22" t="s">
        <v>7776</v>
      </c>
      <c r="D663" s="22" t="s">
        <v>7710</v>
      </c>
      <c r="E663" s="22" t="s">
        <v>6107</v>
      </c>
      <c r="F663" s="24" t="s">
        <v>8279</v>
      </c>
      <c r="G663" s="23" t="s">
        <v>32</v>
      </c>
      <c r="H663" s="22"/>
      <c r="I663" s="22"/>
      <c r="J663" s="22" t="s">
        <v>132</v>
      </c>
      <c r="K663" s="24"/>
      <c r="L663" s="24" t="s">
        <v>7945</v>
      </c>
      <c r="M663" s="25" t="s">
        <v>6108</v>
      </c>
      <c r="N663" s="22"/>
      <c r="O663" s="22" t="s">
        <v>6109</v>
      </c>
      <c r="P663" s="22" t="str">
        <f>HYPERLINK("https://ceds.ed.gov/cedselementdetails.aspx?termid=22422")</f>
        <v>https://ceds.ed.gov/cedselementdetails.aspx?termid=22422</v>
      </c>
      <c r="Q663" s="22">
        <v>61357</v>
      </c>
    </row>
    <row r="664" spans="1:17" ht="28.8" x14ac:dyDescent="0.3">
      <c r="A664" s="22" t="s">
        <v>7709</v>
      </c>
      <c r="B664" s="22" t="s">
        <v>9196</v>
      </c>
      <c r="C664" s="22" t="s">
        <v>7776</v>
      </c>
      <c r="D664" s="22" t="s">
        <v>7710</v>
      </c>
      <c r="E664" s="22" t="s">
        <v>6118</v>
      </c>
      <c r="F664" s="24" t="s">
        <v>6119</v>
      </c>
      <c r="G664" s="23" t="s">
        <v>32</v>
      </c>
      <c r="H664" s="22"/>
      <c r="I664" s="22"/>
      <c r="J664" s="22" t="s">
        <v>118</v>
      </c>
      <c r="K664" s="24"/>
      <c r="L664" s="24"/>
      <c r="M664" s="25" t="s">
        <v>6120</v>
      </c>
      <c r="N664" s="22"/>
      <c r="O664" s="22" t="s">
        <v>6121</v>
      </c>
      <c r="P664" s="22" t="str">
        <f>HYPERLINK("https://ceds.ed.gov/cedselementdetails.aspx?termid=22426")</f>
        <v>https://ceds.ed.gov/cedselementdetails.aspx?termid=22426</v>
      </c>
      <c r="Q664" s="22">
        <v>61361</v>
      </c>
    </row>
    <row r="665" spans="1:17" ht="57.6" x14ac:dyDescent="0.3">
      <c r="A665" s="22" t="s">
        <v>7709</v>
      </c>
      <c r="B665" s="22" t="s">
        <v>9196</v>
      </c>
      <c r="C665" s="22" t="s">
        <v>7776</v>
      </c>
      <c r="D665" s="22" t="s">
        <v>7710</v>
      </c>
      <c r="E665" s="22" t="s">
        <v>6091</v>
      </c>
      <c r="F665" s="24" t="s">
        <v>6092</v>
      </c>
      <c r="G665" s="23" t="s">
        <v>32</v>
      </c>
      <c r="H665" s="22"/>
      <c r="I665" s="22"/>
      <c r="J665" s="22" t="s">
        <v>118</v>
      </c>
      <c r="K665" s="24"/>
      <c r="L665" s="24" t="s">
        <v>143</v>
      </c>
      <c r="M665" s="25" t="s">
        <v>6093</v>
      </c>
      <c r="N665" s="22"/>
      <c r="O665" s="22" t="s">
        <v>6094</v>
      </c>
      <c r="P665" s="22" t="str">
        <f>HYPERLINK("https://ceds.ed.gov/cedselementdetails.aspx?termid=22417")</f>
        <v>https://ceds.ed.gov/cedselementdetails.aspx?termid=22417</v>
      </c>
      <c r="Q665" s="22">
        <v>61352</v>
      </c>
    </row>
    <row r="666" spans="1:17" ht="28.8" x14ac:dyDescent="0.3">
      <c r="A666" s="22" t="s">
        <v>7709</v>
      </c>
      <c r="B666" s="22" t="s">
        <v>9196</v>
      </c>
      <c r="C666" s="22" t="s">
        <v>7776</v>
      </c>
      <c r="D666" s="22" t="s">
        <v>7710</v>
      </c>
      <c r="E666" s="22" t="s">
        <v>6122</v>
      </c>
      <c r="F666" s="24" t="s">
        <v>6123</v>
      </c>
      <c r="G666" s="23" t="s">
        <v>32</v>
      </c>
      <c r="H666" s="22"/>
      <c r="I666" s="22"/>
      <c r="J666" s="22" t="s">
        <v>2836</v>
      </c>
      <c r="K666" s="24"/>
      <c r="L666" s="24"/>
      <c r="M666" s="25" t="s">
        <v>6124</v>
      </c>
      <c r="N666" s="22"/>
      <c r="O666" s="22" t="s">
        <v>6125</v>
      </c>
      <c r="P666" s="22" t="str">
        <f>HYPERLINK("https://ceds.ed.gov/cedselementdetails.aspx?termid=22427")</f>
        <v>https://ceds.ed.gov/cedselementdetails.aspx?termid=22427</v>
      </c>
      <c r="Q666" s="22">
        <v>61362</v>
      </c>
    </row>
    <row r="667" spans="1:17" ht="28.8" x14ac:dyDescent="0.3">
      <c r="A667" s="22" t="s">
        <v>7709</v>
      </c>
      <c r="B667" s="22" t="s">
        <v>9196</v>
      </c>
      <c r="C667" s="22" t="s">
        <v>7776</v>
      </c>
      <c r="D667" s="22" t="s">
        <v>7710</v>
      </c>
      <c r="E667" s="22" t="s">
        <v>6095</v>
      </c>
      <c r="F667" s="24" t="s">
        <v>6096</v>
      </c>
      <c r="G667" s="23" t="s">
        <v>32</v>
      </c>
      <c r="H667" s="22"/>
      <c r="I667" s="22"/>
      <c r="J667" s="22" t="s">
        <v>2836</v>
      </c>
      <c r="K667" s="24"/>
      <c r="L667" s="24"/>
      <c r="M667" s="25" t="s">
        <v>6097</v>
      </c>
      <c r="N667" s="22"/>
      <c r="O667" s="22" t="s">
        <v>6098</v>
      </c>
      <c r="P667" s="22" t="str">
        <f>HYPERLINK("https://ceds.ed.gov/cedselementdetails.aspx?termid=22418")</f>
        <v>https://ceds.ed.gov/cedselementdetails.aspx?termid=22418</v>
      </c>
      <c r="Q667" s="22">
        <v>61353</v>
      </c>
    </row>
    <row r="668" spans="1:17" ht="43.2" x14ac:dyDescent="0.3">
      <c r="A668" s="22" t="s">
        <v>7709</v>
      </c>
      <c r="B668" s="22" t="s">
        <v>9196</v>
      </c>
      <c r="C668" s="22" t="s">
        <v>7776</v>
      </c>
      <c r="D668" s="22" t="s">
        <v>7710</v>
      </c>
      <c r="E668" s="22" t="s">
        <v>6087</v>
      </c>
      <c r="F668" s="24" t="s">
        <v>6088</v>
      </c>
      <c r="G668" s="23" t="s">
        <v>32</v>
      </c>
      <c r="H668" s="22"/>
      <c r="I668" s="22"/>
      <c r="J668" s="22" t="s">
        <v>317</v>
      </c>
      <c r="K668" s="24"/>
      <c r="L668" s="24"/>
      <c r="M668" s="25" t="s">
        <v>6089</v>
      </c>
      <c r="N668" s="22"/>
      <c r="O668" s="22" t="s">
        <v>6090</v>
      </c>
      <c r="P668" s="22" t="str">
        <f>HYPERLINK("https://ceds.ed.gov/cedselementdetails.aspx?termid=22416")</f>
        <v>https://ceds.ed.gov/cedselementdetails.aspx?termid=22416</v>
      </c>
      <c r="Q668" s="22">
        <v>61351</v>
      </c>
    </row>
    <row r="669" spans="1:17" ht="129.6" x14ac:dyDescent="0.3">
      <c r="A669" s="22" t="s">
        <v>7709</v>
      </c>
      <c r="B669" s="22" t="s">
        <v>9196</v>
      </c>
      <c r="C669" s="22" t="s">
        <v>7776</v>
      </c>
      <c r="D669" s="22" t="s">
        <v>7710</v>
      </c>
      <c r="E669" s="22" t="s">
        <v>3435</v>
      </c>
      <c r="F669" s="24" t="s">
        <v>3436</v>
      </c>
      <c r="G669" s="26" t="s">
        <v>8831</v>
      </c>
      <c r="H669" s="22"/>
      <c r="I669" s="22"/>
      <c r="J669" s="22"/>
      <c r="K669" s="24"/>
      <c r="L669" s="24"/>
      <c r="M669" s="25" t="s">
        <v>3437</v>
      </c>
      <c r="N669" s="22"/>
      <c r="O669" s="22" t="s">
        <v>3438</v>
      </c>
      <c r="P669" s="22" t="str">
        <f>HYPERLINK("https://ceds.ed.gov/cedselementdetails.aspx?termid=22585")</f>
        <v>https://ceds.ed.gov/cedselementdetails.aspx?termid=22585</v>
      </c>
      <c r="Q669" s="22">
        <v>62076</v>
      </c>
    </row>
    <row r="670" spans="1:17" ht="115.2" x14ac:dyDescent="0.3">
      <c r="A670" s="22" t="s">
        <v>7709</v>
      </c>
      <c r="B670" s="22" t="s">
        <v>9196</v>
      </c>
      <c r="C670" s="22" t="s">
        <v>7776</v>
      </c>
      <c r="D670" s="22" t="s">
        <v>7710</v>
      </c>
      <c r="E670" s="22" t="s">
        <v>7268</v>
      </c>
      <c r="F670" s="24" t="s">
        <v>7269</v>
      </c>
      <c r="G670" s="23" t="s">
        <v>32</v>
      </c>
      <c r="H670" s="22"/>
      <c r="I670" s="22"/>
      <c r="J670" s="22" t="s">
        <v>780</v>
      </c>
      <c r="K670" s="24"/>
      <c r="L670" s="24" t="s">
        <v>8331</v>
      </c>
      <c r="M670" s="25" t="s">
        <v>7270</v>
      </c>
      <c r="N670" s="22"/>
      <c r="O670" s="22" t="s">
        <v>7271</v>
      </c>
      <c r="P670" s="22" t="str">
        <f>HYPERLINK("https://ceds.ed.gov/cedselementdetails.aspx?termid=22609")</f>
        <v>https://ceds.ed.gov/cedselementdetails.aspx?termid=22609</v>
      </c>
      <c r="Q670" s="22">
        <v>62110</v>
      </c>
    </row>
    <row r="671" spans="1:17" ht="72" x14ac:dyDescent="0.3">
      <c r="A671" s="22" t="s">
        <v>7709</v>
      </c>
      <c r="B671" s="22" t="s">
        <v>9196</v>
      </c>
      <c r="C671" s="22" t="s">
        <v>7776</v>
      </c>
      <c r="D671" s="22" t="s">
        <v>7710</v>
      </c>
      <c r="E671" s="22" t="s">
        <v>6051</v>
      </c>
      <c r="F671" s="24" t="s">
        <v>6052</v>
      </c>
      <c r="G671" s="26" t="s">
        <v>8550</v>
      </c>
      <c r="H671" s="22"/>
      <c r="I671" s="22"/>
      <c r="J671" s="22"/>
      <c r="K671" s="24"/>
      <c r="L671" s="24"/>
      <c r="M671" s="25" t="s">
        <v>6053</v>
      </c>
      <c r="N671" s="22"/>
      <c r="O671" s="22" t="s">
        <v>6054</v>
      </c>
      <c r="P671" s="22" t="str">
        <f>HYPERLINK("https://ceds.ed.gov/cedselementdetails.aspx?termid=22401")</f>
        <v>https://ceds.ed.gov/cedselementdetails.aspx?termid=22401</v>
      </c>
      <c r="Q671" s="22">
        <v>61330</v>
      </c>
    </row>
    <row r="672" spans="1:17" ht="158.4" x14ac:dyDescent="0.3">
      <c r="A672" s="22" t="s">
        <v>7709</v>
      </c>
      <c r="B672" s="22" t="s">
        <v>9196</v>
      </c>
      <c r="C672" s="22" t="s">
        <v>7776</v>
      </c>
      <c r="D672" s="22" t="s">
        <v>7710</v>
      </c>
      <c r="E672" s="22" t="s">
        <v>6063</v>
      </c>
      <c r="F672" s="24" t="s">
        <v>6064</v>
      </c>
      <c r="G672" s="26" t="s">
        <v>9099</v>
      </c>
      <c r="H672" s="22"/>
      <c r="I672" s="22"/>
      <c r="J672" s="22"/>
      <c r="K672" s="24"/>
      <c r="L672" s="24"/>
      <c r="M672" s="25" t="s">
        <v>6065</v>
      </c>
      <c r="N672" s="22"/>
      <c r="O672" s="22" t="s">
        <v>6066</v>
      </c>
      <c r="P672" s="22" t="str">
        <f>HYPERLINK("https://ceds.ed.gov/cedselementdetails.aspx?termid=22429")</f>
        <v>https://ceds.ed.gov/cedselementdetails.aspx?termid=22429</v>
      </c>
      <c r="Q672" s="22">
        <v>61364</v>
      </c>
    </row>
    <row r="673" spans="1:17" x14ac:dyDescent="0.3">
      <c r="A673" s="22" t="s">
        <v>7709</v>
      </c>
      <c r="B673" s="22" t="s">
        <v>9196</v>
      </c>
      <c r="C673" s="22" t="s">
        <v>7776</v>
      </c>
      <c r="D673" s="22" t="s">
        <v>7710</v>
      </c>
      <c r="E673" s="22" t="s">
        <v>6847</v>
      </c>
      <c r="F673" s="24" t="s">
        <v>6848</v>
      </c>
      <c r="G673" s="23" t="s">
        <v>32</v>
      </c>
      <c r="H673" s="22"/>
      <c r="I673" s="22"/>
      <c r="J673" s="22" t="s">
        <v>157</v>
      </c>
      <c r="K673" s="24"/>
      <c r="L673" s="24"/>
      <c r="M673" s="25" t="s">
        <v>6849</v>
      </c>
      <c r="N673" s="22"/>
      <c r="O673" s="22" t="s">
        <v>6850</v>
      </c>
      <c r="P673" s="22" t="str">
        <f>HYPERLINK("https://ceds.ed.gov/cedselementdetails.aspx?termid=22461")</f>
        <v>https://ceds.ed.gov/cedselementdetails.aspx?termid=22461</v>
      </c>
      <c r="Q673" s="22">
        <v>61427</v>
      </c>
    </row>
    <row r="674" spans="1:17" ht="172.8" x14ac:dyDescent="0.3">
      <c r="A674" s="22" t="s">
        <v>7709</v>
      </c>
      <c r="B674" s="22" t="s">
        <v>9196</v>
      </c>
      <c r="C674" s="22" t="s">
        <v>7776</v>
      </c>
      <c r="D674" s="22" t="s">
        <v>7710</v>
      </c>
      <c r="E674" s="22" t="s">
        <v>6067</v>
      </c>
      <c r="F674" s="24" t="s">
        <v>6068</v>
      </c>
      <c r="G674" s="23" t="s">
        <v>32</v>
      </c>
      <c r="H674" s="22"/>
      <c r="I674" s="22"/>
      <c r="J674" s="22" t="s">
        <v>132</v>
      </c>
      <c r="K674" s="24"/>
      <c r="L674" s="24" t="s">
        <v>7945</v>
      </c>
      <c r="M674" s="25" t="s">
        <v>6069</v>
      </c>
      <c r="N674" s="22"/>
      <c r="O674" s="22" t="s">
        <v>6070</v>
      </c>
      <c r="P674" s="22" t="str">
        <f>HYPERLINK("https://ceds.ed.gov/cedselementdetails.aspx?termid=22414")</f>
        <v>https://ceds.ed.gov/cedselementdetails.aspx?termid=22414</v>
      </c>
      <c r="Q674" s="22">
        <v>61343</v>
      </c>
    </row>
    <row r="675" spans="1:17" ht="28.8" x14ac:dyDescent="0.3">
      <c r="A675" s="22" t="s">
        <v>7709</v>
      </c>
      <c r="B675" s="22" t="s">
        <v>9196</v>
      </c>
      <c r="C675" s="22" t="s">
        <v>7776</v>
      </c>
      <c r="D675" s="22" t="s">
        <v>7710</v>
      </c>
      <c r="E675" s="22" t="s">
        <v>6059</v>
      </c>
      <c r="F675" s="24" t="s">
        <v>6060</v>
      </c>
      <c r="G675" s="23" t="s">
        <v>32</v>
      </c>
      <c r="H675" s="22"/>
      <c r="I675" s="22"/>
      <c r="J675" s="22" t="s">
        <v>85</v>
      </c>
      <c r="K675" s="24"/>
      <c r="L675" s="24"/>
      <c r="M675" s="25" t="s">
        <v>6061</v>
      </c>
      <c r="N675" s="22"/>
      <c r="O675" s="22" t="s">
        <v>6062</v>
      </c>
      <c r="P675" s="22" t="str">
        <f>HYPERLINK("https://ceds.ed.gov/cedselementdetails.aspx?termid=22413")</f>
        <v>https://ceds.ed.gov/cedselementdetails.aspx?termid=22413</v>
      </c>
      <c r="Q675" s="22">
        <v>61342</v>
      </c>
    </row>
    <row r="676" spans="1:17" ht="28.8" x14ac:dyDescent="0.3">
      <c r="A676" s="22" t="s">
        <v>7709</v>
      </c>
      <c r="B676" s="22" t="s">
        <v>9196</v>
      </c>
      <c r="C676" s="22" t="s">
        <v>7776</v>
      </c>
      <c r="D676" s="22" t="s">
        <v>7710</v>
      </c>
      <c r="E676" s="22" t="s">
        <v>6099</v>
      </c>
      <c r="F676" s="24" t="s">
        <v>6100</v>
      </c>
      <c r="G676" s="23" t="s">
        <v>32</v>
      </c>
      <c r="H676" s="22"/>
      <c r="I676" s="22"/>
      <c r="J676" s="22" t="s">
        <v>85</v>
      </c>
      <c r="K676" s="24"/>
      <c r="L676" s="24"/>
      <c r="M676" s="25" t="s">
        <v>6101</v>
      </c>
      <c r="N676" s="22"/>
      <c r="O676" s="22" t="s">
        <v>6102</v>
      </c>
      <c r="P676" s="22" t="str">
        <f>HYPERLINK("https://ceds.ed.gov/cedselementdetails.aspx?termid=22419")</f>
        <v>https://ceds.ed.gov/cedselementdetails.aspx?termid=22419</v>
      </c>
      <c r="Q676" s="22">
        <v>61354</v>
      </c>
    </row>
    <row r="677" spans="1:17" ht="43.2" x14ac:dyDescent="0.3">
      <c r="A677" s="22" t="s">
        <v>7709</v>
      </c>
      <c r="B677" s="22" t="s">
        <v>9196</v>
      </c>
      <c r="C677" s="22" t="s">
        <v>7776</v>
      </c>
      <c r="D677" s="22" t="s">
        <v>7710</v>
      </c>
      <c r="E677" s="22" t="s">
        <v>6103</v>
      </c>
      <c r="F677" s="24" t="s">
        <v>6104</v>
      </c>
      <c r="G677" s="23" t="s">
        <v>32</v>
      </c>
      <c r="H677" s="22"/>
      <c r="I677" s="22"/>
      <c r="J677" s="22" t="s">
        <v>85</v>
      </c>
      <c r="K677" s="24"/>
      <c r="L677" s="24"/>
      <c r="M677" s="25" t="s">
        <v>6105</v>
      </c>
      <c r="N677" s="22"/>
      <c r="O677" s="22" t="s">
        <v>6106</v>
      </c>
      <c r="P677" s="22" t="str">
        <f>HYPERLINK("https://ceds.ed.gov/cedselementdetails.aspx?termid=22420")</f>
        <v>https://ceds.ed.gov/cedselementdetails.aspx?termid=22420</v>
      </c>
      <c r="Q677" s="22">
        <v>61355</v>
      </c>
    </row>
    <row r="678" spans="1:17" ht="57.6" x14ac:dyDescent="0.3">
      <c r="A678" s="22" t="s">
        <v>7709</v>
      </c>
      <c r="B678" s="22" t="s">
        <v>9196</v>
      </c>
      <c r="C678" s="22" t="s">
        <v>7776</v>
      </c>
      <c r="D678" s="22" t="s">
        <v>7710</v>
      </c>
      <c r="E678" s="22" t="s">
        <v>6126</v>
      </c>
      <c r="F678" s="24" t="s">
        <v>6127</v>
      </c>
      <c r="G678" s="26" t="s">
        <v>9102</v>
      </c>
      <c r="H678" s="22"/>
      <c r="I678" s="22"/>
      <c r="J678" s="22"/>
      <c r="K678" s="24"/>
      <c r="L678" s="24"/>
      <c r="M678" s="25" t="s">
        <v>6128</v>
      </c>
      <c r="N678" s="22"/>
      <c r="O678" s="22" t="s">
        <v>6129</v>
      </c>
      <c r="P678" s="22" t="str">
        <f>HYPERLINK("https://ceds.ed.gov/cedselementdetails.aspx?termid=22428")</f>
        <v>https://ceds.ed.gov/cedselementdetails.aspx?termid=22428</v>
      </c>
      <c r="Q678" s="22">
        <v>61363</v>
      </c>
    </row>
    <row r="679" spans="1:17" ht="28.8" x14ac:dyDescent="0.3">
      <c r="A679" s="22" t="s">
        <v>7709</v>
      </c>
      <c r="B679" s="22" t="s">
        <v>9196</v>
      </c>
      <c r="C679" s="22" t="s">
        <v>7776</v>
      </c>
      <c r="D679" s="22" t="s">
        <v>7741</v>
      </c>
      <c r="E679" s="22" t="s">
        <v>7947</v>
      </c>
      <c r="F679" s="24" t="s">
        <v>7948</v>
      </c>
      <c r="G679" s="23" t="s">
        <v>32</v>
      </c>
      <c r="H679" s="22"/>
      <c r="I679" s="22" t="s">
        <v>167</v>
      </c>
      <c r="J679" s="22" t="s">
        <v>148</v>
      </c>
      <c r="K679" s="24" t="s">
        <v>7949</v>
      </c>
      <c r="L679" s="24"/>
      <c r="M679" s="25" t="s">
        <v>8351</v>
      </c>
      <c r="N679" s="22"/>
      <c r="O679" s="22" t="s">
        <v>7950</v>
      </c>
      <c r="P679" s="22" t="str">
        <f>HYPERLINK("https://ceds.ed.gov/cedselementdetails.aspx?termid=22972")</f>
        <v>https://ceds.ed.gov/cedselementdetails.aspx?termid=22972</v>
      </c>
      <c r="Q679" s="22">
        <v>63867</v>
      </c>
    </row>
    <row r="680" spans="1:17" ht="43.2" x14ac:dyDescent="0.3">
      <c r="A680" s="22" t="s">
        <v>7709</v>
      </c>
      <c r="B680" s="22" t="s">
        <v>9196</v>
      </c>
      <c r="C680" s="22" t="s">
        <v>7776</v>
      </c>
      <c r="D680" s="22" t="s">
        <v>7741</v>
      </c>
      <c r="E680" s="22" t="s">
        <v>7951</v>
      </c>
      <c r="F680" s="24" t="s">
        <v>7952</v>
      </c>
      <c r="G680" s="26" t="s">
        <v>8376</v>
      </c>
      <c r="H680" s="22"/>
      <c r="I680" s="22" t="s">
        <v>167</v>
      </c>
      <c r="J680" s="22" t="s">
        <v>2</v>
      </c>
      <c r="K680" s="24" t="s">
        <v>7949</v>
      </c>
      <c r="L680" s="24"/>
      <c r="M680" s="25" t="s">
        <v>8352</v>
      </c>
      <c r="N680" s="22"/>
      <c r="O680" s="22" t="s">
        <v>7953</v>
      </c>
      <c r="P680" s="22" t="str">
        <f>HYPERLINK("https://ceds.ed.gov/cedselementdetails.aspx?termid=22973")</f>
        <v>https://ceds.ed.gov/cedselementdetails.aspx?termid=22973</v>
      </c>
      <c r="Q680" s="22">
        <v>63868</v>
      </c>
    </row>
    <row r="681" spans="1:17" ht="43.2" x14ac:dyDescent="0.3">
      <c r="A681" s="22" t="s">
        <v>7709</v>
      </c>
      <c r="B681" s="22" t="s">
        <v>9196</v>
      </c>
      <c r="C681" s="22" t="s">
        <v>7777</v>
      </c>
      <c r="D681" s="22" t="s">
        <v>7710</v>
      </c>
      <c r="E681" s="22" t="s">
        <v>6114</v>
      </c>
      <c r="F681" s="24" t="s">
        <v>6115</v>
      </c>
      <c r="G681" s="23" t="s">
        <v>32</v>
      </c>
      <c r="H681" s="22"/>
      <c r="I681" s="22"/>
      <c r="J681" s="22" t="s">
        <v>157</v>
      </c>
      <c r="K681" s="24"/>
      <c r="L681" s="24"/>
      <c r="M681" s="25" t="s">
        <v>6116</v>
      </c>
      <c r="N681" s="22"/>
      <c r="O681" s="22" t="s">
        <v>6117</v>
      </c>
      <c r="P681" s="22" t="str">
        <f>HYPERLINK("https://ceds.ed.gov/cedselementdetails.aspx?termid=22424")</f>
        <v>https://ceds.ed.gov/cedselementdetails.aspx?termid=22424</v>
      </c>
      <c r="Q681" s="22">
        <v>61603</v>
      </c>
    </row>
    <row r="682" spans="1:17" ht="187.2" x14ac:dyDescent="0.3">
      <c r="A682" s="22" t="s">
        <v>7709</v>
      </c>
      <c r="B682" s="22" t="s">
        <v>9196</v>
      </c>
      <c r="C682" s="22" t="s">
        <v>7777</v>
      </c>
      <c r="D682" s="22" t="s">
        <v>7710</v>
      </c>
      <c r="E682" s="22" t="s">
        <v>189</v>
      </c>
      <c r="F682" s="24" t="s">
        <v>190</v>
      </c>
      <c r="G682" s="23" t="s">
        <v>32</v>
      </c>
      <c r="H682" s="24" t="s">
        <v>175</v>
      </c>
      <c r="I682" s="22" t="s">
        <v>172</v>
      </c>
      <c r="J682" s="22" t="s">
        <v>191</v>
      </c>
      <c r="K682" s="24" t="s">
        <v>7946</v>
      </c>
      <c r="L682" s="24"/>
      <c r="M682" s="25" t="s">
        <v>192</v>
      </c>
      <c r="N682" s="22"/>
      <c r="O682" s="22" t="s">
        <v>193</v>
      </c>
      <c r="P682" s="22" t="str">
        <f>HYPERLINK("https://ceds.ed.gov/cedselementdetails.aspx?termid=21269")</f>
        <v>https://ceds.ed.gov/cedselementdetails.aspx?termid=21269</v>
      </c>
      <c r="Q682" s="22">
        <v>61591</v>
      </c>
    </row>
    <row r="683" spans="1:17" ht="187.2" x14ac:dyDescent="0.3">
      <c r="A683" s="22" t="s">
        <v>7709</v>
      </c>
      <c r="B683" s="22" t="s">
        <v>9196</v>
      </c>
      <c r="C683" s="22" t="s">
        <v>7777</v>
      </c>
      <c r="D683" s="22" t="s">
        <v>7710</v>
      </c>
      <c r="E683" s="22" t="s">
        <v>170</v>
      </c>
      <c r="F683" s="24" t="s">
        <v>171</v>
      </c>
      <c r="G683" s="23" t="s">
        <v>32</v>
      </c>
      <c r="H683" s="24" t="s">
        <v>175</v>
      </c>
      <c r="I683" s="22" t="s">
        <v>172</v>
      </c>
      <c r="J683" s="22" t="s">
        <v>157</v>
      </c>
      <c r="K683" s="24" t="s">
        <v>7946</v>
      </c>
      <c r="L683" s="24"/>
      <c r="M683" s="25" t="s">
        <v>173</v>
      </c>
      <c r="N683" s="22"/>
      <c r="O683" s="22" t="s">
        <v>174</v>
      </c>
      <c r="P683" s="22" t="str">
        <f>HYPERLINK("https://ceds.ed.gov/cedselementdetails.aspx?termid=21019")</f>
        <v>https://ceds.ed.gov/cedselementdetails.aspx?termid=21019</v>
      </c>
      <c r="Q683" s="22">
        <v>61592</v>
      </c>
    </row>
    <row r="684" spans="1:17" ht="187.2" x14ac:dyDescent="0.3">
      <c r="A684" s="22" t="s">
        <v>7709</v>
      </c>
      <c r="B684" s="22" t="s">
        <v>9196</v>
      </c>
      <c r="C684" s="22" t="s">
        <v>7777</v>
      </c>
      <c r="D684" s="22" t="s">
        <v>7710</v>
      </c>
      <c r="E684" s="22" t="s">
        <v>176</v>
      </c>
      <c r="F684" s="24" t="s">
        <v>177</v>
      </c>
      <c r="G684" s="23" t="s">
        <v>32</v>
      </c>
      <c r="H684" s="24" t="s">
        <v>175</v>
      </c>
      <c r="I684" s="22" t="s">
        <v>172</v>
      </c>
      <c r="J684" s="22" t="s">
        <v>85</v>
      </c>
      <c r="K684" s="24" t="s">
        <v>7946</v>
      </c>
      <c r="L684" s="24"/>
      <c r="M684" s="25" t="s">
        <v>178</v>
      </c>
      <c r="N684" s="22"/>
      <c r="O684" s="22" t="s">
        <v>179</v>
      </c>
      <c r="P684" s="22" t="str">
        <f>HYPERLINK("https://ceds.ed.gov/cedselementdetails.aspx?termid=21040")</f>
        <v>https://ceds.ed.gov/cedselementdetails.aspx?termid=21040</v>
      </c>
      <c r="Q684" s="22">
        <v>61593</v>
      </c>
    </row>
    <row r="685" spans="1:17" ht="409.6" x14ac:dyDescent="0.3">
      <c r="A685" s="22" t="s">
        <v>7709</v>
      </c>
      <c r="B685" s="22" t="s">
        <v>9196</v>
      </c>
      <c r="C685" s="22" t="s">
        <v>7777</v>
      </c>
      <c r="D685" s="22" t="s">
        <v>7710</v>
      </c>
      <c r="E685" s="22" t="s">
        <v>6941</v>
      </c>
      <c r="F685" s="24" t="s">
        <v>6942</v>
      </c>
      <c r="G685" s="26" t="s">
        <v>8533</v>
      </c>
      <c r="H685" s="24" t="s">
        <v>6945</v>
      </c>
      <c r="I685" s="22" t="s">
        <v>172</v>
      </c>
      <c r="J685" s="22"/>
      <c r="K685" s="24" t="s">
        <v>8327</v>
      </c>
      <c r="L685" s="24"/>
      <c r="M685" s="25" t="s">
        <v>6943</v>
      </c>
      <c r="N685" s="22"/>
      <c r="O685" s="22" t="s">
        <v>6944</v>
      </c>
      <c r="P685" s="22" t="str">
        <f>HYPERLINK("https://ceds.ed.gov/cedselementdetails.aspx?termid=21267")</f>
        <v>https://ceds.ed.gov/cedselementdetails.aspx?termid=21267</v>
      </c>
      <c r="Q685" s="22">
        <v>61594</v>
      </c>
    </row>
    <row r="686" spans="1:17" ht="187.2" x14ac:dyDescent="0.3">
      <c r="A686" s="22" t="s">
        <v>7709</v>
      </c>
      <c r="B686" s="22" t="s">
        <v>9196</v>
      </c>
      <c r="C686" s="22" t="s">
        <v>7777</v>
      </c>
      <c r="D686" s="22" t="s">
        <v>7710</v>
      </c>
      <c r="E686" s="22" t="s">
        <v>184</v>
      </c>
      <c r="F686" s="24" t="s">
        <v>185</v>
      </c>
      <c r="G686" s="23" t="s">
        <v>32</v>
      </c>
      <c r="H686" s="24" t="s">
        <v>175</v>
      </c>
      <c r="I686" s="22" t="s">
        <v>172</v>
      </c>
      <c r="J686" s="22" t="s">
        <v>186</v>
      </c>
      <c r="K686" s="24" t="s">
        <v>7946</v>
      </c>
      <c r="L686" s="24"/>
      <c r="M686" s="25" t="s">
        <v>187</v>
      </c>
      <c r="N686" s="22"/>
      <c r="O686" s="22" t="s">
        <v>188</v>
      </c>
      <c r="P686" s="22" t="str">
        <f>HYPERLINK("https://ceds.ed.gov/cedselementdetails.aspx?termid=21214")</f>
        <v>https://ceds.ed.gov/cedselementdetails.aspx?termid=21214</v>
      </c>
      <c r="Q686" s="22">
        <v>61595</v>
      </c>
    </row>
    <row r="687" spans="1:17" ht="72" x14ac:dyDescent="0.3">
      <c r="A687" s="22" t="s">
        <v>7709</v>
      </c>
      <c r="B687" s="22" t="s">
        <v>9196</v>
      </c>
      <c r="C687" s="22" t="s">
        <v>7777</v>
      </c>
      <c r="D687" s="22" t="s">
        <v>7710</v>
      </c>
      <c r="E687" s="22" t="s">
        <v>7159</v>
      </c>
      <c r="F687" s="24" t="s">
        <v>7160</v>
      </c>
      <c r="G687" s="23" t="s">
        <v>32</v>
      </c>
      <c r="H687" s="24" t="s">
        <v>64</v>
      </c>
      <c r="I687" s="22"/>
      <c r="J687" s="22" t="s">
        <v>7161</v>
      </c>
      <c r="K687" s="24"/>
      <c r="L687" s="24"/>
      <c r="M687" s="25" t="s">
        <v>7162</v>
      </c>
      <c r="N687" s="22"/>
      <c r="O687" s="22" t="s">
        <v>7163</v>
      </c>
      <c r="P687" s="22" t="str">
        <f>HYPERLINK("https://ceds.ed.gov/cedselementdetails.aspx?termid=21279")</f>
        <v>https://ceds.ed.gov/cedselementdetails.aspx?termid=21279</v>
      </c>
      <c r="Q687" s="22">
        <v>61601</v>
      </c>
    </row>
    <row r="688" spans="1:17" ht="158.4" x14ac:dyDescent="0.3">
      <c r="A688" s="22" t="s">
        <v>7709</v>
      </c>
      <c r="B688" s="22" t="s">
        <v>9196</v>
      </c>
      <c r="C688" s="22" t="s">
        <v>7777</v>
      </c>
      <c r="D688" s="22" t="s">
        <v>7710</v>
      </c>
      <c r="E688" s="22" t="s">
        <v>2536</v>
      </c>
      <c r="F688" s="24" t="s">
        <v>2537</v>
      </c>
      <c r="G688" s="23" t="s">
        <v>32</v>
      </c>
      <c r="H688" s="22"/>
      <c r="I688" s="22"/>
      <c r="J688" s="22" t="s">
        <v>2538</v>
      </c>
      <c r="K688" s="24"/>
      <c r="L688" s="24"/>
      <c r="M688" s="25" t="s">
        <v>2539</v>
      </c>
      <c r="N688" s="22"/>
      <c r="O688" s="22" t="s">
        <v>2540</v>
      </c>
      <c r="P688" s="22" t="str">
        <f>HYPERLINK("https://ceds.ed.gov/cedselementdetails.aspx?termid=22176")</f>
        <v>https://ceds.ed.gov/cedselementdetails.aspx?termid=22176</v>
      </c>
      <c r="Q688" s="22">
        <v>63292</v>
      </c>
    </row>
    <row r="689" spans="1:17" ht="57.6" x14ac:dyDescent="0.3">
      <c r="A689" s="22" t="s">
        <v>7709</v>
      </c>
      <c r="B689" s="22" t="s">
        <v>9196</v>
      </c>
      <c r="C689" s="22" t="s">
        <v>7777</v>
      </c>
      <c r="D689" s="22" t="s">
        <v>7710</v>
      </c>
      <c r="E689" s="22" t="s">
        <v>3228</v>
      </c>
      <c r="F689" s="24" t="s">
        <v>3229</v>
      </c>
      <c r="G689" s="26" t="s">
        <v>3039</v>
      </c>
      <c r="H689" s="22"/>
      <c r="I689" s="22" t="s">
        <v>172</v>
      </c>
      <c r="J689" s="22"/>
      <c r="K689" s="24" t="s">
        <v>7946</v>
      </c>
      <c r="L689" s="24"/>
      <c r="M689" s="25" t="s">
        <v>3230</v>
      </c>
      <c r="N689" s="22"/>
      <c r="O689" s="22" t="s">
        <v>3231</v>
      </c>
      <c r="P689" s="22" t="str">
        <f>HYPERLINK("https://ceds.ed.gov/cedselementdetails.aspx?termid=22905")</f>
        <v>https://ceds.ed.gov/cedselementdetails.aspx?termid=22905</v>
      </c>
      <c r="Q689" s="22">
        <v>63293</v>
      </c>
    </row>
    <row r="690" spans="1:17" ht="57.6" x14ac:dyDescent="0.3">
      <c r="A690" s="22" t="s">
        <v>7709</v>
      </c>
      <c r="B690" s="22" t="s">
        <v>9196</v>
      </c>
      <c r="C690" s="22" t="s">
        <v>7777</v>
      </c>
      <c r="D690" s="22" t="s">
        <v>7710</v>
      </c>
      <c r="E690" s="22" t="s">
        <v>7164</v>
      </c>
      <c r="F690" s="24" t="s">
        <v>7165</v>
      </c>
      <c r="G690" s="26" t="s">
        <v>9167</v>
      </c>
      <c r="H690" s="22"/>
      <c r="I690" s="22"/>
      <c r="J690" s="22"/>
      <c r="K690" s="24"/>
      <c r="L690" s="24"/>
      <c r="M690" s="25" t="s">
        <v>7166</v>
      </c>
      <c r="N690" s="22"/>
      <c r="O690" s="22" t="s">
        <v>7167</v>
      </c>
      <c r="P690" s="22" t="str">
        <f>HYPERLINK("https://ceds.ed.gov/cedselementdetails.aspx?termid=22911")</f>
        <v>https://ceds.ed.gov/cedselementdetails.aspx?termid=22911</v>
      </c>
      <c r="Q690" s="22">
        <v>63294</v>
      </c>
    </row>
    <row r="691" spans="1:17" ht="409.6" x14ac:dyDescent="0.3">
      <c r="A691" s="22" t="s">
        <v>7709</v>
      </c>
      <c r="B691" s="22" t="s">
        <v>9196</v>
      </c>
      <c r="C691" s="22" t="s">
        <v>7766</v>
      </c>
      <c r="D691" s="22" t="s">
        <v>7710</v>
      </c>
      <c r="E691" s="22" t="s">
        <v>5851</v>
      </c>
      <c r="F691" s="24" t="s">
        <v>5852</v>
      </c>
      <c r="G691" s="26" t="s">
        <v>9062</v>
      </c>
      <c r="H691" s="22" t="s">
        <v>1553</v>
      </c>
      <c r="I691" s="22"/>
      <c r="J691" s="22"/>
      <c r="K691" s="24"/>
      <c r="L691" s="24" t="s">
        <v>5853</v>
      </c>
      <c r="M691" s="25" t="s">
        <v>5854</v>
      </c>
      <c r="N691" s="22"/>
      <c r="O691" s="22" t="s">
        <v>5855</v>
      </c>
      <c r="P691" s="22" t="str">
        <f>HYPERLINK("https://ceds.ed.gov/cedselementdetails.aspx?termid=21415")</f>
        <v>https://ceds.ed.gov/cedselementdetails.aspx?termid=21415</v>
      </c>
      <c r="Q691" s="22">
        <v>63295</v>
      </c>
    </row>
    <row r="692" spans="1:17" ht="57.6" x14ac:dyDescent="0.3">
      <c r="A692" s="22" t="s">
        <v>7709</v>
      </c>
      <c r="B692" s="22" t="s">
        <v>9196</v>
      </c>
      <c r="C692" s="22" t="s">
        <v>4</v>
      </c>
      <c r="D692" s="22" t="s">
        <v>7710</v>
      </c>
      <c r="E692" s="22" t="s">
        <v>6262</v>
      </c>
      <c r="F692" s="24" t="s">
        <v>6263</v>
      </c>
      <c r="G692" s="26" t="s">
        <v>22</v>
      </c>
      <c r="H692" s="22"/>
      <c r="I692" s="22"/>
      <c r="J692" s="22"/>
      <c r="K692" s="24"/>
      <c r="L692" s="24"/>
      <c r="M692" s="25" t="s">
        <v>6264</v>
      </c>
      <c r="N692" s="22"/>
      <c r="O692" s="22" t="s">
        <v>6265</v>
      </c>
      <c r="P692" s="22" t="str">
        <f>HYPERLINK("https://ceds.ed.gov/cedselementdetails.aspx?termid=21760")</f>
        <v>https://ceds.ed.gov/cedselementdetails.aspx?termid=21760</v>
      </c>
      <c r="Q692" s="22">
        <v>63296</v>
      </c>
    </row>
    <row r="693" spans="1:17" ht="57.6" x14ac:dyDescent="0.3">
      <c r="A693" s="22" t="s">
        <v>7709</v>
      </c>
      <c r="B693" s="22" t="s">
        <v>9196</v>
      </c>
      <c r="C693" s="22" t="s">
        <v>7828</v>
      </c>
      <c r="D693" s="22" t="s">
        <v>7741</v>
      </c>
      <c r="E693" s="22" t="s">
        <v>1439</v>
      </c>
      <c r="F693" s="24" t="s">
        <v>1440</v>
      </c>
      <c r="G693" s="23" t="s">
        <v>32</v>
      </c>
      <c r="H693" s="22"/>
      <c r="I693" s="22" t="s">
        <v>172</v>
      </c>
      <c r="J693" s="22" t="s">
        <v>118</v>
      </c>
      <c r="K693" s="24" t="s">
        <v>7946</v>
      </c>
      <c r="L693" s="24" t="s">
        <v>143</v>
      </c>
      <c r="M693" s="25" t="s">
        <v>1441</v>
      </c>
      <c r="N693" s="22"/>
      <c r="O693" s="22" t="s">
        <v>1442</v>
      </c>
      <c r="P693" s="22" t="str">
        <f>HYPERLINK("https://ceds.ed.gov/cedselementdetails.aspx?termid=21518")</f>
        <v>https://ceds.ed.gov/cedselementdetails.aspx?termid=21518</v>
      </c>
      <c r="Q693" s="22">
        <v>63830</v>
      </c>
    </row>
    <row r="694" spans="1:17" ht="28.8" x14ac:dyDescent="0.3">
      <c r="A694" s="22" t="s">
        <v>7709</v>
      </c>
      <c r="B694" s="22" t="s">
        <v>9196</v>
      </c>
      <c r="C694" s="22" t="s">
        <v>7828</v>
      </c>
      <c r="D694" s="22" t="s">
        <v>7741</v>
      </c>
      <c r="E694" s="22" t="s">
        <v>1443</v>
      </c>
      <c r="F694" s="24" t="s">
        <v>1444</v>
      </c>
      <c r="G694" s="23" t="s">
        <v>32</v>
      </c>
      <c r="H694" s="22"/>
      <c r="I694" s="22" t="s">
        <v>172</v>
      </c>
      <c r="J694" s="22" t="s">
        <v>118</v>
      </c>
      <c r="K694" s="24" t="s">
        <v>7946</v>
      </c>
      <c r="L694" s="24"/>
      <c r="M694" s="25" t="s">
        <v>1445</v>
      </c>
      <c r="N694" s="22"/>
      <c r="O694" s="22" t="s">
        <v>1446</v>
      </c>
      <c r="P694" s="22" t="str">
        <f>HYPERLINK("https://ceds.ed.gov/cedselementdetails.aspx?termid=21517")</f>
        <v>https://ceds.ed.gov/cedselementdetails.aspx?termid=21517</v>
      </c>
      <c r="Q694" s="22">
        <v>63831</v>
      </c>
    </row>
    <row r="695" spans="1:17" ht="244.8" x14ac:dyDescent="0.3">
      <c r="A695" s="22" t="s">
        <v>7709</v>
      </c>
      <c r="B695" s="22" t="s">
        <v>9196</v>
      </c>
      <c r="C695" s="22" t="s">
        <v>7828</v>
      </c>
      <c r="D695" s="22" t="s">
        <v>7741</v>
      </c>
      <c r="E695" s="22" t="s">
        <v>2104</v>
      </c>
      <c r="F695" s="24" t="s">
        <v>2105</v>
      </c>
      <c r="G695" s="26" t="s">
        <v>8411</v>
      </c>
      <c r="H695" s="22"/>
      <c r="I695" s="22" t="s">
        <v>172</v>
      </c>
      <c r="J695" s="22"/>
      <c r="K695" s="24" t="s">
        <v>7946</v>
      </c>
      <c r="L695" s="24"/>
      <c r="M695" s="25" t="s">
        <v>2106</v>
      </c>
      <c r="N695" s="22"/>
      <c r="O695" s="22" t="s">
        <v>2107</v>
      </c>
      <c r="P695" s="22" t="str">
        <f>HYPERLINK("https://ceds.ed.gov/cedselementdetails.aspx?termid=21615")</f>
        <v>https://ceds.ed.gov/cedselementdetails.aspx?termid=21615</v>
      </c>
      <c r="Q695" s="22">
        <v>63832</v>
      </c>
    </row>
    <row r="696" spans="1:17" ht="43.2" x14ac:dyDescent="0.3">
      <c r="A696" s="22" t="s">
        <v>7709</v>
      </c>
      <c r="B696" s="22" t="s">
        <v>9196</v>
      </c>
      <c r="C696" s="22" t="s">
        <v>7828</v>
      </c>
      <c r="D696" s="22" t="s">
        <v>7741</v>
      </c>
      <c r="E696" s="22" t="s">
        <v>4939</v>
      </c>
      <c r="F696" s="24" t="s">
        <v>4940</v>
      </c>
      <c r="G696" s="26" t="s">
        <v>22</v>
      </c>
      <c r="H696" s="22"/>
      <c r="I696" s="22" t="s">
        <v>172</v>
      </c>
      <c r="J696" s="22"/>
      <c r="K696" s="24" t="s">
        <v>7946</v>
      </c>
      <c r="L696" s="24"/>
      <c r="M696" s="25" t="s">
        <v>4942</v>
      </c>
      <c r="N696" s="22"/>
      <c r="O696" s="22" t="s">
        <v>4943</v>
      </c>
      <c r="P696" s="22" t="str">
        <f>HYPERLINK("https://ceds.ed.gov/cedselementdetails.aspx?termid=21519")</f>
        <v>https://ceds.ed.gov/cedselementdetails.aspx?termid=21519</v>
      </c>
      <c r="Q696" s="22">
        <v>63833</v>
      </c>
    </row>
    <row r="697" spans="1:17" ht="72" x14ac:dyDescent="0.3">
      <c r="A697" s="22" t="s">
        <v>7709</v>
      </c>
      <c r="B697" s="22" t="s">
        <v>9196</v>
      </c>
      <c r="C697" s="22" t="s">
        <v>7828</v>
      </c>
      <c r="D697" s="22" t="s">
        <v>7741</v>
      </c>
      <c r="E697" s="22" t="s">
        <v>5873</v>
      </c>
      <c r="F697" s="24" t="s">
        <v>5874</v>
      </c>
      <c r="G697" s="23" t="s">
        <v>32</v>
      </c>
      <c r="H697" s="24" t="s">
        <v>64</v>
      </c>
      <c r="I697" s="22" t="s">
        <v>172</v>
      </c>
      <c r="J697" s="22" t="s">
        <v>1339</v>
      </c>
      <c r="K697" s="24" t="s">
        <v>7946</v>
      </c>
      <c r="L697" s="24"/>
      <c r="M697" s="25" t="s">
        <v>5875</v>
      </c>
      <c r="N697" s="22"/>
      <c r="O697" s="22" t="s">
        <v>5876</v>
      </c>
      <c r="P697" s="22" t="str">
        <f>HYPERLINK("https://ceds.ed.gov/cedselementdetails.aspx?termid=21213")</f>
        <v>https://ceds.ed.gov/cedselementdetails.aspx?termid=21213</v>
      </c>
      <c r="Q697" s="22">
        <v>63834</v>
      </c>
    </row>
    <row r="698" spans="1:17" ht="216" x14ac:dyDescent="0.3">
      <c r="A698" s="22" t="s">
        <v>7709</v>
      </c>
      <c r="B698" s="22" t="s">
        <v>9196</v>
      </c>
      <c r="C698" s="22" t="s">
        <v>7828</v>
      </c>
      <c r="D698" s="22" t="s">
        <v>7741</v>
      </c>
      <c r="E698" s="22" t="s">
        <v>6130</v>
      </c>
      <c r="F698" s="24" t="s">
        <v>6131</v>
      </c>
      <c r="G698" s="26" t="s">
        <v>8501</v>
      </c>
      <c r="H698" s="22"/>
      <c r="I698" s="22" t="s">
        <v>172</v>
      </c>
      <c r="J698" s="22"/>
      <c r="K698" s="24" t="s">
        <v>7946</v>
      </c>
      <c r="L698" s="24"/>
      <c r="M698" s="25" t="s">
        <v>6132</v>
      </c>
      <c r="N698" s="22"/>
      <c r="O698" s="22" t="s">
        <v>6133</v>
      </c>
      <c r="P698" s="22" t="str">
        <f>HYPERLINK("https://ceds.ed.gov/cedselementdetails.aspx?termid=21220")</f>
        <v>https://ceds.ed.gov/cedselementdetails.aspx?termid=21220</v>
      </c>
      <c r="Q698" s="22">
        <v>63835</v>
      </c>
    </row>
    <row r="699" spans="1:17" ht="187.2" x14ac:dyDescent="0.3">
      <c r="A699" s="22" t="s">
        <v>7709</v>
      </c>
      <c r="B699" s="22" t="s">
        <v>9196</v>
      </c>
      <c r="C699" s="22" t="s">
        <v>7828</v>
      </c>
      <c r="D699" s="22" t="s">
        <v>7741</v>
      </c>
      <c r="E699" s="22" t="s">
        <v>6621</v>
      </c>
      <c r="F699" s="24" t="s">
        <v>275</v>
      </c>
      <c r="G699" s="26" t="s">
        <v>8521</v>
      </c>
      <c r="H699" s="24" t="s">
        <v>6624</v>
      </c>
      <c r="I699" s="22" t="s">
        <v>172</v>
      </c>
      <c r="J699" s="22"/>
      <c r="K699" s="24" t="s">
        <v>7946</v>
      </c>
      <c r="L699" s="24"/>
      <c r="M699" s="25" t="s">
        <v>6622</v>
      </c>
      <c r="N699" s="22"/>
      <c r="O699" s="22" t="s">
        <v>6623</v>
      </c>
      <c r="P699" s="22" t="str">
        <f>HYPERLINK("https://ceds.ed.gov/cedselementdetails.aspx?termid=21161")</f>
        <v>https://ceds.ed.gov/cedselementdetails.aspx?termid=21161</v>
      </c>
      <c r="Q699" s="22">
        <v>63836</v>
      </c>
    </row>
    <row r="700" spans="1:17" ht="172.8" x14ac:dyDescent="0.3">
      <c r="A700" s="22" t="s">
        <v>7709</v>
      </c>
      <c r="B700" s="22" t="s">
        <v>9196</v>
      </c>
      <c r="C700" s="22" t="s">
        <v>7828</v>
      </c>
      <c r="D700" s="22" t="s">
        <v>7741</v>
      </c>
      <c r="E700" s="22" t="s">
        <v>6625</v>
      </c>
      <c r="F700" s="24" t="s">
        <v>280</v>
      </c>
      <c r="G700" s="23" t="s">
        <v>32</v>
      </c>
      <c r="H700" s="24" t="s">
        <v>6624</v>
      </c>
      <c r="I700" s="22" t="s">
        <v>172</v>
      </c>
      <c r="J700" s="22" t="s">
        <v>132</v>
      </c>
      <c r="K700" s="24" t="s">
        <v>7946</v>
      </c>
      <c r="L700" s="24" t="s">
        <v>7945</v>
      </c>
      <c r="M700" s="25" t="s">
        <v>6626</v>
      </c>
      <c r="N700" s="22"/>
      <c r="O700" s="22" t="s">
        <v>6627</v>
      </c>
      <c r="P700" s="22" t="str">
        <f>HYPERLINK("https://ceds.ed.gov/cedselementdetails.aspx?termid=21155")</f>
        <v>https://ceds.ed.gov/cedselementdetails.aspx?termid=21155</v>
      </c>
      <c r="Q700" s="22">
        <v>63837</v>
      </c>
    </row>
    <row r="701" spans="1:17" ht="43.2" x14ac:dyDescent="0.3">
      <c r="A701" s="22" t="s">
        <v>7709</v>
      </c>
      <c r="B701" s="22" t="s">
        <v>9196</v>
      </c>
      <c r="C701" s="22" t="s">
        <v>7828</v>
      </c>
      <c r="D701" s="22" t="s">
        <v>7741</v>
      </c>
      <c r="E701" s="22" t="s">
        <v>6810</v>
      </c>
      <c r="F701" s="24" t="s">
        <v>6811</v>
      </c>
      <c r="G701" s="26" t="s">
        <v>8527</v>
      </c>
      <c r="H701" s="22" t="s">
        <v>226</v>
      </c>
      <c r="I701" s="22" t="s">
        <v>172</v>
      </c>
      <c r="J701" s="22"/>
      <c r="K701" s="24" t="s">
        <v>7946</v>
      </c>
      <c r="L701" s="24"/>
      <c r="M701" s="25" t="s">
        <v>6812</v>
      </c>
      <c r="N701" s="22"/>
      <c r="O701" s="22" t="s">
        <v>6813</v>
      </c>
      <c r="P701" s="22" t="str">
        <f>HYPERLINK("https://ceds.ed.gov/cedselementdetails.aspx?termid=21556")</f>
        <v>https://ceds.ed.gov/cedselementdetails.aspx?termid=21556</v>
      </c>
      <c r="Q701" s="22">
        <v>63838</v>
      </c>
    </row>
    <row r="702" spans="1:17" ht="57.6" x14ac:dyDescent="0.3">
      <c r="A702" s="22" t="s">
        <v>7709</v>
      </c>
      <c r="B702" s="22" t="s">
        <v>9196</v>
      </c>
      <c r="C702" s="22" t="s">
        <v>7828</v>
      </c>
      <c r="D702" s="22" t="s">
        <v>7741</v>
      </c>
      <c r="E702" s="22" t="s">
        <v>6823</v>
      </c>
      <c r="F702" s="24" t="s">
        <v>6824</v>
      </c>
      <c r="G702" s="26" t="s">
        <v>22</v>
      </c>
      <c r="H702" s="22" t="s">
        <v>226</v>
      </c>
      <c r="I702" s="22" t="s">
        <v>172</v>
      </c>
      <c r="J702" s="22"/>
      <c r="K702" s="24" t="s">
        <v>7946</v>
      </c>
      <c r="L702" s="24"/>
      <c r="M702" s="25" t="s">
        <v>6825</v>
      </c>
      <c r="N702" s="22"/>
      <c r="O702" s="22" t="s">
        <v>6826</v>
      </c>
      <c r="P702" s="22" t="str">
        <f>HYPERLINK("https://ceds.ed.gov/cedselementdetails.aspx?termid=21261")</f>
        <v>https://ceds.ed.gov/cedselementdetails.aspx?termid=21261</v>
      </c>
      <c r="Q702" s="22">
        <v>63839</v>
      </c>
    </row>
    <row r="703" spans="1:17" ht="57.6" x14ac:dyDescent="0.3">
      <c r="A703" s="22" t="s">
        <v>7709</v>
      </c>
      <c r="B703" s="22" t="s">
        <v>9196</v>
      </c>
      <c r="C703" s="22" t="s">
        <v>7828</v>
      </c>
      <c r="D703" s="22" t="s">
        <v>7741</v>
      </c>
      <c r="E703" s="22" t="s">
        <v>6827</v>
      </c>
      <c r="F703" s="24" t="s">
        <v>6828</v>
      </c>
      <c r="G703" s="26" t="s">
        <v>22</v>
      </c>
      <c r="H703" s="22" t="s">
        <v>226</v>
      </c>
      <c r="I703" s="22" t="s">
        <v>172</v>
      </c>
      <c r="J703" s="22"/>
      <c r="K703" s="24" t="s">
        <v>7946</v>
      </c>
      <c r="L703" s="24"/>
      <c r="M703" s="25" t="s">
        <v>6829</v>
      </c>
      <c r="N703" s="22"/>
      <c r="O703" s="22" t="s">
        <v>6830</v>
      </c>
      <c r="P703" s="22" t="str">
        <f>HYPERLINK("https://ceds.ed.gov/cedselementdetails.aspx?termid=21262")</f>
        <v>https://ceds.ed.gov/cedselementdetails.aspx?termid=21262</v>
      </c>
      <c r="Q703" s="22">
        <v>63840</v>
      </c>
    </row>
    <row r="704" spans="1:17" ht="187.2" x14ac:dyDescent="0.3">
      <c r="A704" s="22" t="s">
        <v>7709</v>
      </c>
      <c r="B704" s="22" t="s">
        <v>9196</v>
      </c>
      <c r="C704" s="22" t="s">
        <v>7828</v>
      </c>
      <c r="D704" s="22" t="s">
        <v>7741</v>
      </c>
      <c r="E704" s="22" t="s">
        <v>6836</v>
      </c>
      <c r="F704" s="24" t="s">
        <v>6837</v>
      </c>
      <c r="G704" s="26" t="s">
        <v>8528</v>
      </c>
      <c r="H704" s="22" t="s">
        <v>226</v>
      </c>
      <c r="I704" s="22" t="s">
        <v>172</v>
      </c>
      <c r="J704" s="22"/>
      <c r="K704" s="24" t="s">
        <v>7946</v>
      </c>
      <c r="L704" s="24"/>
      <c r="M704" s="25" t="s">
        <v>6838</v>
      </c>
      <c r="N704" s="22"/>
      <c r="O704" s="22" t="s">
        <v>6839</v>
      </c>
      <c r="P704" s="22" t="str">
        <f>HYPERLINK("https://ceds.ed.gov/cedselementdetails.aspx?termid=21549")</f>
        <v>https://ceds.ed.gov/cedselementdetails.aspx?termid=21549</v>
      </c>
      <c r="Q704" s="22">
        <v>63841</v>
      </c>
    </row>
    <row r="705" spans="1:17" ht="57.6" x14ac:dyDescent="0.3">
      <c r="A705" s="22" t="s">
        <v>7709</v>
      </c>
      <c r="B705" s="22" t="s">
        <v>9196</v>
      </c>
      <c r="C705" s="22" t="s">
        <v>7828</v>
      </c>
      <c r="D705" s="22" t="s">
        <v>7741</v>
      </c>
      <c r="E705" s="22" t="s">
        <v>6840</v>
      </c>
      <c r="F705" s="24" t="s">
        <v>6841</v>
      </c>
      <c r="G705" s="26" t="s">
        <v>22</v>
      </c>
      <c r="H705" s="22" t="s">
        <v>226</v>
      </c>
      <c r="I705" s="22" t="s">
        <v>172</v>
      </c>
      <c r="J705" s="22"/>
      <c r="K705" s="24" t="s">
        <v>7946</v>
      </c>
      <c r="L705" s="24"/>
      <c r="M705" s="25" t="s">
        <v>6842</v>
      </c>
      <c r="N705" s="22"/>
      <c r="O705" s="22" t="s">
        <v>6843</v>
      </c>
      <c r="P705" s="22" t="str">
        <f>HYPERLINK("https://ceds.ed.gov/cedselementdetails.aspx?termid=21264")</f>
        <v>https://ceds.ed.gov/cedselementdetails.aspx?termid=21264</v>
      </c>
      <c r="Q705" s="22">
        <v>63842</v>
      </c>
    </row>
    <row r="706" spans="1:17" ht="57.6" x14ac:dyDescent="0.3">
      <c r="A706" s="22" t="s">
        <v>7709</v>
      </c>
      <c r="B706" s="22" t="s">
        <v>9196</v>
      </c>
      <c r="C706" s="22" t="s">
        <v>7828</v>
      </c>
      <c r="D706" s="22" t="s">
        <v>7741</v>
      </c>
      <c r="E706" s="22" t="s">
        <v>6900</v>
      </c>
      <c r="F706" s="24" t="s">
        <v>6901</v>
      </c>
      <c r="G706" s="23" t="s">
        <v>32</v>
      </c>
      <c r="H706" s="24" t="s">
        <v>6905</v>
      </c>
      <c r="I706" s="22" t="s">
        <v>172</v>
      </c>
      <c r="J706" s="22" t="s">
        <v>4141</v>
      </c>
      <c r="K706" s="24" t="s">
        <v>7946</v>
      </c>
      <c r="L706" s="24"/>
      <c r="M706" s="25" t="s">
        <v>6902</v>
      </c>
      <c r="N706" s="22" t="s">
        <v>6903</v>
      </c>
      <c r="O706" s="22" t="s">
        <v>6904</v>
      </c>
      <c r="P706" s="22" t="str">
        <f>HYPERLINK("https://ceds.ed.gov/cedselementdetails.aspx?termid=21118")</f>
        <v>https://ceds.ed.gov/cedselementdetails.aspx?termid=21118</v>
      </c>
      <c r="Q706" s="22">
        <v>63843</v>
      </c>
    </row>
    <row r="707" spans="1:17" ht="57.6" x14ac:dyDescent="0.3">
      <c r="A707" s="22" t="s">
        <v>7709</v>
      </c>
      <c r="B707" s="22" t="s">
        <v>9196</v>
      </c>
      <c r="C707" s="22" t="s">
        <v>7828</v>
      </c>
      <c r="D707" s="22" t="s">
        <v>7741</v>
      </c>
      <c r="E707" s="22" t="s">
        <v>7118</v>
      </c>
      <c r="F707" s="24" t="s">
        <v>7119</v>
      </c>
      <c r="G707" s="23" t="s">
        <v>32</v>
      </c>
      <c r="H707" s="22" t="s">
        <v>7101</v>
      </c>
      <c r="I707" s="22" t="s">
        <v>172</v>
      </c>
      <c r="J707" s="22" t="s">
        <v>118</v>
      </c>
      <c r="K707" s="24" t="s">
        <v>7946</v>
      </c>
      <c r="L707" s="24" t="s">
        <v>7120</v>
      </c>
      <c r="M707" s="25" t="s">
        <v>7121</v>
      </c>
      <c r="N707" s="22"/>
      <c r="O707" s="22" t="s">
        <v>7122</v>
      </c>
      <c r="P707" s="22" t="str">
        <f>HYPERLINK("https://ceds.ed.gov/cedselementdetails.aspx?termid=21648")</f>
        <v>https://ceds.ed.gov/cedselementdetails.aspx?termid=21648</v>
      </c>
      <c r="Q707" s="22">
        <v>63844</v>
      </c>
    </row>
    <row r="708" spans="1:17" ht="28.8" x14ac:dyDescent="0.3">
      <c r="A708" s="22" t="s">
        <v>7709</v>
      </c>
      <c r="B708" s="22" t="s">
        <v>9196</v>
      </c>
      <c r="C708" s="22" t="s">
        <v>7828</v>
      </c>
      <c r="D708" s="22" t="s">
        <v>7741</v>
      </c>
      <c r="E708" s="22" t="s">
        <v>7126</v>
      </c>
      <c r="F708" s="24" t="s">
        <v>7127</v>
      </c>
      <c r="G708" s="23" t="s">
        <v>32</v>
      </c>
      <c r="H708" s="22" t="s">
        <v>7101</v>
      </c>
      <c r="I708" s="22" t="s">
        <v>172</v>
      </c>
      <c r="J708" s="22" t="s">
        <v>118</v>
      </c>
      <c r="K708" s="24" t="s">
        <v>7946</v>
      </c>
      <c r="L708" s="24"/>
      <c r="M708" s="25" t="s">
        <v>7128</v>
      </c>
      <c r="N708" s="22"/>
      <c r="O708" s="22" t="s">
        <v>7129</v>
      </c>
      <c r="P708" s="22" t="str">
        <f>HYPERLINK("https://ceds.ed.gov/cedselementdetails.aspx?termid=21647")</f>
        <v>https://ceds.ed.gov/cedselementdetails.aspx?termid=21647</v>
      </c>
      <c r="Q708" s="22">
        <v>63845</v>
      </c>
    </row>
    <row r="709" spans="1:17" ht="86.4" x14ac:dyDescent="0.3">
      <c r="A709" s="22" t="s">
        <v>7709</v>
      </c>
      <c r="B709" s="22" t="s">
        <v>9196</v>
      </c>
      <c r="C709" s="22" t="s">
        <v>7828</v>
      </c>
      <c r="D709" s="22" t="s">
        <v>7741</v>
      </c>
      <c r="E709" s="22" t="s">
        <v>7196</v>
      </c>
      <c r="F709" s="24" t="s">
        <v>7197</v>
      </c>
      <c r="G709" s="26" t="s">
        <v>8551</v>
      </c>
      <c r="H709" s="22" t="s">
        <v>226</v>
      </c>
      <c r="I709" s="22" t="s">
        <v>172</v>
      </c>
      <c r="J709" s="22"/>
      <c r="K709" s="24" t="s">
        <v>7946</v>
      </c>
      <c r="L709" s="24"/>
      <c r="M709" s="25" t="s">
        <v>7198</v>
      </c>
      <c r="N709" s="22"/>
      <c r="O709" s="22" t="s">
        <v>7199</v>
      </c>
      <c r="P709" s="22" t="str">
        <f>HYPERLINK("https://ceds.ed.gov/cedselementdetails.aspx?termid=21283")</f>
        <v>https://ceds.ed.gov/cedselementdetails.aspx?termid=21283</v>
      </c>
      <c r="Q709" s="22">
        <v>63846</v>
      </c>
    </row>
    <row r="710" spans="1:17" ht="28.8" x14ac:dyDescent="0.3">
      <c r="A710" s="22" t="s">
        <v>7709</v>
      </c>
      <c r="B710" s="22" t="s">
        <v>9196</v>
      </c>
      <c r="C710" s="22" t="s">
        <v>7796</v>
      </c>
      <c r="D710" s="22" t="s">
        <v>7741</v>
      </c>
      <c r="E710" s="22" t="s">
        <v>1447</v>
      </c>
      <c r="F710" s="24" t="s">
        <v>1448</v>
      </c>
      <c r="G710" s="23" t="s">
        <v>32</v>
      </c>
      <c r="H710" s="22"/>
      <c r="I710" s="22" t="s">
        <v>172</v>
      </c>
      <c r="J710" s="22" t="s">
        <v>118</v>
      </c>
      <c r="K710" s="24" t="s">
        <v>7946</v>
      </c>
      <c r="L710" s="24"/>
      <c r="M710" s="25" t="s">
        <v>1449</v>
      </c>
      <c r="N710" s="22"/>
      <c r="O710" s="22" t="s">
        <v>1450</v>
      </c>
      <c r="P710" s="22" t="str">
        <f>HYPERLINK("https://ceds.ed.gov/cedselementdetails.aspx?termid=22630")</f>
        <v>https://ceds.ed.gov/cedselementdetails.aspx?termid=22630</v>
      </c>
      <c r="Q710" s="22">
        <v>63847</v>
      </c>
    </row>
    <row r="711" spans="1:17" ht="86.4" x14ac:dyDescent="0.3">
      <c r="A711" s="22" t="s">
        <v>7709</v>
      </c>
      <c r="B711" s="22" t="s">
        <v>9196</v>
      </c>
      <c r="C711" s="22" t="s">
        <v>7796</v>
      </c>
      <c r="D711" s="22" t="s">
        <v>7741</v>
      </c>
      <c r="E711" s="22" t="s">
        <v>1456</v>
      </c>
      <c r="F711" s="24" t="s">
        <v>1457</v>
      </c>
      <c r="G711" s="26" t="s">
        <v>8406</v>
      </c>
      <c r="H711" s="22"/>
      <c r="I711" s="22" t="s">
        <v>172</v>
      </c>
      <c r="J711" s="22"/>
      <c r="K711" s="24" t="s">
        <v>7946</v>
      </c>
      <c r="L711" s="24"/>
      <c r="M711" s="25" t="s">
        <v>1458</v>
      </c>
      <c r="N711" s="22"/>
      <c r="O711" s="22" t="s">
        <v>1459</v>
      </c>
      <c r="P711" s="22" t="str">
        <f>HYPERLINK("https://ceds.ed.gov/cedselementdetails.aspx?termid=21076")</f>
        <v>https://ceds.ed.gov/cedselementdetails.aspx?termid=21076</v>
      </c>
      <c r="Q711" s="22">
        <v>63848</v>
      </c>
    </row>
    <row r="712" spans="1:17" ht="86.4" x14ac:dyDescent="0.3">
      <c r="A712" s="22" t="s">
        <v>7709</v>
      </c>
      <c r="B712" s="22" t="s">
        <v>9196</v>
      </c>
      <c r="C712" s="22" t="s">
        <v>7796</v>
      </c>
      <c r="D712" s="22" t="s">
        <v>7741</v>
      </c>
      <c r="E712" s="22" t="s">
        <v>4814</v>
      </c>
      <c r="F712" s="24" t="s">
        <v>4815</v>
      </c>
      <c r="G712" s="26" t="s">
        <v>8461</v>
      </c>
      <c r="H712" s="22" t="s">
        <v>69</v>
      </c>
      <c r="I712" s="22" t="s">
        <v>172</v>
      </c>
      <c r="J712" s="22"/>
      <c r="K712" s="24" t="s">
        <v>7946</v>
      </c>
      <c r="L712" s="24" t="s">
        <v>4816</v>
      </c>
      <c r="M712" s="25" t="s">
        <v>4817</v>
      </c>
      <c r="N712" s="22"/>
      <c r="O712" s="22" t="s">
        <v>4818</v>
      </c>
      <c r="P712" s="22" t="str">
        <f>HYPERLINK("https://ceds.ed.gov/cedselementdetails.aspx?termid=21712")</f>
        <v>https://ceds.ed.gov/cedselementdetails.aspx?termid=21712</v>
      </c>
      <c r="Q712" s="22">
        <v>63849</v>
      </c>
    </row>
    <row r="713" spans="1:17" ht="259.2" x14ac:dyDescent="0.3">
      <c r="A713" s="22" t="s">
        <v>7709</v>
      </c>
      <c r="B713" s="22" t="s">
        <v>9196</v>
      </c>
      <c r="C713" s="22" t="s">
        <v>7796</v>
      </c>
      <c r="D713" s="22" t="s">
        <v>7741</v>
      </c>
      <c r="E713" s="22" t="s">
        <v>5290</v>
      </c>
      <c r="F713" s="24" t="s">
        <v>5291</v>
      </c>
      <c r="G713" s="26" t="s">
        <v>8470</v>
      </c>
      <c r="H713" s="22"/>
      <c r="I713" s="22" t="s">
        <v>172</v>
      </c>
      <c r="J713" s="22"/>
      <c r="K713" s="24" t="s">
        <v>7946</v>
      </c>
      <c r="L713" s="24"/>
      <c r="M713" s="25" t="s">
        <v>5292</v>
      </c>
      <c r="N713" s="22"/>
      <c r="O713" s="22" t="s">
        <v>5293</v>
      </c>
      <c r="P713" s="22" t="str">
        <f>HYPERLINK("https://ceds.ed.gov/cedselementdetails.aspx?termid=21617")</f>
        <v>https://ceds.ed.gov/cedselementdetails.aspx?termid=21617</v>
      </c>
      <c r="Q713" s="22">
        <v>63850</v>
      </c>
    </row>
    <row r="714" spans="1:17" ht="57.6" x14ac:dyDescent="0.3">
      <c r="A714" s="22" t="s">
        <v>7709</v>
      </c>
      <c r="B714" s="22" t="s">
        <v>9197</v>
      </c>
      <c r="C714" s="22" t="s">
        <v>7833</v>
      </c>
      <c r="D714" s="22" t="s">
        <v>7741</v>
      </c>
      <c r="E714" s="22" t="s">
        <v>1439</v>
      </c>
      <c r="F714" s="24" t="s">
        <v>1440</v>
      </c>
      <c r="G714" s="23" t="s">
        <v>32</v>
      </c>
      <c r="H714" s="22"/>
      <c r="I714" s="22" t="s">
        <v>172</v>
      </c>
      <c r="J714" s="22" t="s">
        <v>118</v>
      </c>
      <c r="K714" s="24" t="s">
        <v>7946</v>
      </c>
      <c r="L714" s="24" t="s">
        <v>143</v>
      </c>
      <c r="M714" s="25" t="s">
        <v>1441</v>
      </c>
      <c r="N714" s="22"/>
      <c r="O714" s="22" t="s">
        <v>1442</v>
      </c>
      <c r="P714" s="22" t="str">
        <f>HYPERLINK("https://ceds.ed.gov/cedselementdetails.aspx?termid=21518")</f>
        <v>https://ceds.ed.gov/cedselementdetails.aspx?termid=21518</v>
      </c>
      <c r="Q714" s="22">
        <v>63766</v>
      </c>
    </row>
    <row r="715" spans="1:17" ht="57.6" x14ac:dyDescent="0.3">
      <c r="A715" s="22" t="s">
        <v>7709</v>
      </c>
      <c r="B715" s="22" t="s">
        <v>9197</v>
      </c>
      <c r="C715" s="22"/>
      <c r="D715" s="22" t="s">
        <v>7710</v>
      </c>
      <c r="E715" s="22" t="s">
        <v>3308</v>
      </c>
      <c r="F715" s="24" t="s">
        <v>3309</v>
      </c>
      <c r="G715" s="23" t="s">
        <v>32</v>
      </c>
      <c r="H715" s="24" t="s">
        <v>2020</v>
      </c>
      <c r="I715" s="22"/>
      <c r="J715" s="22" t="s">
        <v>157</v>
      </c>
      <c r="K715" s="24"/>
      <c r="L715" s="24"/>
      <c r="M715" s="25" t="s">
        <v>3310</v>
      </c>
      <c r="N715" s="22"/>
      <c r="O715" s="22" t="s">
        <v>3311</v>
      </c>
      <c r="P715" s="22" t="str">
        <f>HYPERLINK("https://ceds.ed.gov/cedselementdetails.aspx?termid=21820")</f>
        <v>https://ceds.ed.gov/cedselementdetails.aspx?termid=21820</v>
      </c>
      <c r="Q715" s="22">
        <v>60269</v>
      </c>
    </row>
    <row r="716" spans="1:17" ht="28.8" x14ac:dyDescent="0.3">
      <c r="A716" s="22" t="s">
        <v>7709</v>
      </c>
      <c r="B716" s="22" t="s">
        <v>9197</v>
      </c>
      <c r="C716" s="22" t="s">
        <v>7833</v>
      </c>
      <c r="D716" s="22" t="s">
        <v>7741</v>
      </c>
      <c r="E716" s="22" t="s">
        <v>1443</v>
      </c>
      <c r="F716" s="24" t="s">
        <v>1444</v>
      </c>
      <c r="G716" s="23" t="s">
        <v>32</v>
      </c>
      <c r="H716" s="22"/>
      <c r="I716" s="22" t="s">
        <v>172</v>
      </c>
      <c r="J716" s="22" t="s">
        <v>118</v>
      </c>
      <c r="K716" s="24" t="s">
        <v>7946</v>
      </c>
      <c r="L716" s="24"/>
      <c r="M716" s="25" t="s">
        <v>1445</v>
      </c>
      <c r="N716" s="22"/>
      <c r="O716" s="22" t="s">
        <v>1446</v>
      </c>
      <c r="P716" s="22" t="str">
        <f>HYPERLINK("https://ceds.ed.gov/cedselementdetails.aspx?termid=21517")</f>
        <v>https://ceds.ed.gov/cedselementdetails.aspx?termid=21517</v>
      </c>
      <c r="Q716" s="22">
        <v>63767</v>
      </c>
    </row>
    <row r="717" spans="1:17" ht="172.8" x14ac:dyDescent="0.3">
      <c r="A717" s="22" t="s">
        <v>7709</v>
      </c>
      <c r="B717" s="22" t="s">
        <v>9197</v>
      </c>
      <c r="C717" s="22"/>
      <c r="D717" s="22" t="s">
        <v>7710</v>
      </c>
      <c r="E717" s="22" t="s">
        <v>3304</v>
      </c>
      <c r="F717" s="24" t="s">
        <v>3305</v>
      </c>
      <c r="G717" s="23" t="s">
        <v>32</v>
      </c>
      <c r="H717" s="24" t="s">
        <v>2020</v>
      </c>
      <c r="I717" s="22"/>
      <c r="J717" s="22" t="s">
        <v>132</v>
      </c>
      <c r="K717" s="24"/>
      <c r="L717" s="24" t="s">
        <v>7945</v>
      </c>
      <c r="M717" s="25" t="s">
        <v>3306</v>
      </c>
      <c r="N717" s="22"/>
      <c r="O717" s="22" t="s">
        <v>3307</v>
      </c>
      <c r="P717" s="22" t="str">
        <f>HYPERLINK("https://ceds.ed.gov/cedselementdetails.aspx?termid=21819")</f>
        <v>https://ceds.ed.gov/cedselementdetails.aspx?termid=21819</v>
      </c>
      <c r="Q717" s="22">
        <v>60268</v>
      </c>
    </row>
    <row r="718" spans="1:17" ht="28.8" x14ac:dyDescent="0.3">
      <c r="A718" s="22" t="s">
        <v>7709</v>
      </c>
      <c r="B718" s="22" t="s">
        <v>9197</v>
      </c>
      <c r="C718" s="22"/>
      <c r="D718" s="22" t="s">
        <v>7710</v>
      </c>
      <c r="E718" s="22" t="s">
        <v>2059</v>
      </c>
      <c r="F718" s="24" t="s">
        <v>2060</v>
      </c>
      <c r="G718" s="23" t="s">
        <v>32</v>
      </c>
      <c r="H718" s="24" t="s">
        <v>2063</v>
      </c>
      <c r="I718" s="22"/>
      <c r="J718" s="22" t="s">
        <v>430</v>
      </c>
      <c r="K718" s="24"/>
      <c r="L718" s="24"/>
      <c r="M718" s="25" t="s">
        <v>2061</v>
      </c>
      <c r="N718" s="22"/>
      <c r="O718" s="22" t="s">
        <v>2062</v>
      </c>
      <c r="P718" s="22" t="str">
        <f>HYPERLINK("https://ceds.ed.gov/cedselementdetails.aspx?termid=21510")</f>
        <v>https://ceds.ed.gov/cedselementdetails.aspx?termid=21510</v>
      </c>
      <c r="Q718" s="22">
        <v>60270</v>
      </c>
    </row>
    <row r="719" spans="1:17" ht="172.8" x14ac:dyDescent="0.3">
      <c r="A719" s="22" t="s">
        <v>7709</v>
      </c>
      <c r="B719" s="22" t="s">
        <v>9197</v>
      </c>
      <c r="C719" s="22" t="s">
        <v>7833</v>
      </c>
      <c r="D719" s="22" t="s">
        <v>7741</v>
      </c>
      <c r="E719" s="22" t="s">
        <v>6911</v>
      </c>
      <c r="F719" s="24" t="s">
        <v>6912</v>
      </c>
      <c r="G719" s="23" t="s">
        <v>32</v>
      </c>
      <c r="H719" s="24" t="s">
        <v>6915</v>
      </c>
      <c r="I719" s="22" t="s">
        <v>172</v>
      </c>
      <c r="J719" s="22" t="s">
        <v>132</v>
      </c>
      <c r="K719" s="24" t="s">
        <v>7946</v>
      </c>
      <c r="L719" s="24" t="s">
        <v>7945</v>
      </c>
      <c r="M719" s="25" t="s">
        <v>6913</v>
      </c>
      <c r="N719" s="22"/>
      <c r="O719" s="22" t="s">
        <v>6914</v>
      </c>
      <c r="P719" s="22" t="str">
        <f>HYPERLINK("https://ceds.ed.gov/cedselementdetails.aspx?termid=21156")</f>
        <v>https://ceds.ed.gov/cedselementdetails.aspx?termid=21156</v>
      </c>
      <c r="Q719" s="22">
        <v>63768</v>
      </c>
    </row>
    <row r="720" spans="1:17" ht="28.8" x14ac:dyDescent="0.3">
      <c r="A720" s="22" t="s">
        <v>7709</v>
      </c>
      <c r="B720" s="22" t="s">
        <v>9197</v>
      </c>
      <c r="C720" s="22"/>
      <c r="D720" s="22" t="s">
        <v>7710</v>
      </c>
      <c r="E720" s="22" t="s">
        <v>2064</v>
      </c>
      <c r="F720" s="24" t="s">
        <v>2065</v>
      </c>
      <c r="G720" s="23" t="s">
        <v>32</v>
      </c>
      <c r="H720" s="24" t="s">
        <v>2063</v>
      </c>
      <c r="I720" s="22"/>
      <c r="J720" s="22" t="s">
        <v>430</v>
      </c>
      <c r="K720" s="24"/>
      <c r="L720" s="24"/>
      <c r="M720" s="25" t="s">
        <v>2066</v>
      </c>
      <c r="N720" s="22"/>
      <c r="O720" s="22" t="s">
        <v>2067</v>
      </c>
      <c r="P720" s="22" t="str">
        <f>HYPERLINK("https://ceds.ed.gov/cedselementdetails.aspx?termid=21511")</f>
        <v>https://ceds.ed.gov/cedselementdetails.aspx?termid=21511</v>
      </c>
      <c r="Q720" s="22">
        <v>60271</v>
      </c>
    </row>
    <row r="721" spans="1:17" ht="244.8" x14ac:dyDescent="0.3">
      <c r="A721" s="22" t="s">
        <v>7709</v>
      </c>
      <c r="B721" s="22" t="s">
        <v>9197</v>
      </c>
      <c r="C721" s="22" t="s">
        <v>7833</v>
      </c>
      <c r="D721" s="22" t="s">
        <v>7741</v>
      </c>
      <c r="E721" s="22" t="s">
        <v>6906</v>
      </c>
      <c r="F721" s="24" t="s">
        <v>6907</v>
      </c>
      <c r="G721" s="26" t="s">
        <v>8531</v>
      </c>
      <c r="H721" s="24" t="s">
        <v>6910</v>
      </c>
      <c r="I721" s="22" t="s">
        <v>172</v>
      </c>
      <c r="J721" s="22"/>
      <c r="K721" s="24" t="s">
        <v>7946</v>
      </c>
      <c r="L721" s="24"/>
      <c r="M721" s="25" t="s">
        <v>6908</v>
      </c>
      <c r="N721" s="22"/>
      <c r="O721" s="22" t="s">
        <v>6909</v>
      </c>
      <c r="P721" s="22" t="str">
        <f>HYPERLINK("https://ceds.ed.gov/cedselementdetails.aspx?termid=21162")</f>
        <v>https://ceds.ed.gov/cedselementdetails.aspx?termid=21162</v>
      </c>
      <c r="Q721" s="22">
        <v>63769</v>
      </c>
    </row>
    <row r="722" spans="1:17" ht="100.8" x14ac:dyDescent="0.3">
      <c r="A722" s="22" t="s">
        <v>7709</v>
      </c>
      <c r="B722" s="22" t="s">
        <v>9197</v>
      </c>
      <c r="C722" s="22"/>
      <c r="D722" s="22" t="s">
        <v>7710</v>
      </c>
      <c r="E722" s="22" t="s">
        <v>6700</v>
      </c>
      <c r="F722" s="24" t="s">
        <v>6701</v>
      </c>
      <c r="G722" s="26" t="s">
        <v>9139</v>
      </c>
      <c r="H722" s="24" t="s">
        <v>3059</v>
      </c>
      <c r="I722" s="22"/>
      <c r="J722" s="22"/>
      <c r="K722" s="24"/>
      <c r="L722" s="24"/>
      <c r="M722" s="25" t="s">
        <v>6702</v>
      </c>
      <c r="N722" s="22"/>
      <c r="O722" s="22" t="s">
        <v>6703</v>
      </c>
      <c r="P722" s="22" t="str">
        <f>HYPERLINK("https://ceds.ed.gov/cedselementdetails.aspx?termid=21352")</f>
        <v>https://ceds.ed.gov/cedselementdetails.aspx?termid=21352</v>
      </c>
      <c r="Q722" s="22">
        <v>60276</v>
      </c>
    </row>
    <row r="723" spans="1:17" ht="72" x14ac:dyDescent="0.3">
      <c r="A723" s="22" t="s">
        <v>7709</v>
      </c>
      <c r="B723" s="22" t="s">
        <v>9197</v>
      </c>
      <c r="C723" s="22" t="s">
        <v>7833</v>
      </c>
      <c r="D723" s="22" t="s">
        <v>7741</v>
      </c>
      <c r="E723" s="22" t="s">
        <v>7114</v>
      </c>
      <c r="F723" s="24" t="s">
        <v>7115</v>
      </c>
      <c r="G723" s="23" t="s">
        <v>32</v>
      </c>
      <c r="H723" s="22" t="s">
        <v>7101</v>
      </c>
      <c r="I723" s="22" t="s">
        <v>172</v>
      </c>
      <c r="J723" s="22" t="s">
        <v>775</v>
      </c>
      <c r="K723" s="24" t="s">
        <v>7946</v>
      </c>
      <c r="L723" s="24"/>
      <c r="M723" s="25" t="s">
        <v>7116</v>
      </c>
      <c r="N723" s="22"/>
      <c r="O723" s="22" t="s">
        <v>7117</v>
      </c>
      <c r="P723" s="22" t="str">
        <f>HYPERLINK("https://ceds.ed.gov/cedselementdetails.aspx?termid=21651")</f>
        <v>https://ceds.ed.gov/cedselementdetails.aspx?termid=21651</v>
      </c>
      <c r="Q723" s="22">
        <v>63770</v>
      </c>
    </row>
    <row r="724" spans="1:17" ht="57.6" x14ac:dyDescent="0.3">
      <c r="A724" s="22" t="s">
        <v>7709</v>
      </c>
      <c r="B724" s="22" t="s">
        <v>9197</v>
      </c>
      <c r="C724" s="22"/>
      <c r="D724" s="22" t="s">
        <v>7710</v>
      </c>
      <c r="E724" s="22" t="s">
        <v>4376</v>
      </c>
      <c r="F724" s="24" t="s">
        <v>4377</v>
      </c>
      <c r="G724" s="23" t="s">
        <v>32</v>
      </c>
      <c r="H724" s="24" t="s">
        <v>3059</v>
      </c>
      <c r="I724" s="22"/>
      <c r="J724" s="22" t="s">
        <v>1518</v>
      </c>
      <c r="K724" s="24"/>
      <c r="L724" s="24"/>
      <c r="M724" s="25" t="s">
        <v>4378</v>
      </c>
      <c r="N724" s="22"/>
      <c r="O724" s="22" t="s">
        <v>4379</v>
      </c>
      <c r="P724" s="22" t="str">
        <f>HYPERLINK("https://ceds.ed.gov/cedselementdetails.aspx?termid=21353")</f>
        <v>https://ceds.ed.gov/cedselementdetails.aspx?termid=21353</v>
      </c>
      <c r="Q724" s="22">
        <v>60277</v>
      </c>
    </row>
    <row r="725" spans="1:17" ht="57.6" x14ac:dyDescent="0.3">
      <c r="A725" s="22" t="s">
        <v>7709</v>
      </c>
      <c r="B725" s="22" t="s">
        <v>9197</v>
      </c>
      <c r="C725" s="22" t="s">
        <v>7833</v>
      </c>
      <c r="D725" s="22" t="s">
        <v>7741</v>
      </c>
      <c r="E725" s="22" t="s">
        <v>7118</v>
      </c>
      <c r="F725" s="24" t="s">
        <v>7119</v>
      </c>
      <c r="G725" s="23" t="s">
        <v>32</v>
      </c>
      <c r="H725" s="22" t="s">
        <v>7101</v>
      </c>
      <c r="I725" s="22" t="s">
        <v>172</v>
      </c>
      <c r="J725" s="22" t="s">
        <v>118</v>
      </c>
      <c r="K725" s="24" t="s">
        <v>7946</v>
      </c>
      <c r="L725" s="24" t="s">
        <v>7120</v>
      </c>
      <c r="M725" s="25" t="s">
        <v>7121</v>
      </c>
      <c r="N725" s="22"/>
      <c r="O725" s="22" t="s">
        <v>7122</v>
      </c>
      <c r="P725" s="22" t="str">
        <f>HYPERLINK("https://ceds.ed.gov/cedselementdetails.aspx?termid=21648")</f>
        <v>https://ceds.ed.gov/cedselementdetails.aspx?termid=21648</v>
      </c>
      <c r="Q725" s="22">
        <v>63771</v>
      </c>
    </row>
    <row r="726" spans="1:17" ht="57.6" x14ac:dyDescent="0.3">
      <c r="A726" s="22" t="s">
        <v>7709</v>
      </c>
      <c r="B726" s="22" t="s">
        <v>9197</v>
      </c>
      <c r="C726" s="22"/>
      <c r="D726" s="22" t="s">
        <v>7710</v>
      </c>
      <c r="E726" s="22" t="s">
        <v>3055</v>
      </c>
      <c r="F726" s="24" t="s">
        <v>3056</v>
      </c>
      <c r="G726" s="23" t="s">
        <v>32</v>
      </c>
      <c r="H726" s="24" t="s">
        <v>3059</v>
      </c>
      <c r="I726" s="22"/>
      <c r="J726" s="22" t="s">
        <v>317</v>
      </c>
      <c r="K726" s="24"/>
      <c r="L726" s="24"/>
      <c r="M726" s="25" t="s">
        <v>3057</v>
      </c>
      <c r="N726" s="22"/>
      <c r="O726" s="22" t="s">
        <v>3058</v>
      </c>
      <c r="P726" s="22" t="str">
        <f>HYPERLINK("https://ceds.ed.gov/cedselementdetails.aspx?termid=21354")</f>
        <v>https://ceds.ed.gov/cedselementdetails.aspx?termid=21354</v>
      </c>
      <c r="Q726" s="22">
        <v>60278</v>
      </c>
    </row>
    <row r="727" spans="1:17" ht="72" x14ac:dyDescent="0.3">
      <c r="A727" s="22" t="s">
        <v>7709</v>
      </c>
      <c r="B727" s="22" t="s">
        <v>9197</v>
      </c>
      <c r="C727" s="22" t="s">
        <v>7833</v>
      </c>
      <c r="D727" s="22" t="s">
        <v>7741</v>
      </c>
      <c r="E727" s="22" t="s">
        <v>7123</v>
      </c>
      <c r="F727" s="24" t="s">
        <v>8340</v>
      </c>
      <c r="G727" s="26" t="s">
        <v>8548</v>
      </c>
      <c r="H727" s="22" t="s">
        <v>7101</v>
      </c>
      <c r="I727" s="22" t="s">
        <v>172</v>
      </c>
      <c r="J727" s="22"/>
      <c r="K727" s="24" t="s">
        <v>7946</v>
      </c>
      <c r="L727" s="24"/>
      <c r="M727" s="25" t="s">
        <v>7124</v>
      </c>
      <c r="N727" s="22"/>
      <c r="O727" s="22" t="s">
        <v>7125</v>
      </c>
      <c r="P727" s="22" t="str">
        <f>HYPERLINK("https://ceds.ed.gov/cedselementdetails.aspx?termid=21650")</f>
        <v>https://ceds.ed.gov/cedselementdetails.aspx?termid=21650</v>
      </c>
      <c r="Q727" s="22">
        <v>63772</v>
      </c>
    </row>
    <row r="728" spans="1:17" ht="115.2" x14ac:dyDescent="0.3">
      <c r="A728" s="22" t="s">
        <v>7709</v>
      </c>
      <c r="B728" s="22" t="s">
        <v>9197</v>
      </c>
      <c r="C728" s="22"/>
      <c r="D728" s="22" t="s">
        <v>7710</v>
      </c>
      <c r="E728" s="22" t="s">
        <v>3289</v>
      </c>
      <c r="F728" s="24" t="s">
        <v>8085</v>
      </c>
      <c r="G728" s="26" t="s">
        <v>8813</v>
      </c>
      <c r="H728" s="24" t="s">
        <v>3059</v>
      </c>
      <c r="I728" s="22"/>
      <c r="J728" s="22"/>
      <c r="K728" s="24"/>
      <c r="L728" s="24"/>
      <c r="M728" s="25" t="s">
        <v>3290</v>
      </c>
      <c r="N728" s="22"/>
      <c r="O728" s="22" t="s">
        <v>3291</v>
      </c>
      <c r="P728" s="22" t="str">
        <f>HYPERLINK("https://ceds.ed.gov/cedselementdetails.aspx?termid=21355")</f>
        <v>https://ceds.ed.gov/cedselementdetails.aspx?termid=21355</v>
      </c>
      <c r="Q728" s="22">
        <v>60279</v>
      </c>
    </row>
    <row r="729" spans="1:17" ht="28.8" x14ac:dyDescent="0.3">
      <c r="A729" s="22" t="s">
        <v>7709</v>
      </c>
      <c r="B729" s="22" t="s">
        <v>9197</v>
      </c>
      <c r="C729" s="22" t="s">
        <v>7833</v>
      </c>
      <c r="D729" s="22" t="s">
        <v>7741</v>
      </c>
      <c r="E729" s="22" t="s">
        <v>7126</v>
      </c>
      <c r="F729" s="24" t="s">
        <v>7127</v>
      </c>
      <c r="G729" s="23" t="s">
        <v>32</v>
      </c>
      <c r="H729" s="22" t="s">
        <v>7101</v>
      </c>
      <c r="I729" s="22" t="s">
        <v>172</v>
      </c>
      <c r="J729" s="22" t="s">
        <v>118</v>
      </c>
      <c r="K729" s="24" t="s">
        <v>7946</v>
      </c>
      <c r="L729" s="24"/>
      <c r="M729" s="25" t="s">
        <v>7128</v>
      </c>
      <c r="N729" s="22"/>
      <c r="O729" s="22" t="s">
        <v>7129</v>
      </c>
      <c r="P729" s="22" t="str">
        <f>HYPERLINK("https://ceds.ed.gov/cedselementdetails.aspx?termid=21647")</f>
        <v>https://ceds.ed.gov/cedselementdetails.aspx?termid=21647</v>
      </c>
      <c r="Q729" s="22">
        <v>63773</v>
      </c>
    </row>
    <row r="730" spans="1:17" ht="28.8" x14ac:dyDescent="0.3">
      <c r="A730" s="22" t="s">
        <v>7709</v>
      </c>
      <c r="B730" s="22" t="s">
        <v>9197</v>
      </c>
      <c r="C730" s="22"/>
      <c r="D730" s="22" t="s">
        <v>7710</v>
      </c>
      <c r="E730" s="22" t="s">
        <v>3380</v>
      </c>
      <c r="F730" s="24" t="s">
        <v>3381</v>
      </c>
      <c r="G730" s="23" t="s">
        <v>32</v>
      </c>
      <c r="H730" s="24" t="s">
        <v>2063</v>
      </c>
      <c r="I730" s="22"/>
      <c r="J730" s="22" t="s">
        <v>3382</v>
      </c>
      <c r="K730" s="24"/>
      <c r="L730" s="24"/>
      <c r="M730" s="25" t="s">
        <v>3383</v>
      </c>
      <c r="N730" s="22"/>
      <c r="O730" s="22" t="s">
        <v>3384</v>
      </c>
      <c r="P730" s="22" t="str">
        <f>HYPERLINK("https://ceds.ed.gov/cedselementdetails.aspx?termid=21824")</f>
        <v>https://ceds.ed.gov/cedselementdetails.aspx?termid=21824</v>
      </c>
      <c r="Q730" s="22">
        <v>60281</v>
      </c>
    </row>
    <row r="731" spans="1:17" ht="57.6" x14ac:dyDescent="0.3">
      <c r="A731" s="22" t="s">
        <v>7709</v>
      </c>
      <c r="B731" s="22" t="s">
        <v>9197</v>
      </c>
      <c r="C731" s="22"/>
      <c r="D731" s="22" t="s">
        <v>7710</v>
      </c>
      <c r="E731" s="22" t="s">
        <v>3439</v>
      </c>
      <c r="F731" s="24" t="s">
        <v>8100</v>
      </c>
      <c r="G731" s="23" t="s">
        <v>32</v>
      </c>
      <c r="H731" s="24" t="s">
        <v>3363</v>
      </c>
      <c r="I731" s="22"/>
      <c r="J731" s="22" t="s">
        <v>317</v>
      </c>
      <c r="K731" s="24"/>
      <c r="L731" s="24"/>
      <c r="M731" s="25" t="s">
        <v>3440</v>
      </c>
      <c r="N731" s="22"/>
      <c r="O731" s="22" t="s">
        <v>3441</v>
      </c>
      <c r="P731" s="22" t="str">
        <f>HYPERLINK("https://ceds.ed.gov/cedselementdetails.aspx?termid=21626")</f>
        <v>https://ceds.ed.gov/cedselementdetails.aspx?termid=21626</v>
      </c>
      <c r="Q731" s="22">
        <v>60272</v>
      </c>
    </row>
    <row r="732" spans="1:17" ht="57.6" x14ac:dyDescent="0.3">
      <c r="A732" s="22" t="s">
        <v>7709</v>
      </c>
      <c r="B732" s="22" t="s">
        <v>9197</v>
      </c>
      <c r="C732" s="22"/>
      <c r="D732" s="22" t="s">
        <v>7710</v>
      </c>
      <c r="E732" s="22" t="s">
        <v>3360</v>
      </c>
      <c r="F732" s="24" t="s">
        <v>8095</v>
      </c>
      <c r="G732" s="23" t="s">
        <v>32</v>
      </c>
      <c r="H732" s="24" t="s">
        <v>3363</v>
      </c>
      <c r="I732" s="22"/>
      <c r="J732" s="22" t="s">
        <v>317</v>
      </c>
      <c r="K732" s="24"/>
      <c r="L732" s="24"/>
      <c r="M732" s="25" t="s">
        <v>3361</v>
      </c>
      <c r="N732" s="22"/>
      <c r="O732" s="22" t="s">
        <v>3362</v>
      </c>
      <c r="P732" s="22" t="str">
        <f>HYPERLINK("https://ceds.ed.gov/cedselementdetails.aspx?termid=22189")</f>
        <v>https://ceds.ed.gov/cedselementdetails.aspx?termid=22189</v>
      </c>
      <c r="Q732" s="22">
        <v>59961</v>
      </c>
    </row>
    <row r="733" spans="1:17" x14ac:dyDescent="0.3">
      <c r="A733" s="22" t="s">
        <v>7709</v>
      </c>
      <c r="B733" s="22" t="s">
        <v>9197</v>
      </c>
      <c r="C733" s="22"/>
      <c r="D733" s="22" t="s">
        <v>7710</v>
      </c>
      <c r="E733" s="22" t="s">
        <v>3348</v>
      </c>
      <c r="F733" s="24" t="s">
        <v>3349</v>
      </c>
      <c r="G733" s="23" t="s">
        <v>32</v>
      </c>
      <c r="H733" s="22"/>
      <c r="I733" s="22"/>
      <c r="J733" s="22" t="s">
        <v>317</v>
      </c>
      <c r="K733" s="24"/>
      <c r="L733" s="24"/>
      <c r="M733" s="25" t="s">
        <v>3350</v>
      </c>
      <c r="N733" s="22"/>
      <c r="O733" s="22" t="s">
        <v>3351</v>
      </c>
      <c r="P733" s="22" t="str">
        <f>HYPERLINK("https://ceds.ed.gov/cedselementdetails.aspx?termid=22295")</f>
        <v>https://ceds.ed.gov/cedselementdetails.aspx?termid=22295</v>
      </c>
      <c r="Q733" s="22">
        <v>61135</v>
      </c>
    </row>
    <row r="734" spans="1:17" ht="72" x14ac:dyDescent="0.3">
      <c r="A734" s="22" t="s">
        <v>7709</v>
      </c>
      <c r="B734" s="22" t="s">
        <v>9197</v>
      </c>
      <c r="C734" s="22"/>
      <c r="D734" s="22" t="s">
        <v>7710</v>
      </c>
      <c r="E734" s="22" t="s">
        <v>3352</v>
      </c>
      <c r="F734" s="24" t="s">
        <v>3353</v>
      </c>
      <c r="G734" s="26" t="s">
        <v>8818</v>
      </c>
      <c r="H734" s="22" t="s">
        <v>109</v>
      </c>
      <c r="I734" s="22"/>
      <c r="J734" s="22"/>
      <c r="K734" s="24"/>
      <c r="L734" s="24"/>
      <c r="M734" s="25" t="s">
        <v>3354</v>
      </c>
      <c r="N734" s="22"/>
      <c r="O734" s="22" t="s">
        <v>3355</v>
      </c>
      <c r="P734" s="22" t="str">
        <f>HYPERLINK("https://ceds.ed.gov/cedselementdetails.aspx?termid=21823")</f>
        <v>https://ceds.ed.gov/cedselementdetails.aspx?termid=21823</v>
      </c>
      <c r="Q734" s="22">
        <v>60275</v>
      </c>
    </row>
    <row r="735" spans="1:17" ht="43.2" x14ac:dyDescent="0.3">
      <c r="A735" s="22" t="s">
        <v>7709</v>
      </c>
      <c r="B735" s="22" t="s">
        <v>9197</v>
      </c>
      <c r="C735" s="22"/>
      <c r="D735" s="22" t="s">
        <v>7710</v>
      </c>
      <c r="E735" s="22" t="s">
        <v>6680</v>
      </c>
      <c r="F735" s="24" t="s">
        <v>6681</v>
      </c>
      <c r="G735" s="26" t="s">
        <v>22</v>
      </c>
      <c r="H735" s="24" t="s">
        <v>2063</v>
      </c>
      <c r="I735" s="22"/>
      <c r="J735" s="22"/>
      <c r="K735" s="24"/>
      <c r="L735" s="24"/>
      <c r="M735" s="25" t="s">
        <v>6682</v>
      </c>
      <c r="N735" s="22"/>
      <c r="O735" s="22" t="s">
        <v>6683</v>
      </c>
      <c r="P735" s="22" t="str">
        <f>HYPERLINK("https://ceds.ed.gov/cedselementdetails.aspx?termid=21821")</f>
        <v>https://ceds.ed.gov/cedselementdetails.aspx?termid=21821</v>
      </c>
      <c r="Q735" s="22">
        <v>60273</v>
      </c>
    </row>
    <row r="736" spans="1:17" ht="144" x14ac:dyDescent="0.3">
      <c r="A736" s="22" t="s">
        <v>7709</v>
      </c>
      <c r="B736" s="22" t="s">
        <v>9197</v>
      </c>
      <c r="C736" s="22"/>
      <c r="D736" s="22" t="s">
        <v>7710</v>
      </c>
      <c r="E736" s="22" t="s">
        <v>3300</v>
      </c>
      <c r="F736" s="24" t="s">
        <v>3301</v>
      </c>
      <c r="G736" s="26" t="s">
        <v>8814</v>
      </c>
      <c r="H736" s="22" t="s">
        <v>109</v>
      </c>
      <c r="I736" s="22"/>
      <c r="J736" s="22" t="s">
        <v>157</v>
      </c>
      <c r="K736" s="24"/>
      <c r="L736" s="24"/>
      <c r="M736" s="25" t="s">
        <v>3302</v>
      </c>
      <c r="N736" s="22"/>
      <c r="O736" s="22" t="s">
        <v>3303</v>
      </c>
      <c r="P736" s="22" t="str">
        <f>HYPERLINK("https://ceds.ed.gov/cedselementdetails.aspx?termid=21822")</f>
        <v>https://ceds.ed.gov/cedselementdetails.aspx?termid=21822</v>
      </c>
      <c r="Q736" s="22">
        <v>60274</v>
      </c>
    </row>
    <row r="737" spans="1:17" ht="43.2" x14ac:dyDescent="0.3">
      <c r="A737" s="22" t="s">
        <v>7709</v>
      </c>
      <c r="B737" s="22" t="s">
        <v>9197</v>
      </c>
      <c r="C737" s="22"/>
      <c r="D737" s="22" t="s">
        <v>7710</v>
      </c>
      <c r="E737" s="22" t="s">
        <v>4962</v>
      </c>
      <c r="F737" s="24" t="s">
        <v>8235</v>
      </c>
      <c r="G737" s="26" t="s">
        <v>22</v>
      </c>
      <c r="H737" s="22"/>
      <c r="I737" s="22"/>
      <c r="J737" s="22"/>
      <c r="K737" s="24"/>
      <c r="L737" s="24"/>
      <c r="M737" s="25" t="s">
        <v>4963</v>
      </c>
      <c r="N737" s="22"/>
      <c r="O737" s="22" t="s">
        <v>4964</v>
      </c>
      <c r="P737" s="22" t="str">
        <f>HYPERLINK("https://ceds.ed.gov/cedselementdetails.aspx?termid=22190")</f>
        <v>https://ceds.ed.gov/cedselementdetails.aspx?termid=22190</v>
      </c>
      <c r="Q737" s="22">
        <v>59632</v>
      </c>
    </row>
    <row r="738" spans="1:17" ht="28.8" x14ac:dyDescent="0.3">
      <c r="A738" s="22" t="s">
        <v>7709</v>
      </c>
      <c r="B738" s="22" t="s">
        <v>9197</v>
      </c>
      <c r="C738" s="22"/>
      <c r="D738" s="22" t="s">
        <v>7741</v>
      </c>
      <c r="E738" s="22" t="s">
        <v>7947</v>
      </c>
      <c r="F738" s="24" t="s">
        <v>7948</v>
      </c>
      <c r="G738" s="23" t="s">
        <v>32</v>
      </c>
      <c r="H738" s="22"/>
      <c r="I738" s="22" t="s">
        <v>167</v>
      </c>
      <c r="J738" s="22" t="s">
        <v>148</v>
      </c>
      <c r="K738" s="24" t="s">
        <v>7949</v>
      </c>
      <c r="L738" s="24"/>
      <c r="M738" s="25" t="s">
        <v>8351</v>
      </c>
      <c r="N738" s="22"/>
      <c r="O738" s="22" t="s">
        <v>7950</v>
      </c>
      <c r="P738" s="22" t="str">
        <f>HYPERLINK("https://ceds.ed.gov/cedselementdetails.aspx?termid=22972")</f>
        <v>https://ceds.ed.gov/cedselementdetails.aspx?termid=22972</v>
      </c>
      <c r="Q738" s="22">
        <v>63742</v>
      </c>
    </row>
    <row r="739" spans="1:17" ht="43.2" x14ac:dyDescent="0.3">
      <c r="A739" s="22" t="s">
        <v>7709</v>
      </c>
      <c r="B739" s="22" t="s">
        <v>9197</v>
      </c>
      <c r="C739" s="22"/>
      <c r="D739" s="22" t="s">
        <v>7741</v>
      </c>
      <c r="E739" s="22" t="s">
        <v>7951</v>
      </c>
      <c r="F739" s="24" t="s">
        <v>7952</v>
      </c>
      <c r="G739" s="26" t="s">
        <v>8376</v>
      </c>
      <c r="H739" s="22"/>
      <c r="I739" s="22" t="s">
        <v>167</v>
      </c>
      <c r="J739" s="22" t="s">
        <v>2</v>
      </c>
      <c r="K739" s="24" t="s">
        <v>7949</v>
      </c>
      <c r="L739" s="24"/>
      <c r="M739" s="25" t="s">
        <v>8352</v>
      </c>
      <c r="N739" s="22"/>
      <c r="O739" s="22" t="s">
        <v>7953</v>
      </c>
      <c r="P739" s="22" t="str">
        <f>HYPERLINK("https://ceds.ed.gov/cedselementdetails.aspx?termid=22973")</f>
        <v>https://ceds.ed.gov/cedselementdetails.aspx?termid=22973</v>
      </c>
      <c r="Q739" s="22">
        <v>63743</v>
      </c>
    </row>
    <row r="740" spans="1:17" ht="28.8" x14ac:dyDescent="0.3">
      <c r="A740" s="22" t="s">
        <v>7709</v>
      </c>
      <c r="B740" s="22" t="s">
        <v>9197</v>
      </c>
      <c r="C740" s="22"/>
      <c r="D740" s="22" t="s">
        <v>7741</v>
      </c>
      <c r="E740" s="22" t="s">
        <v>1447</v>
      </c>
      <c r="F740" s="24" t="s">
        <v>1448</v>
      </c>
      <c r="G740" s="23" t="s">
        <v>32</v>
      </c>
      <c r="H740" s="22"/>
      <c r="I740" s="22" t="s">
        <v>172</v>
      </c>
      <c r="J740" s="22" t="s">
        <v>118</v>
      </c>
      <c r="K740" s="24" t="s">
        <v>7946</v>
      </c>
      <c r="L740" s="24"/>
      <c r="M740" s="25" t="s">
        <v>1449</v>
      </c>
      <c r="N740" s="22"/>
      <c r="O740" s="22" t="s">
        <v>1450</v>
      </c>
      <c r="P740" s="22" t="str">
        <f>HYPERLINK("https://ceds.ed.gov/cedselementdetails.aspx?termid=22630")</f>
        <v>https://ceds.ed.gov/cedselementdetails.aspx?termid=22630</v>
      </c>
      <c r="Q740" s="22">
        <v>63744</v>
      </c>
    </row>
    <row r="741" spans="1:17" ht="86.4" x14ac:dyDescent="0.3">
      <c r="A741" s="22" t="s">
        <v>7709</v>
      </c>
      <c r="B741" s="22" t="s">
        <v>9197</v>
      </c>
      <c r="C741" s="22"/>
      <c r="D741" s="22" t="s">
        <v>7741</v>
      </c>
      <c r="E741" s="22" t="s">
        <v>1456</v>
      </c>
      <c r="F741" s="24" t="s">
        <v>1457</v>
      </c>
      <c r="G741" s="26" t="s">
        <v>8406</v>
      </c>
      <c r="H741" s="22"/>
      <c r="I741" s="22" t="s">
        <v>172</v>
      </c>
      <c r="J741" s="22"/>
      <c r="K741" s="24" t="s">
        <v>7946</v>
      </c>
      <c r="L741" s="24"/>
      <c r="M741" s="25" t="s">
        <v>1458</v>
      </c>
      <c r="N741" s="22"/>
      <c r="O741" s="22" t="s">
        <v>1459</v>
      </c>
      <c r="P741" s="22" t="str">
        <f>HYPERLINK("https://ceds.ed.gov/cedselementdetails.aspx?termid=21076")</f>
        <v>https://ceds.ed.gov/cedselementdetails.aspx?termid=21076</v>
      </c>
      <c r="Q741" s="22">
        <v>63745</v>
      </c>
    </row>
    <row r="742" spans="1:17" ht="28.8" x14ac:dyDescent="0.3">
      <c r="A742" s="22" t="s">
        <v>7709</v>
      </c>
      <c r="B742" s="22" t="s">
        <v>9197</v>
      </c>
      <c r="C742" s="22"/>
      <c r="D742" s="22" t="s">
        <v>7741</v>
      </c>
      <c r="E742" s="22" t="s">
        <v>2571</v>
      </c>
      <c r="F742" s="24" t="s">
        <v>2572</v>
      </c>
      <c r="G742" s="23" t="s">
        <v>32</v>
      </c>
      <c r="H742" s="24" t="s">
        <v>1965</v>
      </c>
      <c r="I742" s="22" t="s">
        <v>172</v>
      </c>
      <c r="J742" s="22" t="s">
        <v>118</v>
      </c>
      <c r="K742" s="24" t="s">
        <v>7946</v>
      </c>
      <c r="L742" s="24"/>
      <c r="M742" s="25" t="s">
        <v>2573</v>
      </c>
      <c r="N742" s="22"/>
      <c r="O742" s="22" t="s">
        <v>2574</v>
      </c>
      <c r="P742" s="22" t="str">
        <f>HYPERLINK("https://ceds.ed.gov/cedselementdetails.aspx?termid=21054")</f>
        <v>https://ceds.ed.gov/cedselementdetails.aspx?termid=21054</v>
      </c>
      <c r="Q742" s="22">
        <v>63746</v>
      </c>
    </row>
    <row r="743" spans="1:17" ht="144" x14ac:dyDescent="0.3">
      <c r="A743" s="22" t="s">
        <v>7709</v>
      </c>
      <c r="B743" s="22" t="s">
        <v>9197</v>
      </c>
      <c r="C743" s="22"/>
      <c r="D743" s="22" t="s">
        <v>7741</v>
      </c>
      <c r="E743" s="22" t="s">
        <v>2579</v>
      </c>
      <c r="F743" s="24" t="s">
        <v>2580</v>
      </c>
      <c r="G743" s="26" t="s">
        <v>8420</v>
      </c>
      <c r="H743" s="24" t="s">
        <v>1521</v>
      </c>
      <c r="I743" s="22" t="s">
        <v>172</v>
      </c>
      <c r="J743" s="22"/>
      <c r="K743" s="24" t="s">
        <v>7946</v>
      </c>
      <c r="L743" s="24"/>
      <c r="M743" s="25" t="s">
        <v>2582</v>
      </c>
      <c r="N743" s="22"/>
      <c r="O743" s="22" t="s">
        <v>2583</v>
      </c>
      <c r="P743" s="22" t="str">
        <f>HYPERLINK("https://ceds.ed.gov/cedselementdetails.aspx?termid=21056")</f>
        <v>https://ceds.ed.gov/cedselementdetails.aspx?termid=21056</v>
      </c>
      <c r="Q743" s="22">
        <v>63747</v>
      </c>
    </row>
    <row r="744" spans="1:17" ht="57.6" x14ac:dyDescent="0.3">
      <c r="A744" s="22" t="s">
        <v>7709</v>
      </c>
      <c r="B744" s="22" t="s">
        <v>9197</v>
      </c>
      <c r="C744" s="22"/>
      <c r="D744" s="22" t="s">
        <v>7741</v>
      </c>
      <c r="E744" s="22" t="s">
        <v>2609</v>
      </c>
      <c r="F744" s="24" t="s">
        <v>2610</v>
      </c>
      <c r="G744" s="23" t="s">
        <v>32</v>
      </c>
      <c r="H744" s="24" t="s">
        <v>1965</v>
      </c>
      <c r="I744" s="22" t="s">
        <v>172</v>
      </c>
      <c r="J744" s="22" t="s">
        <v>118</v>
      </c>
      <c r="K744" s="24" t="s">
        <v>7946</v>
      </c>
      <c r="L744" s="24" t="s">
        <v>143</v>
      </c>
      <c r="M744" s="25" t="s">
        <v>2611</v>
      </c>
      <c r="N744" s="22"/>
      <c r="O744" s="22" t="s">
        <v>2612</v>
      </c>
      <c r="P744" s="22" t="str">
        <f>HYPERLINK("https://ceds.ed.gov/cedselementdetails.aspx?termid=21059")</f>
        <v>https://ceds.ed.gov/cedselementdetails.aspx?termid=21059</v>
      </c>
      <c r="Q744" s="22">
        <v>63748</v>
      </c>
    </row>
    <row r="745" spans="1:17" ht="302.39999999999998" x14ac:dyDescent="0.3">
      <c r="A745" s="22" t="s">
        <v>7709</v>
      </c>
      <c r="B745" s="22" t="s">
        <v>9197</v>
      </c>
      <c r="C745" s="22"/>
      <c r="D745" s="22" t="s">
        <v>7741</v>
      </c>
      <c r="E745" s="22" t="s">
        <v>2654</v>
      </c>
      <c r="F745" s="24" t="s">
        <v>2655</v>
      </c>
      <c r="G745" s="26" t="s">
        <v>8422</v>
      </c>
      <c r="H745" s="22"/>
      <c r="I745" s="22" t="s">
        <v>172</v>
      </c>
      <c r="J745" s="22"/>
      <c r="K745" s="24" t="s">
        <v>7946</v>
      </c>
      <c r="L745" s="24"/>
      <c r="M745" s="25" t="s">
        <v>2657</v>
      </c>
      <c r="N745" s="22"/>
      <c r="O745" s="22" t="s">
        <v>2658</v>
      </c>
      <c r="P745" s="22" t="str">
        <f>HYPERLINK("https://ceds.ed.gov/cedselementdetails.aspx?termid=22278")</f>
        <v>https://ceds.ed.gov/cedselementdetails.aspx?termid=22278</v>
      </c>
      <c r="Q745" s="22">
        <v>63749</v>
      </c>
    </row>
    <row r="746" spans="1:17" ht="172.8" x14ac:dyDescent="0.3">
      <c r="A746" s="22" t="s">
        <v>7709</v>
      </c>
      <c r="B746" s="22" t="s">
        <v>9197</v>
      </c>
      <c r="C746" s="22"/>
      <c r="D746" s="22" t="s">
        <v>7741</v>
      </c>
      <c r="E746" s="22" t="s">
        <v>2688</v>
      </c>
      <c r="F746" s="24" t="s">
        <v>2689</v>
      </c>
      <c r="G746" s="23" t="s">
        <v>32</v>
      </c>
      <c r="H746" s="22"/>
      <c r="I746" s="22" t="s">
        <v>172</v>
      </c>
      <c r="J746" s="22" t="s">
        <v>118</v>
      </c>
      <c r="K746" s="24" t="s">
        <v>7946</v>
      </c>
      <c r="L746" s="24" t="s">
        <v>2691</v>
      </c>
      <c r="M746" s="25" t="s">
        <v>2692</v>
      </c>
      <c r="N746" s="22"/>
      <c r="O746" s="22" t="s">
        <v>2693</v>
      </c>
      <c r="P746" s="22" t="str">
        <f>HYPERLINK("https://ceds.ed.gov/cedselementdetails.aspx?termid=21976")</f>
        <v>https://ceds.ed.gov/cedselementdetails.aspx?termid=21976</v>
      </c>
      <c r="Q746" s="22">
        <v>63750</v>
      </c>
    </row>
    <row r="747" spans="1:17" ht="115.2" x14ac:dyDescent="0.3">
      <c r="A747" s="22" t="s">
        <v>7709</v>
      </c>
      <c r="B747" s="22" t="s">
        <v>9197</v>
      </c>
      <c r="C747" s="22"/>
      <c r="D747" s="22" t="s">
        <v>7741</v>
      </c>
      <c r="E747" s="22" t="s">
        <v>2694</v>
      </c>
      <c r="F747" s="24" t="s">
        <v>2695</v>
      </c>
      <c r="G747" s="23" t="s">
        <v>32</v>
      </c>
      <c r="H747" s="22"/>
      <c r="I747" s="22" t="s">
        <v>172</v>
      </c>
      <c r="J747" s="22" t="s">
        <v>118</v>
      </c>
      <c r="K747" s="24" t="s">
        <v>7946</v>
      </c>
      <c r="L747" s="24" t="s">
        <v>2696</v>
      </c>
      <c r="M747" s="25" t="s">
        <v>2697</v>
      </c>
      <c r="N747" s="22"/>
      <c r="O747" s="22" t="s">
        <v>2698</v>
      </c>
      <c r="P747" s="22" t="str">
        <f>HYPERLINK("https://ceds.ed.gov/cedselementdetails.aspx?termid=21975")</f>
        <v>https://ceds.ed.gov/cedselementdetails.aspx?termid=21975</v>
      </c>
      <c r="Q747" s="22">
        <v>63751</v>
      </c>
    </row>
    <row r="748" spans="1:17" ht="28.8" x14ac:dyDescent="0.3">
      <c r="A748" s="22" t="s">
        <v>7709</v>
      </c>
      <c r="B748" s="22" t="s">
        <v>9197</v>
      </c>
      <c r="C748" s="22"/>
      <c r="D748" s="22" t="s">
        <v>7741</v>
      </c>
      <c r="E748" s="22" t="s">
        <v>8086</v>
      </c>
      <c r="F748" s="24" t="s">
        <v>8087</v>
      </c>
      <c r="G748" s="23" t="s">
        <v>32</v>
      </c>
      <c r="H748" s="22"/>
      <c r="I748" s="22" t="s">
        <v>167</v>
      </c>
      <c r="J748" s="22" t="s">
        <v>148</v>
      </c>
      <c r="K748" s="24" t="s">
        <v>7949</v>
      </c>
      <c r="L748" s="24"/>
      <c r="M748" s="25" t="s">
        <v>8355</v>
      </c>
      <c r="N748" s="22"/>
      <c r="O748" s="22" t="s">
        <v>8088</v>
      </c>
      <c r="P748" s="22" t="str">
        <f>HYPERLINK("https://ceds.ed.gov/cedselementdetails.aspx?termid=22976")</f>
        <v>https://ceds.ed.gov/cedselementdetails.aspx?termid=22976</v>
      </c>
      <c r="Q748" s="22">
        <v>63752</v>
      </c>
    </row>
    <row r="749" spans="1:17" ht="28.8" x14ac:dyDescent="0.3">
      <c r="A749" s="22" t="s">
        <v>7709</v>
      </c>
      <c r="B749" s="22" t="s">
        <v>9197</v>
      </c>
      <c r="C749" s="22"/>
      <c r="D749" s="22" t="s">
        <v>7741</v>
      </c>
      <c r="E749" s="22" t="s">
        <v>8089</v>
      </c>
      <c r="F749" s="24" t="s">
        <v>8090</v>
      </c>
      <c r="G749" s="23" t="s">
        <v>32</v>
      </c>
      <c r="H749" s="22"/>
      <c r="I749" s="22" t="s">
        <v>167</v>
      </c>
      <c r="J749" s="22" t="s">
        <v>148</v>
      </c>
      <c r="K749" s="24" t="s">
        <v>7949</v>
      </c>
      <c r="L749" s="24"/>
      <c r="M749" s="25" t="s">
        <v>8356</v>
      </c>
      <c r="N749" s="22"/>
      <c r="O749" s="22" t="s">
        <v>8091</v>
      </c>
      <c r="P749" s="22" t="str">
        <f>HYPERLINK("https://ceds.ed.gov/cedselementdetails.aspx?termid=22977")</f>
        <v>https://ceds.ed.gov/cedselementdetails.aspx?termid=22977</v>
      </c>
      <c r="Q749" s="22">
        <v>63753</v>
      </c>
    </row>
    <row r="750" spans="1:17" ht="172.8" x14ac:dyDescent="0.3">
      <c r="A750" s="22" t="s">
        <v>7709</v>
      </c>
      <c r="B750" s="22" t="s">
        <v>9197</v>
      </c>
      <c r="C750" s="22"/>
      <c r="D750" s="22" t="s">
        <v>7741</v>
      </c>
      <c r="E750" s="22" t="s">
        <v>3585</v>
      </c>
      <c r="F750" s="24" t="s">
        <v>3586</v>
      </c>
      <c r="G750" s="23" t="s">
        <v>32</v>
      </c>
      <c r="H750" s="24" t="s">
        <v>3589</v>
      </c>
      <c r="I750" s="22" t="s">
        <v>172</v>
      </c>
      <c r="J750" s="22" t="s">
        <v>118</v>
      </c>
      <c r="K750" s="24" t="s">
        <v>7946</v>
      </c>
      <c r="L750" s="24"/>
      <c r="M750" s="25" t="s">
        <v>3587</v>
      </c>
      <c r="N750" s="22"/>
      <c r="O750" s="22" t="s">
        <v>3588</v>
      </c>
      <c r="P750" s="22" t="str">
        <f>HYPERLINK("https://ceds.ed.gov/cedselementdetails.aspx?termid=21097")</f>
        <v>https://ceds.ed.gov/cedselementdetails.aspx?termid=21097</v>
      </c>
      <c r="Q750" s="22">
        <v>63754</v>
      </c>
    </row>
    <row r="751" spans="1:17" ht="43.2" x14ac:dyDescent="0.3">
      <c r="A751" s="22" t="s">
        <v>7709</v>
      </c>
      <c r="B751" s="22" t="s">
        <v>9197</v>
      </c>
      <c r="C751" s="22"/>
      <c r="D751" s="22" t="s">
        <v>7741</v>
      </c>
      <c r="E751" s="22" t="s">
        <v>3620</v>
      </c>
      <c r="F751" s="24" t="s">
        <v>3621</v>
      </c>
      <c r="G751" s="26" t="s">
        <v>8434</v>
      </c>
      <c r="H751" s="22" t="s">
        <v>2707</v>
      </c>
      <c r="I751" s="22" t="s">
        <v>172</v>
      </c>
      <c r="J751" s="22"/>
      <c r="K751" s="24" t="s">
        <v>7946</v>
      </c>
      <c r="L751" s="24"/>
      <c r="M751" s="25" t="s">
        <v>3623</v>
      </c>
      <c r="N751" s="22"/>
      <c r="O751" s="22" t="s">
        <v>3624</v>
      </c>
      <c r="P751" s="22" t="str">
        <f>HYPERLINK("https://ceds.ed.gov/cedselementdetails.aspx?termid=21108")</f>
        <v>https://ceds.ed.gov/cedselementdetails.aspx?termid=21108</v>
      </c>
      <c r="Q751" s="22">
        <v>63755</v>
      </c>
    </row>
    <row r="752" spans="1:17" ht="100.8" x14ac:dyDescent="0.3">
      <c r="A752" s="22" t="s">
        <v>7709</v>
      </c>
      <c r="B752" s="22" t="s">
        <v>9197</v>
      </c>
      <c r="C752" s="22"/>
      <c r="D752" s="22" t="s">
        <v>7741</v>
      </c>
      <c r="E752" s="22" t="s">
        <v>5603</v>
      </c>
      <c r="F752" s="24" t="s">
        <v>5604</v>
      </c>
      <c r="G752" s="23" t="s">
        <v>32</v>
      </c>
      <c r="H752" s="24" t="s">
        <v>5607</v>
      </c>
      <c r="I752" s="22" t="s">
        <v>172</v>
      </c>
      <c r="J752" s="22" t="s">
        <v>1518</v>
      </c>
      <c r="K752" s="24" t="s">
        <v>7946</v>
      </c>
      <c r="L752" s="24"/>
      <c r="M752" s="25" t="s">
        <v>5605</v>
      </c>
      <c r="N752" s="22"/>
      <c r="O752" s="22" t="s">
        <v>5606</v>
      </c>
      <c r="P752" s="22" t="str">
        <f>HYPERLINK("https://ceds.ed.gov/cedselementdetails.aspx?termid=21201")</f>
        <v>https://ceds.ed.gov/cedselementdetails.aspx?termid=21201</v>
      </c>
      <c r="Q752" s="22">
        <v>63756</v>
      </c>
    </row>
    <row r="753" spans="1:17" ht="230.4" x14ac:dyDescent="0.3">
      <c r="A753" s="22" t="s">
        <v>7709</v>
      </c>
      <c r="B753" s="22" t="s">
        <v>9197</v>
      </c>
      <c r="C753" s="22"/>
      <c r="D753" s="22" t="s">
        <v>7741</v>
      </c>
      <c r="E753" s="22" t="s">
        <v>5612</v>
      </c>
      <c r="F753" s="24" t="s">
        <v>5613</v>
      </c>
      <c r="G753" s="23" t="s">
        <v>32</v>
      </c>
      <c r="H753" s="24" t="s">
        <v>5616</v>
      </c>
      <c r="I753" s="22" t="s">
        <v>172</v>
      </c>
      <c r="J753" s="22" t="s">
        <v>1518</v>
      </c>
      <c r="K753" s="24" t="s">
        <v>7946</v>
      </c>
      <c r="L753" s="24" t="s">
        <v>8258</v>
      </c>
      <c r="M753" s="25" t="s">
        <v>5614</v>
      </c>
      <c r="N753" s="22"/>
      <c r="O753" s="22" t="s">
        <v>5615</v>
      </c>
      <c r="P753" s="22" t="str">
        <f>HYPERLINK("https://ceds.ed.gov/cedselementdetails.aspx?termid=21202")</f>
        <v>https://ceds.ed.gov/cedselementdetails.aspx?termid=21202</v>
      </c>
      <c r="Q753" s="22">
        <v>63757</v>
      </c>
    </row>
    <row r="754" spans="1:17" ht="409.6" x14ac:dyDescent="0.3">
      <c r="A754" s="22" t="s">
        <v>7709</v>
      </c>
      <c r="B754" s="22" t="s">
        <v>9197</v>
      </c>
      <c r="C754" s="22"/>
      <c r="D754" s="22" t="s">
        <v>7741</v>
      </c>
      <c r="E754" s="22" t="s">
        <v>6230</v>
      </c>
      <c r="F754" s="24" t="s">
        <v>6231</v>
      </c>
      <c r="G754" s="26" t="s">
        <v>8506</v>
      </c>
      <c r="H754" s="24" t="s">
        <v>64</v>
      </c>
      <c r="I754" s="22" t="s">
        <v>172</v>
      </c>
      <c r="J754" s="22"/>
      <c r="K754" s="24" t="s">
        <v>8285</v>
      </c>
      <c r="L754" s="24"/>
      <c r="M754" s="25" t="s">
        <v>6232</v>
      </c>
      <c r="N754" s="22"/>
      <c r="O754" s="22" t="s">
        <v>6233</v>
      </c>
      <c r="P754" s="22" t="str">
        <f>HYPERLINK("https://ceds.ed.gov/cedselementdetails.aspx?termid=21225")</f>
        <v>https://ceds.ed.gov/cedselementdetails.aspx?termid=21225</v>
      </c>
      <c r="Q754" s="22">
        <v>63758</v>
      </c>
    </row>
    <row r="755" spans="1:17" ht="144" x14ac:dyDescent="0.3">
      <c r="A755" s="22" t="s">
        <v>7709</v>
      </c>
      <c r="B755" s="22" t="s">
        <v>9197</v>
      </c>
      <c r="C755" s="22"/>
      <c r="D755" s="22" t="s">
        <v>7741</v>
      </c>
      <c r="E755" s="22" t="s">
        <v>6463</v>
      </c>
      <c r="F755" s="24" t="s">
        <v>6464</v>
      </c>
      <c r="G755" s="26" t="s">
        <v>8512</v>
      </c>
      <c r="H755" s="22" t="s">
        <v>226</v>
      </c>
      <c r="I755" s="22" t="s">
        <v>172</v>
      </c>
      <c r="J755" s="22"/>
      <c r="K755" s="24" t="s">
        <v>7946</v>
      </c>
      <c r="L755" s="24"/>
      <c r="M755" s="25" t="s">
        <v>6465</v>
      </c>
      <c r="N755" s="22"/>
      <c r="O755" s="22" t="s">
        <v>6466</v>
      </c>
      <c r="P755" s="22" t="str">
        <f>HYPERLINK("https://ceds.ed.gov/cedselementdetails.aspx?termid=21588")</f>
        <v>https://ceds.ed.gov/cedselementdetails.aspx?termid=21588</v>
      </c>
      <c r="Q755" s="22">
        <v>63759</v>
      </c>
    </row>
    <row r="756" spans="1:17" ht="115.2" x14ac:dyDescent="0.3">
      <c r="A756" s="22" t="s">
        <v>7709</v>
      </c>
      <c r="B756" s="22" t="s">
        <v>9197</v>
      </c>
      <c r="C756" s="22"/>
      <c r="D756" s="22" t="s">
        <v>7741</v>
      </c>
      <c r="E756" s="22" t="s">
        <v>6590</v>
      </c>
      <c r="F756" s="24" t="s">
        <v>6591</v>
      </c>
      <c r="G756" s="23" t="s">
        <v>7423</v>
      </c>
      <c r="H756" s="22"/>
      <c r="I756" s="22" t="s">
        <v>172</v>
      </c>
      <c r="J756" s="22"/>
      <c r="K756" s="24" t="s">
        <v>8305</v>
      </c>
      <c r="L756" s="24" t="s">
        <v>8306</v>
      </c>
      <c r="M756" s="25" t="s">
        <v>6592</v>
      </c>
      <c r="N756" s="22" t="s">
        <v>6593</v>
      </c>
      <c r="O756" s="22" t="s">
        <v>6594</v>
      </c>
      <c r="P756" s="22" t="str">
        <f>HYPERLINK("https://ceds.ed.gov/cedselementdetails.aspx?termid=22490")</f>
        <v>https://ceds.ed.gov/cedselementdetails.aspx?termid=22490</v>
      </c>
      <c r="Q756" s="22">
        <v>63760</v>
      </c>
    </row>
    <row r="757" spans="1:17" ht="100.8" x14ac:dyDescent="0.3">
      <c r="A757" s="22" t="s">
        <v>7709</v>
      </c>
      <c r="B757" s="22" t="s">
        <v>9197</v>
      </c>
      <c r="C757" s="22"/>
      <c r="D757" s="22" t="s">
        <v>7741</v>
      </c>
      <c r="E757" s="22" t="s">
        <v>6595</v>
      </c>
      <c r="F757" s="24" t="s">
        <v>8307</v>
      </c>
      <c r="G757" s="26" t="s">
        <v>8517</v>
      </c>
      <c r="H757" s="22"/>
      <c r="I757" s="22" t="s">
        <v>172</v>
      </c>
      <c r="J757" s="22"/>
      <c r="K757" s="24" t="s">
        <v>7946</v>
      </c>
      <c r="L757" s="24"/>
      <c r="M757" s="25" t="s">
        <v>6596</v>
      </c>
      <c r="N757" s="22" t="s">
        <v>6597</v>
      </c>
      <c r="O757" s="22" t="s">
        <v>6598</v>
      </c>
      <c r="P757" s="22" t="str">
        <f>HYPERLINK("https://ceds.ed.gov/cedselementdetails.aspx?termid=22488")</f>
        <v>https://ceds.ed.gov/cedselementdetails.aspx?termid=22488</v>
      </c>
      <c r="Q757" s="22">
        <v>63761</v>
      </c>
    </row>
    <row r="758" spans="1:17" ht="345.6" x14ac:dyDescent="0.3">
      <c r="A758" s="22" t="s">
        <v>7709</v>
      </c>
      <c r="B758" s="22" t="s">
        <v>9197</v>
      </c>
      <c r="C758" s="22"/>
      <c r="D758" s="22" t="s">
        <v>7741</v>
      </c>
      <c r="E758" s="22" t="s">
        <v>6599</v>
      </c>
      <c r="F758" s="24" t="s">
        <v>6600</v>
      </c>
      <c r="G758" s="26" t="s">
        <v>8518</v>
      </c>
      <c r="H758" s="22"/>
      <c r="I758" s="22" t="s">
        <v>172</v>
      </c>
      <c r="J758" s="22"/>
      <c r="K758" s="24" t="s">
        <v>7946</v>
      </c>
      <c r="L758" s="24" t="s">
        <v>8308</v>
      </c>
      <c r="M758" s="25" t="s">
        <v>6601</v>
      </c>
      <c r="N758" s="22" t="s">
        <v>6602</v>
      </c>
      <c r="O758" s="22" t="s">
        <v>6603</v>
      </c>
      <c r="P758" s="22" t="str">
        <f>HYPERLINK("https://ceds.ed.gov/cedselementdetails.aspx?termid=22491")</f>
        <v>https://ceds.ed.gov/cedselementdetails.aspx?termid=22491</v>
      </c>
      <c r="Q758" s="22">
        <v>63762</v>
      </c>
    </row>
    <row r="759" spans="1:17" ht="100.8" x14ac:dyDescent="0.3">
      <c r="A759" s="22" t="s">
        <v>7709</v>
      </c>
      <c r="B759" s="22" t="s">
        <v>9197</v>
      </c>
      <c r="C759" s="22"/>
      <c r="D759" s="22" t="s">
        <v>7741</v>
      </c>
      <c r="E759" s="22" t="s">
        <v>6611</v>
      </c>
      <c r="F759" s="24" t="s">
        <v>6612</v>
      </c>
      <c r="G759" s="23" t="s">
        <v>32</v>
      </c>
      <c r="H759" s="24" t="s">
        <v>1521</v>
      </c>
      <c r="I759" s="22" t="s">
        <v>172</v>
      </c>
      <c r="J759" s="22" t="s">
        <v>2743</v>
      </c>
      <c r="K759" s="24" t="s">
        <v>7946</v>
      </c>
      <c r="L759" s="24" t="s">
        <v>6613</v>
      </c>
      <c r="M759" s="25" t="s">
        <v>6614</v>
      </c>
      <c r="N759" s="22" t="s">
        <v>6615</v>
      </c>
      <c r="O759" s="22" t="s">
        <v>6616</v>
      </c>
      <c r="P759" s="22" t="str">
        <f>HYPERLINK("https://ceds.ed.gov/cedselementdetails.aspx?termid=21250")</f>
        <v>https://ceds.ed.gov/cedselementdetails.aspx?termid=21250</v>
      </c>
      <c r="Q759" s="22">
        <v>63763</v>
      </c>
    </row>
    <row r="760" spans="1:17" ht="144" x14ac:dyDescent="0.3">
      <c r="A760" s="22" t="s">
        <v>7709</v>
      </c>
      <c r="B760" s="22" t="s">
        <v>9197</v>
      </c>
      <c r="C760" s="22"/>
      <c r="D760" s="22" t="s">
        <v>7741</v>
      </c>
      <c r="E760" s="22" t="s">
        <v>7035</v>
      </c>
      <c r="F760" s="24" t="s">
        <v>7036</v>
      </c>
      <c r="G760" s="26" t="s">
        <v>8540</v>
      </c>
      <c r="H760" s="24" t="s">
        <v>7039</v>
      </c>
      <c r="I760" s="22" t="s">
        <v>172</v>
      </c>
      <c r="J760" s="22"/>
      <c r="K760" s="24" t="s">
        <v>7946</v>
      </c>
      <c r="L760" s="24"/>
      <c r="M760" s="25" t="s">
        <v>7037</v>
      </c>
      <c r="N760" s="22"/>
      <c r="O760" s="22" t="s">
        <v>7038</v>
      </c>
      <c r="P760" s="22" t="str">
        <f>HYPERLINK("https://ceds.ed.gov/cedselementdetails.aspx?termid=21163")</f>
        <v>https://ceds.ed.gov/cedselementdetails.aspx?termid=21163</v>
      </c>
      <c r="Q760" s="22">
        <v>63764</v>
      </c>
    </row>
    <row r="761" spans="1:17" ht="172.8" x14ac:dyDescent="0.3">
      <c r="A761" s="22" t="s">
        <v>7709</v>
      </c>
      <c r="B761" s="22" t="s">
        <v>9197</v>
      </c>
      <c r="C761" s="22"/>
      <c r="D761" s="22" t="s">
        <v>7741</v>
      </c>
      <c r="E761" s="22" t="s">
        <v>7040</v>
      </c>
      <c r="F761" s="24" t="s">
        <v>7041</v>
      </c>
      <c r="G761" s="23" t="s">
        <v>32</v>
      </c>
      <c r="H761" s="24" t="s">
        <v>7039</v>
      </c>
      <c r="I761" s="22" t="s">
        <v>172</v>
      </c>
      <c r="J761" s="22" t="s">
        <v>132</v>
      </c>
      <c r="K761" s="24" t="s">
        <v>7946</v>
      </c>
      <c r="L761" s="24" t="s">
        <v>7945</v>
      </c>
      <c r="M761" s="25" t="s">
        <v>7042</v>
      </c>
      <c r="N761" s="22"/>
      <c r="O761" s="22" t="s">
        <v>7043</v>
      </c>
      <c r="P761" s="22" t="str">
        <f>HYPERLINK("https://ceds.ed.gov/cedselementdetails.aspx?termid=21157")</f>
        <v>https://ceds.ed.gov/cedselementdetails.aspx?termid=21157</v>
      </c>
      <c r="Q761" s="22">
        <v>63765</v>
      </c>
    </row>
    <row r="762" spans="1:17" ht="187.2" x14ac:dyDescent="0.3">
      <c r="A762" s="22" t="s">
        <v>7709</v>
      </c>
      <c r="B762" s="22" t="s">
        <v>7778</v>
      </c>
      <c r="C762" s="22" t="s">
        <v>7712</v>
      </c>
      <c r="D762" s="22" t="s">
        <v>7741</v>
      </c>
      <c r="E762" s="22" t="s">
        <v>170</v>
      </c>
      <c r="F762" s="24" t="s">
        <v>171</v>
      </c>
      <c r="G762" s="23" t="s">
        <v>32</v>
      </c>
      <c r="H762" s="24" t="s">
        <v>175</v>
      </c>
      <c r="I762" s="22" t="s">
        <v>172</v>
      </c>
      <c r="J762" s="22" t="s">
        <v>157</v>
      </c>
      <c r="K762" s="24" t="s">
        <v>7946</v>
      </c>
      <c r="L762" s="24"/>
      <c r="M762" s="25" t="s">
        <v>173</v>
      </c>
      <c r="N762" s="22"/>
      <c r="O762" s="22" t="s">
        <v>174</v>
      </c>
      <c r="P762" s="22" t="str">
        <f>HYPERLINK("https://ceds.ed.gov/cedselementdetails.aspx?termid=21019")</f>
        <v>https://ceds.ed.gov/cedselementdetails.aspx?termid=21019</v>
      </c>
      <c r="Q762" s="22">
        <v>63720</v>
      </c>
    </row>
    <row r="763" spans="1:17" ht="57.6" x14ac:dyDescent="0.3">
      <c r="A763" s="22" t="s">
        <v>7709</v>
      </c>
      <c r="B763" s="22" t="s">
        <v>7778</v>
      </c>
      <c r="C763" s="22"/>
      <c r="D763" s="22" t="s">
        <v>7710</v>
      </c>
      <c r="E763" s="22" t="s">
        <v>1539</v>
      </c>
      <c r="F763" s="24" t="s">
        <v>1540</v>
      </c>
      <c r="G763" s="26" t="s">
        <v>8655</v>
      </c>
      <c r="H763" s="22"/>
      <c r="I763" s="22"/>
      <c r="J763" s="22"/>
      <c r="K763" s="24"/>
      <c r="L763" s="24"/>
      <c r="M763" s="25" t="s">
        <v>1542</v>
      </c>
      <c r="N763" s="22"/>
      <c r="O763" s="22" t="s">
        <v>1543</v>
      </c>
      <c r="P763" s="22" t="str">
        <f>HYPERLINK("https://ceds.ed.gov/cedselementdetails.aspx?termid=22561")</f>
        <v>https://ceds.ed.gov/cedselementdetails.aspx?termid=22561</v>
      </c>
      <c r="Q763" s="22">
        <v>62037</v>
      </c>
    </row>
    <row r="764" spans="1:17" ht="187.2" x14ac:dyDescent="0.3">
      <c r="A764" s="22" t="s">
        <v>7709</v>
      </c>
      <c r="B764" s="22" t="s">
        <v>7778</v>
      </c>
      <c r="C764" s="22" t="s">
        <v>7712</v>
      </c>
      <c r="D764" s="22" t="s">
        <v>7741</v>
      </c>
      <c r="E764" s="22" t="s">
        <v>184</v>
      </c>
      <c r="F764" s="24" t="s">
        <v>185</v>
      </c>
      <c r="G764" s="23" t="s">
        <v>32</v>
      </c>
      <c r="H764" s="24" t="s">
        <v>175</v>
      </c>
      <c r="I764" s="22" t="s">
        <v>172</v>
      </c>
      <c r="J764" s="22" t="s">
        <v>186</v>
      </c>
      <c r="K764" s="24" t="s">
        <v>7946</v>
      </c>
      <c r="L764" s="24"/>
      <c r="M764" s="25" t="s">
        <v>187</v>
      </c>
      <c r="N764" s="22"/>
      <c r="O764" s="22" t="s">
        <v>188</v>
      </c>
      <c r="P764" s="22" t="str">
        <f>HYPERLINK("https://ceds.ed.gov/cedselementdetails.aspx?termid=21214")</f>
        <v>https://ceds.ed.gov/cedselementdetails.aspx?termid=21214</v>
      </c>
      <c r="Q764" s="22">
        <v>63721</v>
      </c>
    </row>
    <row r="765" spans="1:17" ht="158.4" x14ac:dyDescent="0.3">
      <c r="A765" s="22" t="s">
        <v>7709</v>
      </c>
      <c r="B765" s="22" t="s">
        <v>7778</v>
      </c>
      <c r="C765" s="22"/>
      <c r="D765" s="22" t="s">
        <v>7710</v>
      </c>
      <c r="E765" s="22" t="s">
        <v>3356</v>
      </c>
      <c r="F765" s="24" t="s">
        <v>3357</v>
      </c>
      <c r="G765" s="26" t="s">
        <v>8819</v>
      </c>
      <c r="H765" s="22"/>
      <c r="I765" s="22"/>
      <c r="J765" s="22"/>
      <c r="K765" s="24"/>
      <c r="L765" s="24"/>
      <c r="M765" s="25" t="s">
        <v>3358</v>
      </c>
      <c r="N765" s="22"/>
      <c r="O765" s="22" t="s">
        <v>3359</v>
      </c>
      <c r="P765" s="22" t="str">
        <f>HYPERLINK("https://ceds.ed.gov/cedselementdetails.aspx?termid=22582")</f>
        <v>https://ceds.ed.gov/cedselementdetails.aspx?termid=22582</v>
      </c>
      <c r="Q765" s="22">
        <v>62072</v>
      </c>
    </row>
    <row r="766" spans="1:17" ht="187.2" x14ac:dyDescent="0.3">
      <c r="A766" s="22" t="s">
        <v>7709</v>
      </c>
      <c r="B766" s="22" t="s">
        <v>7778</v>
      </c>
      <c r="C766" s="22" t="s">
        <v>7712</v>
      </c>
      <c r="D766" s="22" t="s">
        <v>7741</v>
      </c>
      <c r="E766" s="22" t="s">
        <v>189</v>
      </c>
      <c r="F766" s="24" t="s">
        <v>190</v>
      </c>
      <c r="G766" s="23" t="s">
        <v>32</v>
      </c>
      <c r="H766" s="24" t="s">
        <v>175</v>
      </c>
      <c r="I766" s="22" t="s">
        <v>172</v>
      </c>
      <c r="J766" s="22" t="s">
        <v>191</v>
      </c>
      <c r="K766" s="24" t="s">
        <v>7946</v>
      </c>
      <c r="L766" s="24"/>
      <c r="M766" s="25" t="s">
        <v>192</v>
      </c>
      <c r="N766" s="22"/>
      <c r="O766" s="22" t="s">
        <v>193</v>
      </c>
      <c r="P766" s="22" t="str">
        <f>HYPERLINK("https://ceds.ed.gov/cedselementdetails.aspx?termid=21269")</f>
        <v>https://ceds.ed.gov/cedselementdetails.aspx?termid=21269</v>
      </c>
      <c r="Q766" s="22">
        <v>63722</v>
      </c>
    </row>
    <row r="767" spans="1:17" ht="288" x14ac:dyDescent="0.3">
      <c r="A767" s="22" t="s">
        <v>7709</v>
      </c>
      <c r="B767" s="22" t="s">
        <v>7778</v>
      </c>
      <c r="C767" s="22"/>
      <c r="D767" s="22" t="s">
        <v>7710</v>
      </c>
      <c r="E767" s="22" t="s">
        <v>3432</v>
      </c>
      <c r="F767" s="24" t="s">
        <v>8099</v>
      </c>
      <c r="G767" s="26" t="s">
        <v>8830</v>
      </c>
      <c r="H767" s="22"/>
      <c r="I767" s="22"/>
      <c r="J767" s="22"/>
      <c r="K767" s="24"/>
      <c r="L767" s="24"/>
      <c r="M767" s="25" t="s">
        <v>3433</v>
      </c>
      <c r="N767" s="22"/>
      <c r="O767" s="22" t="s">
        <v>3434</v>
      </c>
      <c r="P767" s="22" t="str">
        <f>HYPERLINK("https://ceds.ed.gov/cedselementdetails.aspx?termid=22584")</f>
        <v>https://ceds.ed.gov/cedselementdetails.aspx?termid=22584</v>
      </c>
      <c r="Q767" s="22">
        <v>62074</v>
      </c>
    </row>
    <row r="768" spans="1:17" ht="72" x14ac:dyDescent="0.3">
      <c r="A768" s="22" t="s">
        <v>7709</v>
      </c>
      <c r="B768" s="22" t="s">
        <v>7778</v>
      </c>
      <c r="C768" s="22" t="s">
        <v>7712</v>
      </c>
      <c r="D768" s="22" t="s">
        <v>7741</v>
      </c>
      <c r="E768" s="22" t="s">
        <v>199</v>
      </c>
      <c r="F768" s="24" t="s">
        <v>200</v>
      </c>
      <c r="G768" s="26" t="s">
        <v>8394</v>
      </c>
      <c r="H768" s="24" t="s">
        <v>64</v>
      </c>
      <c r="I768" s="22" t="s">
        <v>172</v>
      </c>
      <c r="J768" s="22" t="s">
        <v>85</v>
      </c>
      <c r="K768" s="24" t="s">
        <v>7946</v>
      </c>
      <c r="L768" s="24"/>
      <c r="M768" s="25" t="s">
        <v>201</v>
      </c>
      <c r="N768" s="22"/>
      <c r="O768" s="22" t="s">
        <v>202</v>
      </c>
      <c r="P768" s="22" t="str">
        <f>HYPERLINK("https://ceds.ed.gov/cedselementdetails.aspx?termid=21644")</f>
        <v>https://ceds.ed.gov/cedselementdetails.aspx?termid=21644</v>
      </c>
      <c r="Q768" s="22">
        <v>63723</v>
      </c>
    </row>
    <row r="769" spans="1:17" ht="115.2" x14ac:dyDescent="0.3">
      <c r="A769" s="22" t="s">
        <v>7709</v>
      </c>
      <c r="B769" s="22" t="s">
        <v>7778</v>
      </c>
      <c r="C769" s="22"/>
      <c r="D769" s="22" t="s">
        <v>7710</v>
      </c>
      <c r="E769" s="22" t="s">
        <v>3920</v>
      </c>
      <c r="F769" s="24" t="s">
        <v>3921</v>
      </c>
      <c r="G769" s="23" t="s">
        <v>32</v>
      </c>
      <c r="H769" s="22" t="s">
        <v>226</v>
      </c>
      <c r="I769" s="22"/>
      <c r="J769" s="22" t="s">
        <v>1518</v>
      </c>
      <c r="K769" s="24"/>
      <c r="L769" s="24"/>
      <c r="M769" s="25" t="s">
        <v>3923</v>
      </c>
      <c r="N769" s="22"/>
      <c r="O769" s="22" t="s">
        <v>3924</v>
      </c>
      <c r="P769" s="22" t="str">
        <f>HYPERLINK("https://ceds.ed.gov/cedselementdetails.aspx?termid=21540")</f>
        <v>https://ceds.ed.gov/cedselementdetails.aspx?termid=21540</v>
      </c>
      <c r="Q769" s="22">
        <v>61162</v>
      </c>
    </row>
    <row r="770" spans="1:17" ht="43.2" x14ac:dyDescent="0.3">
      <c r="A770" s="22" t="s">
        <v>7709</v>
      </c>
      <c r="B770" s="22" t="s">
        <v>7778</v>
      </c>
      <c r="C770" s="22" t="s">
        <v>7712</v>
      </c>
      <c r="D770" s="22" t="s">
        <v>7741</v>
      </c>
      <c r="E770" s="22" t="s">
        <v>1798</v>
      </c>
      <c r="F770" s="24" t="s">
        <v>1799</v>
      </c>
      <c r="G770" s="23" t="s">
        <v>32</v>
      </c>
      <c r="H770" s="22"/>
      <c r="I770" s="22" t="s">
        <v>172</v>
      </c>
      <c r="J770" s="22" t="s">
        <v>157</v>
      </c>
      <c r="K770" s="24" t="s">
        <v>7946</v>
      </c>
      <c r="L770" s="24"/>
      <c r="M770" s="25" t="s">
        <v>1800</v>
      </c>
      <c r="N770" s="22"/>
      <c r="O770" s="22" t="s">
        <v>1801</v>
      </c>
      <c r="P770" s="22" t="str">
        <f>HYPERLINK("https://ceds.ed.gov/cedselementdetails.aspx?termid=21595")</f>
        <v>https://ceds.ed.gov/cedselementdetails.aspx?termid=21595</v>
      </c>
      <c r="Q770" s="22">
        <v>63724</v>
      </c>
    </row>
    <row r="771" spans="1:17" ht="409.6" x14ac:dyDescent="0.3">
      <c r="A771" s="22" t="s">
        <v>7709</v>
      </c>
      <c r="B771" s="22" t="s">
        <v>7778</v>
      </c>
      <c r="C771" s="22"/>
      <c r="D771" s="22" t="s">
        <v>7710</v>
      </c>
      <c r="E771" s="22" t="s">
        <v>8161</v>
      </c>
      <c r="F771" s="24" t="s">
        <v>8162</v>
      </c>
      <c r="G771" s="26" t="s">
        <v>8445</v>
      </c>
      <c r="H771" s="22"/>
      <c r="I771" s="22" t="s">
        <v>172</v>
      </c>
      <c r="J771" s="22"/>
      <c r="K771" s="24" t="s">
        <v>8137</v>
      </c>
      <c r="L771" s="24" t="s">
        <v>8163</v>
      </c>
      <c r="M771" s="25" t="s">
        <v>3947</v>
      </c>
      <c r="N771" s="22"/>
      <c r="O771" s="22" t="s">
        <v>8164</v>
      </c>
      <c r="P771" s="22" t="str">
        <f>HYPERLINK("https://ceds.ed.gov/cedselementdetails.aspx?termid=22440")</f>
        <v>https://ceds.ed.gov/cedselementdetails.aspx?termid=22440</v>
      </c>
      <c r="Q771" s="22">
        <v>62124</v>
      </c>
    </row>
    <row r="772" spans="1:17" ht="57.6" x14ac:dyDescent="0.3">
      <c r="A772" s="22" t="s">
        <v>7709</v>
      </c>
      <c r="B772" s="22" t="s">
        <v>7778</v>
      </c>
      <c r="C772" s="22" t="s">
        <v>7712</v>
      </c>
      <c r="D772" s="22" t="s">
        <v>7741</v>
      </c>
      <c r="E772" s="22" t="s">
        <v>3228</v>
      </c>
      <c r="F772" s="24" t="s">
        <v>3229</v>
      </c>
      <c r="G772" s="26" t="s">
        <v>3039</v>
      </c>
      <c r="H772" s="22"/>
      <c r="I772" s="22" t="s">
        <v>172</v>
      </c>
      <c r="J772" s="22"/>
      <c r="K772" s="24" t="s">
        <v>7946</v>
      </c>
      <c r="L772" s="24"/>
      <c r="M772" s="25" t="s">
        <v>3230</v>
      </c>
      <c r="N772" s="22"/>
      <c r="O772" s="22" t="s">
        <v>3231</v>
      </c>
      <c r="P772" s="22" t="str">
        <f>HYPERLINK("https://ceds.ed.gov/cedselementdetails.aspx?termid=22905")</f>
        <v>https://ceds.ed.gov/cedselementdetails.aspx?termid=22905</v>
      </c>
      <c r="Q772" s="22">
        <v>63725</v>
      </c>
    </row>
    <row r="773" spans="1:17" ht="86.4" x14ac:dyDescent="0.3">
      <c r="A773" s="22" t="s">
        <v>7709</v>
      </c>
      <c r="B773" s="22" t="s">
        <v>7778</v>
      </c>
      <c r="C773" s="22"/>
      <c r="D773" s="22" t="s">
        <v>7710</v>
      </c>
      <c r="E773" s="22" t="s">
        <v>6411</v>
      </c>
      <c r="F773" s="24" t="s">
        <v>6412</v>
      </c>
      <c r="G773" s="26" t="s">
        <v>9130</v>
      </c>
      <c r="H773" s="22"/>
      <c r="I773" s="22"/>
      <c r="J773" s="22"/>
      <c r="K773" s="24"/>
      <c r="L773" s="24"/>
      <c r="M773" s="25" t="s">
        <v>6413</v>
      </c>
      <c r="N773" s="22"/>
      <c r="O773" s="22" t="s">
        <v>6414</v>
      </c>
      <c r="P773" s="22" t="str">
        <f>HYPERLINK("https://ceds.ed.gov/cedselementdetails.aspx?termid=22601")</f>
        <v>https://ceds.ed.gov/cedselementdetails.aspx?termid=22601</v>
      </c>
      <c r="Q773" s="22">
        <v>62100</v>
      </c>
    </row>
    <row r="774" spans="1:17" ht="187.2" x14ac:dyDescent="0.3">
      <c r="A774" s="22" t="s">
        <v>7709</v>
      </c>
      <c r="B774" s="22" t="s">
        <v>7778</v>
      </c>
      <c r="C774" s="22" t="s">
        <v>7712</v>
      </c>
      <c r="D774" s="22" t="s">
        <v>7741</v>
      </c>
      <c r="E774" s="22" t="s">
        <v>176</v>
      </c>
      <c r="F774" s="24" t="s">
        <v>177</v>
      </c>
      <c r="G774" s="23" t="s">
        <v>32</v>
      </c>
      <c r="H774" s="24" t="s">
        <v>175</v>
      </c>
      <c r="I774" s="22" t="s">
        <v>172</v>
      </c>
      <c r="J774" s="22" t="s">
        <v>85</v>
      </c>
      <c r="K774" s="24" t="s">
        <v>7946</v>
      </c>
      <c r="L774" s="24"/>
      <c r="M774" s="25" t="s">
        <v>178</v>
      </c>
      <c r="N774" s="22"/>
      <c r="O774" s="22" t="s">
        <v>179</v>
      </c>
      <c r="P774" s="22" t="str">
        <f>HYPERLINK("https://ceds.ed.gov/cedselementdetails.aspx?termid=21040")</f>
        <v>https://ceds.ed.gov/cedselementdetails.aspx?termid=21040</v>
      </c>
      <c r="Q774" s="22">
        <v>63726</v>
      </c>
    </row>
    <row r="775" spans="1:17" ht="144" x14ac:dyDescent="0.3">
      <c r="A775" s="22" t="s">
        <v>7709</v>
      </c>
      <c r="B775" s="22" t="s">
        <v>7778</v>
      </c>
      <c r="C775" s="22"/>
      <c r="D775" s="22" t="s">
        <v>7741</v>
      </c>
      <c r="E775" s="22" t="s">
        <v>1559</v>
      </c>
      <c r="F775" s="24" t="s">
        <v>1560</v>
      </c>
      <c r="G775" s="26" t="s">
        <v>8407</v>
      </c>
      <c r="H775" s="22"/>
      <c r="I775" s="22" t="s">
        <v>172</v>
      </c>
      <c r="J775" s="22"/>
      <c r="K775" s="24" t="s">
        <v>7946</v>
      </c>
      <c r="L775" s="24" t="s">
        <v>1561</v>
      </c>
      <c r="M775" s="25" t="s">
        <v>1562</v>
      </c>
      <c r="N775" s="22"/>
      <c r="O775" s="22" t="s">
        <v>1563</v>
      </c>
      <c r="P775" s="22" t="str">
        <f>HYPERLINK("https://ceds.ed.gov/cedselementdetails.aspx?termid=22253")</f>
        <v>https://ceds.ed.gov/cedselementdetails.aspx?termid=22253</v>
      </c>
      <c r="Q775" s="22">
        <v>63704</v>
      </c>
    </row>
    <row r="776" spans="1:17" ht="187.2" x14ac:dyDescent="0.3">
      <c r="A776" s="22" t="s">
        <v>7709</v>
      </c>
      <c r="B776" s="22" t="s">
        <v>7778</v>
      </c>
      <c r="C776" s="22" t="s">
        <v>7712</v>
      </c>
      <c r="D776" s="22" t="s">
        <v>7741</v>
      </c>
      <c r="E776" s="22" t="s">
        <v>180</v>
      </c>
      <c r="F776" s="24" t="s">
        <v>181</v>
      </c>
      <c r="G776" s="23" t="s">
        <v>32</v>
      </c>
      <c r="H776" s="24" t="s">
        <v>175</v>
      </c>
      <c r="I776" s="22" t="s">
        <v>172</v>
      </c>
      <c r="J776" s="22" t="s">
        <v>85</v>
      </c>
      <c r="K776" s="24" t="s">
        <v>7946</v>
      </c>
      <c r="L776" s="24"/>
      <c r="M776" s="25" t="s">
        <v>182</v>
      </c>
      <c r="N776" s="22"/>
      <c r="O776" s="22" t="s">
        <v>183</v>
      </c>
      <c r="P776" s="22" t="str">
        <f>HYPERLINK("https://ceds.ed.gov/cedselementdetails.aspx?termid=21190")</f>
        <v>https://ceds.ed.gov/cedselementdetails.aspx?termid=21190</v>
      </c>
      <c r="Q776" s="22">
        <v>63727</v>
      </c>
    </row>
    <row r="777" spans="1:17" ht="302.39999999999998" x14ac:dyDescent="0.3">
      <c r="A777" s="22" t="s">
        <v>7709</v>
      </c>
      <c r="B777" s="22" t="s">
        <v>7778</v>
      </c>
      <c r="C777" s="22"/>
      <c r="D777" s="22" t="s">
        <v>7741</v>
      </c>
      <c r="E777" s="22" t="s">
        <v>2654</v>
      </c>
      <c r="F777" s="24" t="s">
        <v>2655</v>
      </c>
      <c r="G777" s="26" t="s">
        <v>8422</v>
      </c>
      <c r="H777" s="22"/>
      <c r="I777" s="22" t="s">
        <v>172</v>
      </c>
      <c r="J777" s="22"/>
      <c r="K777" s="24" t="s">
        <v>7946</v>
      </c>
      <c r="L777" s="24"/>
      <c r="M777" s="25" t="s">
        <v>2657</v>
      </c>
      <c r="N777" s="22"/>
      <c r="O777" s="22" t="s">
        <v>2658</v>
      </c>
      <c r="P777" s="22" t="str">
        <f>HYPERLINK("https://ceds.ed.gov/cedselementdetails.aspx?termid=22278")</f>
        <v>https://ceds.ed.gov/cedselementdetails.aspx?termid=22278</v>
      </c>
      <c r="Q777" s="22">
        <v>63705</v>
      </c>
    </row>
    <row r="778" spans="1:17" ht="86.4" x14ac:dyDescent="0.3">
      <c r="A778" s="22" t="s">
        <v>7709</v>
      </c>
      <c r="B778" s="22" t="s">
        <v>7778</v>
      </c>
      <c r="C778" s="22"/>
      <c r="D778" s="22" t="s">
        <v>7741</v>
      </c>
      <c r="E778" s="22" t="s">
        <v>3934</v>
      </c>
      <c r="F778" s="24" t="s">
        <v>3935</v>
      </c>
      <c r="G778" s="26" t="s">
        <v>8439</v>
      </c>
      <c r="H778" s="22"/>
      <c r="I778" s="22" t="s">
        <v>172</v>
      </c>
      <c r="J778" s="22"/>
      <c r="K778" s="24" t="s">
        <v>7946</v>
      </c>
      <c r="L778" s="24"/>
      <c r="M778" s="25" t="s">
        <v>3936</v>
      </c>
      <c r="N778" s="22"/>
      <c r="O778" s="22" t="s">
        <v>3937</v>
      </c>
      <c r="P778" s="22" t="str">
        <f>HYPERLINK("https://ceds.ed.gov/cedselementdetails.aspx?termid=22312")</f>
        <v>https://ceds.ed.gov/cedselementdetails.aspx?termid=22312</v>
      </c>
      <c r="Q778" s="22">
        <v>63706</v>
      </c>
    </row>
    <row r="779" spans="1:17" ht="409.6" x14ac:dyDescent="0.3">
      <c r="A779" s="22" t="s">
        <v>7709</v>
      </c>
      <c r="B779" s="22" t="s">
        <v>7778</v>
      </c>
      <c r="C779" s="22" t="s">
        <v>7712</v>
      </c>
      <c r="D779" s="22" t="s">
        <v>7741</v>
      </c>
      <c r="E779" s="22" t="s">
        <v>6941</v>
      </c>
      <c r="F779" s="24" t="s">
        <v>6942</v>
      </c>
      <c r="G779" s="26" t="s">
        <v>8533</v>
      </c>
      <c r="H779" s="24" t="s">
        <v>6945</v>
      </c>
      <c r="I779" s="22" t="s">
        <v>172</v>
      </c>
      <c r="J779" s="22"/>
      <c r="K779" s="24" t="s">
        <v>8327</v>
      </c>
      <c r="L779" s="24"/>
      <c r="M779" s="25" t="s">
        <v>6943</v>
      </c>
      <c r="N779" s="22"/>
      <c r="O779" s="22" t="s">
        <v>6944</v>
      </c>
      <c r="P779" s="22" t="str">
        <f>HYPERLINK("https://ceds.ed.gov/cedselementdetails.aspx?termid=21267")</f>
        <v>https://ceds.ed.gov/cedselementdetails.aspx?termid=21267</v>
      </c>
      <c r="Q779" s="22">
        <v>63728</v>
      </c>
    </row>
    <row r="780" spans="1:17" ht="43.2" x14ac:dyDescent="0.3">
      <c r="A780" s="22" t="s">
        <v>7709</v>
      </c>
      <c r="B780" s="22" t="s">
        <v>7778</v>
      </c>
      <c r="C780" s="22"/>
      <c r="D780" s="22" t="s">
        <v>7741</v>
      </c>
      <c r="E780" s="22" t="s">
        <v>3938</v>
      </c>
      <c r="F780" s="24" t="s">
        <v>8134</v>
      </c>
      <c r="G780" s="23" t="s">
        <v>32</v>
      </c>
      <c r="H780" s="22"/>
      <c r="I780" s="22" t="s">
        <v>172</v>
      </c>
      <c r="J780" s="22" t="s">
        <v>113</v>
      </c>
      <c r="K780" s="24" t="s">
        <v>8135</v>
      </c>
      <c r="L780" s="24"/>
      <c r="M780" s="25" t="s">
        <v>3939</v>
      </c>
      <c r="N780" s="22"/>
      <c r="O780" s="22" t="s">
        <v>3940</v>
      </c>
      <c r="P780" s="22" t="str">
        <f>HYPERLINK("https://ceds.ed.gov/cedselementdetails.aspx?termid=22313")</f>
        <v>https://ceds.ed.gov/cedselementdetails.aspx?termid=22313</v>
      </c>
      <c r="Q780" s="22">
        <v>63707</v>
      </c>
    </row>
    <row r="781" spans="1:17" ht="43.2" x14ac:dyDescent="0.3">
      <c r="A781" s="22" t="s">
        <v>7709</v>
      </c>
      <c r="B781" s="22" t="s">
        <v>7778</v>
      </c>
      <c r="C781" s="22"/>
      <c r="D781" s="22" t="s">
        <v>7741</v>
      </c>
      <c r="E781" s="22" t="s">
        <v>3964</v>
      </c>
      <c r="F781" s="24" t="s">
        <v>3965</v>
      </c>
      <c r="G781" s="23" t="s">
        <v>32</v>
      </c>
      <c r="H781" s="22"/>
      <c r="I781" s="22" t="s">
        <v>172</v>
      </c>
      <c r="J781" s="22" t="s">
        <v>1518</v>
      </c>
      <c r="K781" s="24" t="s">
        <v>7946</v>
      </c>
      <c r="L781" s="24"/>
      <c r="M781" s="25" t="s">
        <v>3966</v>
      </c>
      <c r="N781" s="22"/>
      <c r="O781" s="22" t="s">
        <v>3967</v>
      </c>
      <c r="P781" s="22" t="str">
        <f>HYPERLINK("https://ceds.ed.gov/cedselementdetails.aspx?termid=22317")</f>
        <v>https://ceds.ed.gov/cedselementdetails.aspx?termid=22317</v>
      </c>
      <c r="Q781" s="22">
        <v>63708</v>
      </c>
    </row>
    <row r="782" spans="1:17" ht="43.2" x14ac:dyDescent="0.3">
      <c r="A782" s="22" t="s">
        <v>7709</v>
      </c>
      <c r="B782" s="22" t="s">
        <v>7778</v>
      </c>
      <c r="C782" s="22"/>
      <c r="D782" s="22" t="s">
        <v>7741</v>
      </c>
      <c r="E782" s="22" t="s">
        <v>3968</v>
      </c>
      <c r="F782" s="24" t="s">
        <v>3969</v>
      </c>
      <c r="G782" s="23" t="s">
        <v>32</v>
      </c>
      <c r="H782" s="22"/>
      <c r="I782" s="22" t="s">
        <v>172</v>
      </c>
      <c r="J782" s="22" t="s">
        <v>1518</v>
      </c>
      <c r="K782" s="24" t="s">
        <v>7946</v>
      </c>
      <c r="L782" s="24"/>
      <c r="M782" s="25" t="s">
        <v>3970</v>
      </c>
      <c r="N782" s="22"/>
      <c r="O782" s="22" t="s">
        <v>3971</v>
      </c>
      <c r="P782" s="22" t="str">
        <f>HYPERLINK("https://ceds.ed.gov/cedselementdetails.aspx?termid=22318")</f>
        <v>https://ceds.ed.gov/cedselementdetails.aspx?termid=22318</v>
      </c>
      <c r="Q782" s="22">
        <v>63709</v>
      </c>
    </row>
    <row r="783" spans="1:17" ht="57.6" x14ac:dyDescent="0.3">
      <c r="A783" s="22" t="s">
        <v>7709</v>
      </c>
      <c r="B783" s="22" t="s">
        <v>7778</v>
      </c>
      <c r="C783" s="22"/>
      <c r="D783" s="22" t="s">
        <v>7741</v>
      </c>
      <c r="E783" s="22" t="s">
        <v>3972</v>
      </c>
      <c r="F783" s="24" t="s">
        <v>3973</v>
      </c>
      <c r="G783" s="23" t="s">
        <v>32</v>
      </c>
      <c r="H783" s="22"/>
      <c r="I783" s="22" t="s">
        <v>172</v>
      </c>
      <c r="J783" s="22" t="s">
        <v>1518</v>
      </c>
      <c r="K783" s="24" t="s">
        <v>7946</v>
      </c>
      <c r="L783" s="24" t="s">
        <v>3974</v>
      </c>
      <c r="M783" s="25" t="s">
        <v>3975</v>
      </c>
      <c r="N783" s="22"/>
      <c r="O783" s="22" t="s">
        <v>3976</v>
      </c>
      <c r="P783" s="22" t="str">
        <f>HYPERLINK("https://ceds.ed.gov/cedselementdetails.aspx?termid=22625")</f>
        <v>https://ceds.ed.gov/cedselementdetails.aspx?termid=22625</v>
      </c>
      <c r="Q783" s="22">
        <v>63710</v>
      </c>
    </row>
    <row r="784" spans="1:17" ht="43.2" x14ac:dyDescent="0.3">
      <c r="A784" s="22" t="s">
        <v>7709</v>
      </c>
      <c r="B784" s="22" t="s">
        <v>7778</v>
      </c>
      <c r="C784" s="22"/>
      <c r="D784" s="22" t="s">
        <v>7741</v>
      </c>
      <c r="E784" s="22" t="s">
        <v>4066</v>
      </c>
      <c r="F784" s="24" t="s">
        <v>8202</v>
      </c>
      <c r="G784" s="23" t="s">
        <v>32</v>
      </c>
      <c r="H784" s="22"/>
      <c r="I784" s="22" t="s">
        <v>172</v>
      </c>
      <c r="J784" s="22" t="s">
        <v>1844</v>
      </c>
      <c r="K784" s="24" t="s">
        <v>8159</v>
      </c>
      <c r="L784" s="24"/>
      <c r="M784" s="25" t="s">
        <v>4067</v>
      </c>
      <c r="N784" s="22"/>
      <c r="O784" s="22" t="s">
        <v>4068</v>
      </c>
      <c r="P784" s="22" t="str">
        <f>HYPERLINK("https://ceds.ed.gov/cedselementdetails.aspx?termid=22620")</f>
        <v>https://ceds.ed.gov/cedselementdetails.aspx?termid=22620</v>
      </c>
      <c r="Q784" s="22">
        <v>63711</v>
      </c>
    </row>
    <row r="785" spans="1:17" ht="187.2" x14ac:dyDescent="0.3">
      <c r="A785" s="22" t="s">
        <v>7709</v>
      </c>
      <c r="B785" s="22" t="s">
        <v>7778</v>
      </c>
      <c r="C785" s="22"/>
      <c r="D785" s="22" t="s">
        <v>7741</v>
      </c>
      <c r="E785" s="22" t="s">
        <v>5679</v>
      </c>
      <c r="F785" s="24" t="s">
        <v>5680</v>
      </c>
      <c r="G785" s="26" t="s">
        <v>8485</v>
      </c>
      <c r="H785" s="22" t="s">
        <v>109</v>
      </c>
      <c r="I785" s="22" t="s">
        <v>172</v>
      </c>
      <c r="J785" s="22"/>
      <c r="K785" s="24" t="s">
        <v>7946</v>
      </c>
      <c r="L785" s="24"/>
      <c r="M785" s="25" t="s">
        <v>5681</v>
      </c>
      <c r="N785" s="22"/>
      <c r="O785" s="22" t="s">
        <v>5682</v>
      </c>
      <c r="P785" s="22" t="str">
        <f>HYPERLINK("https://ceds.ed.gov/cedselementdetails.aspx?termid=21827")</f>
        <v>https://ceds.ed.gov/cedselementdetails.aspx?termid=21827</v>
      </c>
      <c r="Q785" s="22">
        <v>63712</v>
      </c>
    </row>
    <row r="786" spans="1:17" ht="172.8" x14ac:dyDescent="0.3">
      <c r="A786" s="22" t="s">
        <v>7709</v>
      </c>
      <c r="B786" s="22" t="s">
        <v>7778</v>
      </c>
      <c r="C786" s="22"/>
      <c r="D786" s="22" t="s">
        <v>7741</v>
      </c>
      <c r="E786" s="22" t="s">
        <v>5683</v>
      </c>
      <c r="F786" s="24" t="s">
        <v>5684</v>
      </c>
      <c r="G786" s="23" t="s">
        <v>32</v>
      </c>
      <c r="H786" s="22" t="s">
        <v>109</v>
      </c>
      <c r="I786" s="22" t="s">
        <v>172</v>
      </c>
      <c r="J786" s="22" t="s">
        <v>132</v>
      </c>
      <c r="K786" s="24" t="s">
        <v>7946</v>
      </c>
      <c r="L786" s="24" t="s">
        <v>7945</v>
      </c>
      <c r="M786" s="25" t="s">
        <v>5685</v>
      </c>
      <c r="N786" s="22"/>
      <c r="O786" s="22" t="s">
        <v>5686</v>
      </c>
      <c r="P786" s="22" t="str">
        <f>HYPERLINK("https://ceds.ed.gov/cedselementdetails.aspx?termid=21825")</f>
        <v>https://ceds.ed.gov/cedselementdetails.aspx?termid=21825</v>
      </c>
      <c r="Q786" s="22">
        <v>63713</v>
      </c>
    </row>
    <row r="787" spans="1:17" ht="43.2" x14ac:dyDescent="0.3">
      <c r="A787" s="22" t="s">
        <v>7709</v>
      </c>
      <c r="B787" s="22" t="s">
        <v>7778</v>
      </c>
      <c r="C787" s="22"/>
      <c r="D787" s="22" t="s">
        <v>7741</v>
      </c>
      <c r="E787" s="22" t="s">
        <v>5695</v>
      </c>
      <c r="F787" s="24" t="s">
        <v>5696</v>
      </c>
      <c r="G787" s="23" t="s">
        <v>32</v>
      </c>
      <c r="H787" s="22" t="s">
        <v>207</v>
      </c>
      <c r="I787" s="22" t="s">
        <v>172</v>
      </c>
      <c r="J787" s="22" t="s">
        <v>157</v>
      </c>
      <c r="K787" s="24" t="s">
        <v>7946</v>
      </c>
      <c r="L787" s="24"/>
      <c r="M787" s="25" t="s">
        <v>5697</v>
      </c>
      <c r="N787" s="22"/>
      <c r="O787" s="22" t="s">
        <v>5698</v>
      </c>
      <c r="P787" s="22" t="str">
        <f>HYPERLINK("https://ceds.ed.gov/cedselementdetails.aspx?termid=21204")</f>
        <v>https://ceds.ed.gov/cedselementdetails.aspx?termid=21204</v>
      </c>
      <c r="Q787" s="22">
        <v>63714</v>
      </c>
    </row>
    <row r="788" spans="1:17" ht="43.2" x14ac:dyDescent="0.3">
      <c r="A788" s="22" t="s">
        <v>7709</v>
      </c>
      <c r="B788" s="22" t="s">
        <v>7778</v>
      </c>
      <c r="C788" s="22"/>
      <c r="D788" s="22" t="s">
        <v>7741</v>
      </c>
      <c r="E788" s="22" t="s">
        <v>5699</v>
      </c>
      <c r="F788" s="24" t="s">
        <v>5700</v>
      </c>
      <c r="G788" s="26" t="s">
        <v>8489</v>
      </c>
      <c r="H788" s="22"/>
      <c r="I788" s="22" t="s">
        <v>172</v>
      </c>
      <c r="J788" s="22"/>
      <c r="K788" s="24" t="s">
        <v>7946</v>
      </c>
      <c r="L788" s="24"/>
      <c r="M788" s="25" t="s">
        <v>5701</v>
      </c>
      <c r="N788" s="22"/>
      <c r="O788" s="22" t="s">
        <v>5702</v>
      </c>
      <c r="P788" s="22" t="str">
        <f>HYPERLINK("https://ceds.ed.gov/cedselementdetails.aspx?termid=22387")</f>
        <v>https://ceds.ed.gov/cedselementdetails.aspx?termid=22387</v>
      </c>
      <c r="Q788" s="22">
        <v>63715</v>
      </c>
    </row>
    <row r="789" spans="1:17" ht="172.8" x14ac:dyDescent="0.3">
      <c r="A789" s="22" t="s">
        <v>7709</v>
      </c>
      <c r="B789" s="22" t="s">
        <v>7778</v>
      </c>
      <c r="C789" s="22"/>
      <c r="D789" s="22" t="s">
        <v>7741</v>
      </c>
      <c r="E789" s="22" t="s">
        <v>6174</v>
      </c>
      <c r="F789" s="24" t="s">
        <v>6175</v>
      </c>
      <c r="G789" s="23" t="s">
        <v>32</v>
      </c>
      <c r="H789" s="22" t="s">
        <v>2608</v>
      </c>
      <c r="I789" s="22" t="s">
        <v>172</v>
      </c>
      <c r="J789" s="22" t="s">
        <v>132</v>
      </c>
      <c r="K789" s="24" t="s">
        <v>8282</v>
      </c>
      <c r="L789" s="24" t="s">
        <v>7945</v>
      </c>
      <c r="M789" s="25" t="s">
        <v>6176</v>
      </c>
      <c r="N789" s="22"/>
      <c r="O789" s="22" t="s">
        <v>6177</v>
      </c>
      <c r="P789" s="22" t="str">
        <f>HYPERLINK("https://ceds.ed.gov/cedselementdetails.aspx?termid=21618")</f>
        <v>https://ceds.ed.gov/cedselementdetails.aspx?termid=21618</v>
      </c>
      <c r="Q789" s="22">
        <v>63716</v>
      </c>
    </row>
    <row r="790" spans="1:17" ht="43.2" x14ac:dyDescent="0.3">
      <c r="A790" s="22" t="s">
        <v>7709</v>
      </c>
      <c r="B790" s="22" t="s">
        <v>7778</v>
      </c>
      <c r="C790" s="22"/>
      <c r="D790" s="22" t="s">
        <v>7741</v>
      </c>
      <c r="E790" s="22" t="s">
        <v>6189</v>
      </c>
      <c r="F790" s="24" t="s">
        <v>6190</v>
      </c>
      <c r="G790" s="23" t="s">
        <v>32</v>
      </c>
      <c r="H790" s="22" t="s">
        <v>2608</v>
      </c>
      <c r="I790" s="22" t="s">
        <v>172</v>
      </c>
      <c r="J790" s="22" t="s">
        <v>157</v>
      </c>
      <c r="K790" s="24" t="s">
        <v>8282</v>
      </c>
      <c r="L790" s="24"/>
      <c r="M790" s="25" t="s">
        <v>6191</v>
      </c>
      <c r="N790" s="22"/>
      <c r="O790" s="22" t="s">
        <v>6192</v>
      </c>
      <c r="P790" s="22" t="str">
        <f>HYPERLINK("https://ceds.ed.gov/cedselementdetails.aspx?termid=21619")</f>
        <v>https://ceds.ed.gov/cedselementdetails.aspx?termid=21619</v>
      </c>
      <c r="Q790" s="22">
        <v>63717</v>
      </c>
    </row>
    <row r="791" spans="1:17" ht="201.6" x14ac:dyDescent="0.3">
      <c r="A791" s="22" t="s">
        <v>7709</v>
      </c>
      <c r="B791" s="22" t="s">
        <v>7778</v>
      </c>
      <c r="C791" s="22"/>
      <c r="D791" s="22" t="s">
        <v>7741</v>
      </c>
      <c r="E791" s="22" t="s">
        <v>6222</v>
      </c>
      <c r="F791" s="24" t="s">
        <v>6223</v>
      </c>
      <c r="G791" s="26" t="s">
        <v>8504</v>
      </c>
      <c r="H791" s="22"/>
      <c r="I791" s="22" t="s">
        <v>172</v>
      </c>
      <c r="J791" s="22"/>
      <c r="K791" s="24" t="s">
        <v>7946</v>
      </c>
      <c r="L791" s="24"/>
      <c r="M791" s="25" t="s">
        <v>6224</v>
      </c>
      <c r="N791" s="22"/>
      <c r="O791" s="22" t="s">
        <v>6225</v>
      </c>
      <c r="P791" s="22" t="str">
        <f>HYPERLINK("https://ceds.ed.gov/cedselementdetails.aspx?termid=21692")</f>
        <v>https://ceds.ed.gov/cedselementdetails.aspx?termid=21692</v>
      </c>
      <c r="Q791" s="22">
        <v>63718</v>
      </c>
    </row>
    <row r="792" spans="1:17" ht="409.6" x14ac:dyDescent="0.3">
      <c r="A792" s="22" t="s">
        <v>7709</v>
      </c>
      <c r="B792" s="22" t="s">
        <v>7778</v>
      </c>
      <c r="C792" s="22"/>
      <c r="D792" s="22" t="s">
        <v>7741</v>
      </c>
      <c r="E792" s="22" t="s">
        <v>6230</v>
      </c>
      <c r="F792" s="24" t="s">
        <v>6231</v>
      </c>
      <c r="G792" s="26" t="s">
        <v>8506</v>
      </c>
      <c r="H792" s="24" t="s">
        <v>64</v>
      </c>
      <c r="I792" s="22" t="s">
        <v>172</v>
      </c>
      <c r="J792" s="22"/>
      <c r="K792" s="24" t="s">
        <v>8285</v>
      </c>
      <c r="L792" s="24"/>
      <c r="M792" s="25" t="s">
        <v>6232</v>
      </c>
      <c r="N792" s="22"/>
      <c r="O792" s="22" t="s">
        <v>6233</v>
      </c>
      <c r="P792" s="22" t="str">
        <f>HYPERLINK("https://ceds.ed.gov/cedselementdetails.aspx?termid=21225")</f>
        <v>https://ceds.ed.gov/cedselementdetails.aspx?termid=21225</v>
      </c>
      <c r="Q792" s="22">
        <v>63719</v>
      </c>
    </row>
    <row r="793" spans="1:17" ht="43.2" x14ac:dyDescent="0.3">
      <c r="A793" s="22" t="s">
        <v>7779</v>
      </c>
      <c r="B793" s="22" t="s">
        <v>7780</v>
      </c>
      <c r="C793" s="22"/>
      <c r="D793" s="22" t="s">
        <v>7710</v>
      </c>
      <c r="E793" s="22" t="s">
        <v>5687</v>
      </c>
      <c r="F793" s="24" t="s">
        <v>5688</v>
      </c>
      <c r="G793" s="23" t="s">
        <v>32</v>
      </c>
      <c r="H793" s="22"/>
      <c r="I793" s="22"/>
      <c r="J793" s="22" t="s">
        <v>50</v>
      </c>
      <c r="K793" s="24"/>
      <c r="L793" s="24"/>
      <c r="M793" s="25" t="s">
        <v>5689</v>
      </c>
      <c r="N793" s="22"/>
      <c r="O793" s="22" t="s">
        <v>5690</v>
      </c>
      <c r="P793" s="22" t="str">
        <f>HYPERLINK("https://ceds.ed.gov/cedselementdetails.aspx?termid=22644")</f>
        <v>https://ceds.ed.gov/cedselementdetails.aspx?termid=22644</v>
      </c>
      <c r="Q793" s="22">
        <v>62977</v>
      </c>
    </row>
    <row r="794" spans="1:17" ht="28.8" x14ac:dyDescent="0.3">
      <c r="A794" s="22" t="s">
        <v>7779</v>
      </c>
      <c r="B794" s="22" t="s">
        <v>7780</v>
      </c>
      <c r="C794" s="22"/>
      <c r="D794" s="22" t="s">
        <v>7710</v>
      </c>
      <c r="E794" s="22" t="s">
        <v>5703</v>
      </c>
      <c r="F794" s="24" t="s">
        <v>5704</v>
      </c>
      <c r="G794" s="23" t="s">
        <v>32</v>
      </c>
      <c r="H794" s="22"/>
      <c r="I794" s="22"/>
      <c r="J794" s="22" t="s">
        <v>2856</v>
      </c>
      <c r="K794" s="24"/>
      <c r="L794" s="24"/>
      <c r="M794" s="25" t="s">
        <v>5705</v>
      </c>
      <c r="N794" s="22"/>
      <c r="O794" s="22" t="s">
        <v>5706</v>
      </c>
      <c r="P794" s="22" t="str">
        <f>HYPERLINK("https://ceds.ed.gov/cedselementdetails.aspx?termid=22731")</f>
        <v>https://ceds.ed.gov/cedselementdetails.aspx?termid=22731</v>
      </c>
      <c r="Q794" s="22">
        <v>62984</v>
      </c>
    </row>
    <row r="795" spans="1:17" ht="43.2" x14ac:dyDescent="0.3">
      <c r="A795" s="22" t="s">
        <v>7779</v>
      </c>
      <c r="B795" s="22" t="s">
        <v>7780</v>
      </c>
      <c r="C795" s="22"/>
      <c r="D795" s="22" t="s">
        <v>7710</v>
      </c>
      <c r="E795" s="22" t="s">
        <v>5699</v>
      </c>
      <c r="F795" s="24" t="s">
        <v>5700</v>
      </c>
      <c r="G795" s="26" t="s">
        <v>8489</v>
      </c>
      <c r="H795" s="22"/>
      <c r="I795" s="22" t="s">
        <v>172</v>
      </c>
      <c r="J795" s="22"/>
      <c r="K795" s="24" t="s">
        <v>7946</v>
      </c>
      <c r="L795" s="24"/>
      <c r="M795" s="25" t="s">
        <v>5701</v>
      </c>
      <c r="N795" s="22"/>
      <c r="O795" s="22" t="s">
        <v>5702</v>
      </c>
      <c r="P795" s="22" t="str">
        <f>HYPERLINK("https://ceds.ed.gov/cedselementdetails.aspx?termid=22387")</f>
        <v>https://ceds.ed.gov/cedselementdetails.aspx?termid=22387</v>
      </c>
      <c r="Q795" s="22">
        <v>61299</v>
      </c>
    </row>
    <row r="796" spans="1:17" ht="28.8" x14ac:dyDescent="0.3">
      <c r="A796" s="22" t="s">
        <v>7779</v>
      </c>
      <c r="B796" s="22" t="s">
        <v>7780</v>
      </c>
      <c r="C796" s="22"/>
      <c r="D796" s="22" t="s">
        <v>7741</v>
      </c>
      <c r="E796" s="22" t="s">
        <v>5667</v>
      </c>
      <c r="F796" s="24" t="s">
        <v>5668</v>
      </c>
      <c r="G796" s="23" t="s">
        <v>32</v>
      </c>
      <c r="H796" s="22" t="s">
        <v>226</v>
      </c>
      <c r="I796" s="22" t="s">
        <v>172</v>
      </c>
      <c r="J796" s="22" t="s">
        <v>118</v>
      </c>
      <c r="K796" s="24" t="s">
        <v>7946</v>
      </c>
      <c r="L796" s="24"/>
      <c r="M796" s="25" t="s">
        <v>5669</v>
      </c>
      <c r="N796" s="22"/>
      <c r="O796" s="22" t="s">
        <v>5670</v>
      </c>
      <c r="P796" s="22" t="str">
        <f>HYPERLINK("https://ceds.ed.gov/cedselementdetails.aspx?termid=21525")</f>
        <v>https://ceds.ed.gov/cedselementdetails.aspx?termid=21525</v>
      </c>
      <c r="Q796" s="22">
        <v>63927</v>
      </c>
    </row>
    <row r="797" spans="1:17" ht="172.8" x14ac:dyDescent="0.3">
      <c r="A797" s="22" t="s">
        <v>7779</v>
      </c>
      <c r="B797" s="22" t="s">
        <v>7780</v>
      </c>
      <c r="C797" s="22" t="s">
        <v>7711</v>
      </c>
      <c r="D797" s="22" t="s">
        <v>7710</v>
      </c>
      <c r="E797" s="22" t="s">
        <v>5683</v>
      </c>
      <c r="F797" s="24" t="s">
        <v>5684</v>
      </c>
      <c r="G797" s="23" t="s">
        <v>32</v>
      </c>
      <c r="H797" s="22" t="s">
        <v>109</v>
      </c>
      <c r="I797" s="22" t="s">
        <v>172</v>
      </c>
      <c r="J797" s="22" t="s">
        <v>132</v>
      </c>
      <c r="K797" s="24" t="s">
        <v>7946</v>
      </c>
      <c r="L797" s="24" t="s">
        <v>7945</v>
      </c>
      <c r="M797" s="25" t="s">
        <v>5685</v>
      </c>
      <c r="N797" s="22"/>
      <c r="O797" s="22" t="s">
        <v>5686</v>
      </c>
      <c r="P797" s="22" t="str">
        <f>HYPERLINK("https://ceds.ed.gov/cedselementdetails.aspx?termid=21825")</f>
        <v>https://ceds.ed.gov/cedselementdetails.aspx?termid=21825</v>
      </c>
      <c r="Q797" s="22">
        <v>61715</v>
      </c>
    </row>
    <row r="798" spans="1:17" ht="187.2" x14ac:dyDescent="0.3">
      <c r="A798" s="22" t="s">
        <v>7779</v>
      </c>
      <c r="B798" s="22" t="s">
        <v>7780</v>
      </c>
      <c r="C798" s="22" t="s">
        <v>7711</v>
      </c>
      <c r="D798" s="22" t="s">
        <v>7710</v>
      </c>
      <c r="E798" s="22" t="s">
        <v>5679</v>
      </c>
      <c r="F798" s="24" t="s">
        <v>5680</v>
      </c>
      <c r="G798" s="26" t="s">
        <v>8485</v>
      </c>
      <c r="H798" s="22" t="s">
        <v>109</v>
      </c>
      <c r="I798" s="22" t="s">
        <v>172</v>
      </c>
      <c r="J798" s="22"/>
      <c r="K798" s="24" t="s">
        <v>7946</v>
      </c>
      <c r="L798" s="24"/>
      <c r="M798" s="25" t="s">
        <v>5681</v>
      </c>
      <c r="N798" s="22"/>
      <c r="O798" s="22" t="s">
        <v>5682</v>
      </c>
      <c r="P798" s="22" t="str">
        <f>HYPERLINK("https://ceds.ed.gov/cedselementdetails.aspx?termid=21827")</f>
        <v>https://ceds.ed.gov/cedselementdetails.aspx?termid=21827</v>
      </c>
      <c r="Q798" s="22">
        <v>61717</v>
      </c>
    </row>
    <row r="799" spans="1:17" ht="43.2" x14ac:dyDescent="0.3">
      <c r="A799" s="22" t="s">
        <v>7779</v>
      </c>
      <c r="B799" s="22" t="s">
        <v>7780</v>
      </c>
      <c r="C799" s="22" t="s">
        <v>7711</v>
      </c>
      <c r="D799" s="22" t="s">
        <v>7710</v>
      </c>
      <c r="E799" s="22" t="s">
        <v>5695</v>
      </c>
      <c r="F799" s="24" t="s">
        <v>5696</v>
      </c>
      <c r="G799" s="23" t="s">
        <v>32</v>
      </c>
      <c r="H799" s="22" t="s">
        <v>207</v>
      </c>
      <c r="I799" s="22" t="s">
        <v>172</v>
      </c>
      <c r="J799" s="22" t="s">
        <v>157</v>
      </c>
      <c r="K799" s="24" t="s">
        <v>7946</v>
      </c>
      <c r="L799" s="24"/>
      <c r="M799" s="25" t="s">
        <v>5697</v>
      </c>
      <c r="N799" s="22"/>
      <c r="O799" s="22" t="s">
        <v>5698</v>
      </c>
      <c r="P799" s="22" t="str">
        <f>HYPERLINK("https://ceds.ed.gov/cedselementdetails.aspx?termid=21204")</f>
        <v>https://ceds.ed.gov/cedselementdetails.aspx?termid=21204</v>
      </c>
      <c r="Q799" s="22">
        <v>61713</v>
      </c>
    </row>
    <row r="800" spans="1:17" ht="409.6" x14ac:dyDescent="0.3">
      <c r="A800" s="22" t="s">
        <v>7779</v>
      </c>
      <c r="B800" s="22" t="s">
        <v>7780</v>
      </c>
      <c r="C800" s="22" t="s">
        <v>7711</v>
      </c>
      <c r="D800" s="22" t="s">
        <v>7710</v>
      </c>
      <c r="E800" s="22" t="s">
        <v>5715</v>
      </c>
      <c r="F800" s="24" t="s">
        <v>5716</v>
      </c>
      <c r="G800" s="26" t="s">
        <v>8493</v>
      </c>
      <c r="H800" s="22"/>
      <c r="I800" s="22" t="s">
        <v>172</v>
      </c>
      <c r="J800" s="22"/>
      <c r="K800" s="24" t="s">
        <v>8265</v>
      </c>
      <c r="L800" s="24" t="s">
        <v>5717</v>
      </c>
      <c r="M800" s="25" t="s">
        <v>5718</v>
      </c>
      <c r="N800" s="22"/>
      <c r="O800" s="22" t="s">
        <v>5719</v>
      </c>
      <c r="P800" s="22" t="str">
        <f>HYPERLINK("https://ceds.ed.gov/cedselementdetails.aspx?termid=22165")</f>
        <v>https://ceds.ed.gov/cedselementdetails.aspx?termid=22165</v>
      </c>
      <c r="Q800" s="22">
        <v>62122</v>
      </c>
    </row>
    <row r="801" spans="1:17" ht="86.4" x14ac:dyDescent="0.3">
      <c r="A801" s="22" t="s">
        <v>7779</v>
      </c>
      <c r="B801" s="22" t="s">
        <v>7780</v>
      </c>
      <c r="C801" s="22" t="s">
        <v>7711</v>
      </c>
      <c r="D801" s="22" t="s">
        <v>7710</v>
      </c>
      <c r="E801" s="22" t="s">
        <v>1993</v>
      </c>
      <c r="F801" s="24" t="s">
        <v>1994</v>
      </c>
      <c r="G801" s="26" t="s">
        <v>8718</v>
      </c>
      <c r="H801" s="22" t="s">
        <v>226</v>
      </c>
      <c r="I801" s="22"/>
      <c r="J801" s="22"/>
      <c r="K801" s="24"/>
      <c r="L801" s="24"/>
      <c r="M801" s="25" t="s">
        <v>1996</v>
      </c>
      <c r="N801" s="22"/>
      <c r="O801" s="22" t="s">
        <v>1997</v>
      </c>
      <c r="P801" s="22" t="str">
        <f>HYPERLINK("https://ceds.ed.gov/cedselementdetails.aspx?termid=22631")</f>
        <v>https://ceds.ed.gov/cedselementdetails.aspx?termid=22631</v>
      </c>
      <c r="Q801" s="22">
        <v>62345</v>
      </c>
    </row>
    <row r="802" spans="1:17" ht="86.4" x14ac:dyDescent="0.3">
      <c r="A802" s="22" t="s">
        <v>7779</v>
      </c>
      <c r="B802" s="22" t="s">
        <v>7780</v>
      </c>
      <c r="C802" s="22" t="s">
        <v>7711</v>
      </c>
      <c r="D802" s="22" t="s">
        <v>7710</v>
      </c>
      <c r="E802" s="22" t="s">
        <v>5707</v>
      </c>
      <c r="F802" s="24" t="s">
        <v>5708</v>
      </c>
      <c r="G802" s="26" t="s">
        <v>8491</v>
      </c>
      <c r="H802" s="22"/>
      <c r="I802" s="22" t="s">
        <v>172</v>
      </c>
      <c r="J802" s="22"/>
      <c r="K802" s="24" t="s">
        <v>8263</v>
      </c>
      <c r="L802" s="24" t="s">
        <v>8264</v>
      </c>
      <c r="M802" s="25" t="s">
        <v>5709</v>
      </c>
      <c r="N802" s="22"/>
      <c r="O802" s="22" t="s">
        <v>5710</v>
      </c>
      <c r="P802" s="22" t="str">
        <f>HYPERLINK("https://ceds.ed.gov/cedselementdetails.aspx?termid=22886")</f>
        <v>https://ceds.ed.gov/cedselementdetails.aspx?termid=22886</v>
      </c>
      <c r="Q802" s="22">
        <v>63154</v>
      </c>
    </row>
    <row r="803" spans="1:17" ht="86.4" x14ac:dyDescent="0.3">
      <c r="A803" s="22" t="s">
        <v>7779</v>
      </c>
      <c r="B803" s="22" t="s">
        <v>7780</v>
      </c>
      <c r="C803" s="22" t="s">
        <v>7711</v>
      </c>
      <c r="D803" s="22" t="s">
        <v>7741</v>
      </c>
      <c r="E803" s="22" t="s">
        <v>8312</v>
      </c>
      <c r="F803" s="24" t="s">
        <v>8313</v>
      </c>
      <c r="G803" s="23" t="s">
        <v>32</v>
      </c>
      <c r="H803" s="22"/>
      <c r="I803" s="22" t="s">
        <v>172</v>
      </c>
      <c r="J803" s="22" t="s">
        <v>85</v>
      </c>
      <c r="K803" s="24" t="s">
        <v>8314</v>
      </c>
      <c r="L803" s="24" t="s">
        <v>6772</v>
      </c>
      <c r="M803" s="25" t="s">
        <v>6773</v>
      </c>
      <c r="N803" s="22"/>
      <c r="O803" s="22" t="s">
        <v>8315</v>
      </c>
      <c r="P803" s="22" t="str">
        <f>HYPERLINK("https://ceds.ed.gov/cedselementdetails.aspx?termid=22459")</f>
        <v>https://ceds.ed.gov/cedselementdetails.aspx?termid=22459</v>
      </c>
      <c r="Q803" s="22">
        <v>63928</v>
      </c>
    </row>
    <row r="804" spans="1:17" ht="72" x14ac:dyDescent="0.3">
      <c r="A804" s="22" t="s">
        <v>7779</v>
      </c>
      <c r="B804" s="22" t="s">
        <v>7780</v>
      </c>
      <c r="C804" s="22" t="s">
        <v>7712</v>
      </c>
      <c r="D804" s="22" t="s">
        <v>7710</v>
      </c>
      <c r="E804" s="22" t="s">
        <v>199</v>
      </c>
      <c r="F804" s="24" t="s">
        <v>200</v>
      </c>
      <c r="G804" s="26" t="s">
        <v>8394</v>
      </c>
      <c r="H804" s="24" t="s">
        <v>64</v>
      </c>
      <c r="I804" s="22" t="s">
        <v>172</v>
      </c>
      <c r="J804" s="22" t="s">
        <v>85</v>
      </c>
      <c r="K804" s="24" t="s">
        <v>7946</v>
      </c>
      <c r="L804" s="24"/>
      <c r="M804" s="25" t="s">
        <v>201</v>
      </c>
      <c r="N804" s="22"/>
      <c r="O804" s="22" t="s">
        <v>202</v>
      </c>
      <c r="P804" s="22" t="str">
        <f>HYPERLINK("https://ceds.ed.gov/cedselementdetails.aspx?termid=21644")</f>
        <v>https://ceds.ed.gov/cedselementdetails.aspx?termid=21644</v>
      </c>
      <c r="Q804" s="22">
        <v>61719</v>
      </c>
    </row>
    <row r="805" spans="1:17" ht="187.2" x14ac:dyDescent="0.3">
      <c r="A805" s="22" t="s">
        <v>7779</v>
      </c>
      <c r="B805" s="22" t="s">
        <v>7780</v>
      </c>
      <c r="C805" s="22" t="s">
        <v>7712</v>
      </c>
      <c r="D805" s="22" t="s">
        <v>7710</v>
      </c>
      <c r="E805" s="22" t="s">
        <v>189</v>
      </c>
      <c r="F805" s="24" t="s">
        <v>190</v>
      </c>
      <c r="G805" s="23" t="s">
        <v>32</v>
      </c>
      <c r="H805" s="24" t="s">
        <v>175</v>
      </c>
      <c r="I805" s="22" t="s">
        <v>172</v>
      </c>
      <c r="J805" s="22" t="s">
        <v>191</v>
      </c>
      <c r="K805" s="24" t="s">
        <v>7946</v>
      </c>
      <c r="L805" s="24"/>
      <c r="M805" s="25" t="s">
        <v>192</v>
      </c>
      <c r="N805" s="22"/>
      <c r="O805" s="22" t="s">
        <v>193</v>
      </c>
      <c r="P805" s="22" t="str">
        <f>HYPERLINK("https://ceds.ed.gov/cedselementdetails.aspx?termid=21269")</f>
        <v>https://ceds.ed.gov/cedselementdetails.aspx?termid=21269</v>
      </c>
      <c r="Q805" s="22">
        <v>61721</v>
      </c>
    </row>
    <row r="806" spans="1:17" ht="187.2" x14ac:dyDescent="0.3">
      <c r="A806" s="22" t="s">
        <v>7779</v>
      </c>
      <c r="B806" s="22" t="s">
        <v>7780</v>
      </c>
      <c r="C806" s="22" t="s">
        <v>7712</v>
      </c>
      <c r="D806" s="22" t="s">
        <v>7710</v>
      </c>
      <c r="E806" s="22" t="s">
        <v>170</v>
      </c>
      <c r="F806" s="24" t="s">
        <v>171</v>
      </c>
      <c r="G806" s="23" t="s">
        <v>32</v>
      </c>
      <c r="H806" s="24" t="s">
        <v>175</v>
      </c>
      <c r="I806" s="22" t="s">
        <v>172</v>
      </c>
      <c r="J806" s="22" t="s">
        <v>157</v>
      </c>
      <c r="K806" s="24" t="s">
        <v>7946</v>
      </c>
      <c r="L806" s="24"/>
      <c r="M806" s="25" t="s">
        <v>173</v>
      </c>
      <c r="N806" s="22"/>
      <c r="O806" s="22" t="s">
        <v>174</v>
      </c>
      <c r="P806" s="22" t="str">
        <f>HYPERLINK("https://ceds.ed.gov/cedselementdetails.aspx?termid=21019")</f>
        <v>https://ceds.ed.gov/cedselementdetails.aspx?termid=21019</v>
      </c>
      <c r="Q806" s="22">
        <v>61723</v>
      </c>
    </row>
    <row r="807" spans="1:17" ht="187.2" x14ac:dyDescent="0.3">
      <c r="A807" s="22" t="s">
        <v>7779</v>
      </c>
      <c r="B807" s="22" t="s">
        <v>7780</v>
      </c>
      <c r="C807" s="22" t="s">
        <v>7712</v>
      </c>
      <c r="D807" s="22" t="s">
        <v>7710</v>
      </c>
      <c r="E807" s="22" t="s">
        <v>176</v>
      </c>
      <c r="F807" s="24" t="s">
        <v>177</v>
      </c>
      <c r="G807" s="23" t="s">
        <v>32</v>
      </c>
      <c r="H807" s="24" t="s">
        <v>175</v>
      </c>
      <c r="I807" s="22" t="s">
        <v>172</v>
      </c>
      <c r="J807" s="22" t="s">
        <v>85</v>
      </c>
      <c r="K807" s="24" t="s">
        <v>7946</v>
      </c>
      <c r="L807" s="24"/>
      <c r="M807" s="25" t="s">
        <v>178</v>
      </c>
      <c r="N807" s="22"/>
      <c r="O807" s="22" t="s">
        <v>179</v>
      </c>
      <c r="P807" s="22" t="str">
        <f>HYPERLINK("https://ceds.ed.gov/cedselementdetails.aspx?termid=21040")</f>
        <v>https://ceds.ed.gov/cedselementdetails.aspx?termid=21040</v>
      </c>
      <c r="Q807" s="22">
        <v>61725</v>
      </c>
    </row>
    <row r="808" spans="1:17" ht="409.6" x14ac:dyDescent="0.3">
      <c r="A808" s="22" t="s">
        <v>7779</v>
      </c>
      <c r="B808" s="22" t="s">
        <v>7780</v>
      </c>
      <c r="C808" s="22" t="s">
        <v>7712</v>
      </c>
      <c r="D808" s="22" t="s">
        <v>7710</v>
      </c>
      <c r="E808" s="22" t="s">
        <v>6941</v>
      </c>
      <c r="F808" s="24" t="s">
        <v>6942</v>
      </c>
      <c r="G808" s="26" t="s">
        <v>8533</v>
      </c>
      <c r="H808" s="24" t="s">
        <v>6945</v>
      </c>
      <c r="I808" s="22" t="s">
        <v>172</v>
      </c>
      <c r="J808" s="22"/>
      <c r="K808" s="24" t="s">
        <v>8327</v>
      </c>
      <c r="L808" s="24"/>
      <c r="M808" s="25" t="s">
        <v>6943</v>
      </c>
      <c r="N808" s="22"/>
      <c r="O808" s="22" t="s">
        <v>6944</v>
      </c>
      <c r="P808" s="22" t="str">
        <f>HYPERLINK("https://ceds.ed.gov/cedselementdetails.aspx?termid=21267")</f>
        <v>https://ceds.ed.gov/cedselementdetails.aspx?termid=21267</v>
      </c>
      <c r="Q808" s="22">
        <v>61727</v>
      </c>
    </row>
    <row r="809" spans="1:17" ht="187.2" x14ac:dyDescent="0.3">
      <c r="A809" s="22" t="s">
        <v>7779</v>
      </c>
      <c r="B809" s="22" t="s">
        <v>7780</v>
      </c>
      <c r="C809" s="22" t="s">
        <v>7712</v>
      </c>
      <c r="D809" s="22" t="s">
        <v>7710</v>
      </c>
      <c r="E809" s="22" t="s">
        <v>184</v>
      </c>
      <c r="F809" s="24" t="s">
        <v>185</v>
      </c>
      <c r="G809" s="23" t="s">
        <v>32</v>
      </c>
      <c r="H809" s="24" t="s">
        <v>175</v>
      </c>
      <c r="I809" s="22" t="s">
        <v>172</v>
      </c>
      <c r="J809" s="22" t="s">
        <v>186</v>
      </c>
      <c r="K809" s="24" t="s">
        <v>7946</v>
      </c>
      <c r="L809" s="24"/>
      <c r="M809" s="25" t="s">
        <v>187</v>
      </c>
      <c r="N809" s="22"/>
      <c r="O809" s="22" t="s">
        <v>188</v>
      </c>
      <c r="P809" s="22" t="str">
        <f>HYPERLINK("https://ceds.ed.gov/cedselementdetails.aspx?termid=21214")</f>
        <v>https://ceds.ed.gov/cedselementdetails.aspx?termid=21214</v>
      </c>
      <c r="Q809" s="22">
        <v>61729</v>
      </c>
    </row>
    <row r="810" spans="1:17" ht="187.2" x14ac:dyDescent="0.3">
      <c r="A810" s="22" t="s">
        <v>7779</v>
      </c>
      <c r="B810" s="22" t="s">
        <v>7780</v>
      </c>
      <c r="C810" s="22" t="s">
        <v>7712</v>
      </c>
      <c r="D810" s="22" t="s">
        <v>7710</v>
      </c>
      <c r="E810" s="22" t="s">
        <v>180</v>
      </c>
      <c r="F810" s="24" t="s">
        <v>181</v>
      </c>
      <c r="G810" s="23" t="s">
        <v>32</v>
      </c>
      <c r="H810" s="24" t="s">
        <v>175</v>
      </c>
      <c r="I810" s="22" t="s">
        <v>172</v>
      </c>
      <c r="J810" s="22" t="s">
        <v>85</v>
      </c>
      <c r="K810" s="24" t="s">
        <v>7946</v>
      </c>
      <c r="L810" s="24"/>
      <c r="M810" s="25" t="s">
        <v>182</v>
      </c>
      <c r="N810" s="22"/>
      <c r="O810" s="22" t="s">
        <v>183</v>
      </c>
      <c r="P810" s="22" t="str">
        <f>HYPERLINK("https://ceds.ed.gov/cedselementdetails.aspx?termid=21190")</f>
        <v>https://ceds.ed.gov/cedselementdetails.aspx?termid=21190</v>
      </c>
      <c r="Q810" s="22">
        <v>61731</v>
      </c>
    </row>
    <row r="811" spans="1:17" ht="158.4" x14ac:dyDescent="0.3">
      <c r="A811" s="22" t="s">
        <v>7779</v>
      </c>
      <c r="B811" s="22" t="s">
        <v>7780</v>
      </c>
      <c r="C811" s="22" t="s">
        <v>7712</v>
      </c>
      <c r="D811" s="22" t="s">
        <v>7710</v>
      </c>
      <c r="E811" s="22" t="s">
        <v>2536</v>
      </c>
      <c r="F811" s="24" t="s">
        <v>2537</v>
      </c>
      <c r="G811" s="23" t="s">
        <v>32</v>
      </c>
      <c r="H811" s="22"/>
      <c r="I811" s="22"/>
      <c r="J811" s="22" t="s">
        <v>2538</v>
      </c>
      <c r="K811" s="24"/>
      <c r="L811" s="24"/>
      <c r="M811" s="25" t="s">
        <v>2539</v>
      </c>
      <c r="N811" s="22"/>
      <c r="O811" s="22" t="s">
        <v>2540</v>
      </c>
      <c r="P811" s="22" t="str">
        <f>HYPERLINK("https://ceds.ed.gov/cedselementdetails.aspx?termid=22176")</f>
        <v>https://ceds.ed.gov/cedselementdetails.aspx?termid=22176</v>
      </c>
      <c r="Q811" s="22">
        <v>62390</v>
      </c>
    </row>
    <row r="812" spans="1:17" ht="43.2" x14ac:dyDescent="0.3">
      <c r="A812" s="22" t="s">
        <v>7779</v>
      </c>
      <c r="B812" s="22" t="s">
        <v>7780</v>
      </c>
      <c r="C812" s="22" t="s">
        <v>7712</v>
      </c>
      <c r="D812" s="22" t="s">
        <v>7710</v>
      </c>
      <c r="E812" s="22" t="s">
        <v>1798</v>
      </c>
      <c r="F812" s="24" t="s">
        <v>1799</v>
      </c>
      <c r="G812" s="23" t="s">
        <v>32</v>
      </c>
      <c r="H812" s="22"/>
      <c r="I812" s="22" t="s">
        <v>172</v>
      </c>
      <c r="J812" s="22" t="s">
        <v>157</v>
      </c>
      <c r="K812" s="24" t="s">
        <v>7946</v>
      </c>
      <c r="L812" s="24"/>
      <c r="M812" s="25" t="s">
        <v>1800</v>
      </c>
      <c r="N812" s="22"/>
      <c r="O812" s="22" t="s">
        <v>1801</v>
      </c>
      <c r="P812" s="22" t="str">
        <f>HYPERLINK("https://ceds.ed.gov/cedselementdetails.aspx?termid=21595")</f>
        <v>https://ceds.ed.gov/cedselementdetails.aspx?termid=21595</v>
      </c>
      <c r="Q812" s="22">
        <v>62123</v>
      </c>
    </row>
    <row r="813" spans="1:17" ht="57.6" x14ac:dyDescent="0.3">
      <c r="A813" s="22" t="s">
        <v>7779</v>
      </c>
      <c r="B813" s="22" t="s">
        <v>7780</v>
      </c>
      <c r="C813" s="22" t="s">
        <v>7712</v>
      </c>
      <c r="D813" s="22" t="s">
        <v>7710</v>
      </c>
      <c r="E813" s="22" t="s">
        <v>4982</v>
      </c>
      <c r="F813" s="24" t="s">
        <v>4983</v>
      </c>
      <c r="G813" s="23" t="s">
        <v>32</v>
      </c>
      <c r="H813" s="22"/>
      <c r="I813" s="22"/>
      <c r="J813" s="22" t="s">
        <v>1165</v>
      </c>
      <c r="K813" s="24"/>
      <c r="L813" s="24"/>
      <c r="M813" s="25" t="s">
        <v>4984</v>
      </c>
      <c r="N813" s="22"/>
      <c r="O813" s="22" t="s">
        <v>4982</v>
      </c>
      <c r="P813" s="22" t="str">
        <f>HYPERLINK("https://ceds.ed.gov/cedselementdetails.aspx?termid=21599")</f>
        <v>https://ceds.ed.gov/cedselementdetails.aspx?termid=21599</v>
      </c>
      <c r="Q813" s="22">
        <v>62271</v>
      </c>
    </row>
    <row r="814" spans="1:17" ht="57.6" x14ac:dyDescent="0.3">
      <c r="A814" s="22" t="s">
        <v>7779</v>
      </c>
      <c r="B814" s="22" t="s">
        <v>7780</v>
      </c>
      <c r="C814" s="22" t="s">
        <v>7712</v>
      </c>
      <c r="D814" s="22" t="s">
        <v>7710</v>
      </c>
      <c r="E814" s="22" t="s">
        <v>5372</v>
      </c>
      <c r="F814" s="24" t="s">
        <v>5373</v>
      </c>
      <c r="G814" s="23" t="s">
        <v>32</v>
      </c>
      <c r="H814" s="22"/>
      <c r="I814" s="22"/>
      <c r="J814" s="22" t="s">
        <v>1165</v>
      </c>
      <c r="K814" s="24"/>
      <c r="L814" s="24"/>
      <c r="M814" s="25" t="s">
        <v>5374</v>
      </c>
      <c r="N814" s="22"/>
      <c r="O814" s="22" t="s">
        <v>5372</v>
      </c>
      <c r="P814" s="22" t="str">
        <f>HYPERLINK("https://ceds.ed.gov/cedselementdetails.aspx?termid=21600")</f>
        <v>https://ceds.ed.gov/cedselementdetails.aspx?termid=21600</v>
      </c>
      <c r="Q814" s="22">
        <v>62294</v>
      </c>
    </row>
    <row r="815" spans="1:17" ht="57.6" x14ac:dyDescent="0.3">
      <c r="A815" s="22" t="s">
        <v>7779</v>
      </c>
      <c r="B815" s="22" t="s">
        <v>7780</v>
      </c>
      <c r="C815" s="22" t="s">
        <v>7712</v>
      </c>
      <c r="D815" s="22" t="s">
        <v>7710</v>
      </c>
      <c r="E815" s="22" t="s">
        <v>3228</v>
      </c>
      <c r="F815" s="24" t="s">
        <v>3229</v>
      </c>
      <c r="G815" s="26" t="s">
        <v>3039</v>
      </c>
      <c r="H815" s="22"/>
      <c r="I815" s="22" t="s">
        <v>172</v>
      </c>
      <c r="J815" s="22"/>
      <c r="K815" s="24" t="s">
        <v>7946</v>
      </c>
      <c r="L815" s="24"/>
      <c r="M815" s="25" t="s">
        <v>3230</v>
      </c>
      <c r="N815" s="22"/>
      <c r="O815" s="22" t="s">
        <v>3231</v>
      </c>
      <c r="P815" s="22" t="str">
        <f>HYPERLINK("https://ceds.ed.gov/cedselementdetails.aspx?termid=22905")</f>
        <v>https://ceds.ed.gov/cedselementdetails.aspx?termid=22905</v>
      </c>
      <c r="Q815" s="22">
        <v>63356</v>
      </c>
    </row>
    <row r="816" spans="1:17" ht="72" x14ac:dyDescent="0.3">
      <c r="A816" s="22" t="s">
        <v>7779</v>
      </c>
      <c r="B816" s="22" t="s">
        <v>7780</v>
      </c>
      <c r="C816" s="22" t="s">
        <v>7713</v>
      </c>
      <c r="D816" s="22" t="s">
        <v>7710</v>
      </c>
      <c r="E816" s="22" t="s">
        <v>7159</v>
      </c>
      <c r="F816" s="24" t="s">
        <v>7160</v>
      </c>
      <c r="G816" s="23" t="s">
        <v>32</v>
      </c>
      <c r="H816" s="24" t="s">
        <v>64</v>
      </c>
      <c r="I816" s="22"/>
      <c r="J816" s="22" t="s">
        <v>7161</v>
      </c>
      <c r="K816" s="24"/>
      <c r="L816" s="24"/>
      <c r="M816" s="25" t="s">
        <v>7162</v>
      </c>
      <c r="N816" s="22"/>
      <c r="O816" s="22" t="s">
        <v>7163</v>
      </c>
      <c r="P816" s="22" t="str">
        <f>HYPERLINK("https://ceds.ed.gov/cedselementdetails.aspx?termid=21279")</f>
        <v>https://ceds.ed.gov/cedselementdetails.aspx?termid=21279</v>
      </c>
      <c r="Q816" s="22">
        <v>62394</v>
      </c>
    </row>
    <row r="817" spans="1:17" ht="115.2" x14ac:dyDescent="0.3">
      <c r="A817" s="22" t="s">
        <v>7779</v>
      </c>
      <c r="B817" s="22" t="s">
        <v>7780</v>
      </c>
      <c r="C817" s="22" t="s">
        <v>7713</v>
      </c>
      <c r="D817" s="22" t="s">
        <v>7710</v>
      </c>
      <c r="E817" s="22" t="s">
        <v>4776</v>
      </c>
      <c r="F817" s="24" t="s">
        <v>4777</v>
      </c>
      <c r="G817" s="26" t="s">
        <v>8967</v>
      </c>
      <c r="H817" s="22"/>
      <c r="I817" s="22"/>
      <c r="J817" s="22"/>
      <c r="K817" s="24"/>
      <c r="L817" s="24"/>
      <c r="M817" s="25" t="s">
        <v>4778</v>
      </c>
      <c r="N817" s="22"/>
      <c r="O817" s="22" t="s">
        <v>4779</v>
      </c>
      <c r="P817" s="22" t="str">
        <f>HYPERLINK("https://ceds.ed.gov/cedselementdetails.aspx?termid=21167")</f>
        <v>https://ceds.ed.gov/cedselementdetails.aspx?termid=21167</v>
      </c>
      <c r="Q817" s="22">
        <v>62392</v>
      </c>
    </row>
    <row r="818" spans="1:17" ht="72" x14ac:dyDescent="0.3">
      <c r="A818" s="22" t="s">
        <v>7779</v>
      </c>
      <c r="B818" s="22" t="s">
        <v>7780</v>
      </c>
      <c r="C818" s="22" t="s">
        <v>7713</v>
      </c>
      <c r="D818" s="22" t="s">
        <v>7710</v>
      </c>
      <c r="E818" s="22" t="s">
        <v>5965</v>
      </c>
      <c r="F818" s="24" t="s">
        <v>5966</v>
      </c>
      <c r="G818" s="26" t="s">
        <v>22</v>
      </c>
      <c r="H818" s="24" t="s">
        <v>64</v>
      </c>
      <c r="I818" s="22"/>
      <c r="J818" s="22"/>
      <c r="K818" s="24"/>
      <c r="L818" s="24"/>
      <c r="M818" s="25" t="s">
        <v>5967</v>
      </c>
      <c r="N818" s="22"/>
      <c r="O818" s="22" t="s">
        <v>5968</v>
      </c>
      <c r="P818" s="22" t="str">
        <f>HYPERLINK("https://ceds.ed.gov/cedselementdetails.aspx?termid=21219")</f>
        <v>https://ceds.ed.gov/cedselementdetails.aspx?termid=21219</v>
      </c>
      <c r="Q818" s="22">
        <v>62393</v>
      </c>
    </row>
    <row r="819" spans="1:17" ht="57.6" x14ac:dyDescent="0.3">
      <c r="A819" s="22" t="s">
        <v>7779</v>
      </c>
      <c r="B819" s="22" t="s">
        <v>7780</v>
      </c>
      <c r="C819" s="22" t="s">
        <v>7713</v>
      </c>
      <c r="D819" s="22" t="s">
        <v>7710</v>
      </c>
      <c r="E819" s="22" t="s">
        <v>3228</v>
      </c>
      <c r="F819" s="24" t="s">
        <v>3229</v>
      </c>
      <c r="G819" s="26" t="s">
        <v>3039</v>
      </c>
      <c r="H819" s="22"/>
      <c r="I819" s="22" t="s">
        <v>172</v>
      </c>
      <c r="J819" s="22"/>
      <c r="K819" s="24" t="s">
        <v>7946</v>
      </c>
      <c r="L819" s="24"/>
      <c r="M819" s="25" t="s">
        <v>3230</v>
      </c>
      <c r="N819" s="22"/>
      <c r="O819" s="22" t="s">
        <v>3231</v>
      </c>
      <c r="P819" s="22" t="str">
        <f>HYPERLINK("https://ceds.ed.gov/cedselementdetails.aspx?termid=22905")</f>
        <v>https://ceds.ed.gov/cedselementdetails.aspx?termid=22905</v>
      </c>
      <c r="Q819" s="22">
        <v>63363</v>
      </c>
    </row>
    <row r="820" spans="1:17" ht="57.6" x14ac:dyDescent="0.3">
      <c r="A820" s="22" t="s">
        <v>7779</v>
      </c>
      <c r="B820" s="22" t="s">
        <v>7780</v>
      </c>
      <c r="C820" s="22" t="s">
        <v>7713</v>
      </c>
      <c r="D820" s="22" t="s">
        <v>7710</v>
      </c>
      <c r="E820" s="22" t="s">
        <v>7164</v>
      </c>
      <c r="F820" s="24" t="s">
        <v>7165</v>
      </c>
      <c r="G820" s="26" t="s">
        <v>9167</v>
      </c>
      <c r="H820" s="22"/>
      <c r="I820" s="22"/>
      <c r="J820" s="22"/>
      <c r="K820" s="24"/>
      <c r="L820" s="24"/>
      <c r="M820" s="25" t="s">
        <v>7166</v>
      </c>
      <c r="N820" s="22"/>
      <c r="O820" s="22" t="s">
        <v>7167</v>
      </c>
      <c r="P820" s="22" t="str">
        <f>HYPERLINK("https://ceds.ed.gov/cedselementdetails.aspx?termid=22911")</f>
        <v>https://ceds.ed.gov/cedselementdetails.aspx?termid=22911</v>
      </c>
      <c r="Q820" s="22">
        <v>63364</v>
      </c>
    </row>
    <row r="821" spans="1:17" ht="72" x14ac:dyDescent="0.3">
      <c r="A821" s="22" t="s">
        <v>7779</v>
      </c>
      <c r="B821" s="22" t="s">
        <v>7780</v>
      </c>
      <c r="C821" s="22" t="s">
        <v>7714</v>
      </c>
      <c r="D821" s="22" t="s">
        <v>7710</v>
      </c>
      <c r="E821" s="22" t="s">
        <v>5873</v>
      </c>
      <c r="F821" s="24" t="s">
        <v>5874</v>
      </c>
      <c r="G821" s="23" t="s">
        <v>32</v>
      </c>
      <c r="H821" s="24" t="s">
        <v>64</v>
      </c>
      <c r="I821" s="22" t="s">
        <v>172</v>
      </c>
      <c r="J821" s="22" t="s">
        <v>1339</v>
      </c>
      <c r="K821" s="24" t="s">
        <v>7946</v>
      </c>
      <c r="L821" s="24"/>
      <c r="M821" s="25" t="s">
        <v>5875</v>
      </c>
      <c r="N821" s="22"/>
      <c r="O821" s="22" t="s">
        <v>5876</v>
      </c>
      <c r="P821" s="22" t="str">
        <f>HYPERLINK("https://ceds.ed.gov/cedselementdetails.aspx?termid=21213")</f>
        <v>https://ceds.ed.gov/cedselementdetails.aspx?termid=21213</v>
      </c>
      <c r="Q821" s="22">
        <v>62180</v>
      </c>
    </row>
    <row r="822" spans="1:17" ht="86.4" x14ac:dyDescent="0.3">
      <c r="A822" s="22" t="s">
        <v>7779</v>
      </c>
      <c r="B822" s="22" t="s">
        <v>7780</v>
      </c>
      <c r="C822" s="22" t="s">
        <v>7714</v>
      </c>
      <c r="D822" s="22" t="s">
        <v>7710</v>
      </c>
      <c r="E822" s="22" t="s">
        <v>5955</v>
      </c>
      <c r="F822" s="24" t="s">
        <v>5956</v>
      </c>
      <c r="G822" s="26" t="s">
        <v>22</v>
      </c>
      <c r="H822" s="22"/>
      <c r="I822" s="22"/>
      <c r="J822" s="22"/>
      <c r="K822" s="24"/>
      <c r="L822" s="24"/>
      <c r="M822" s="25" t="s">
        <v>5957</v>
      </c>
      <c r="N822" s="22"/>
      <c r="O822" s="22" t="s">
        <v>5958</v>
      </c>
      <c r="P822" s="22" t="str">
        <f>HYPERLINK("https://ceds.ed.gov/cedselementdetails.aspx?termid=22397")</f>
        <v>https://ceds.ed.gov/cedselementdetails.aspx?termid=22397</v>
      </c>
      <c r="Q822" s="22">
        <v>62179</v>
      </c>
    </row>
    <row r="823" spans="1:17" ht="28.8" x14ac:dyDescent="0.3">
      <c r="A823" s="22" t="s">
        <v>7779</v>
      </c>
      <c r="B823" s="22" t="s">
        <v>7780</v>
      </c>
      <c r="C823" s="22" t="s">
        <v>7714</v>
      </c>
      <c r="D823" s="22" t="s">
        <v>7710</v>
      </c>
      <c r="E823" s="22" t="s">
        <v>7370</v>
      </c>
      <c r="F823" s="24" t="s">
        <v>7371</v>
      </c>
      <c r="G823" s="23" t="s">
        <v>32</v>
      </c>
      <c r="H823" s="22" t="s">
        <v>226</v>
      </c>
      <c r="I823" s="22" t="s">
        <v>172</v>
      </c>
      <c r="J823" s="22" t="s">
        <v>113</v>
      </c>
      <c r="K823" s="24" t="s">
        <v>7946</v>
      </c>
      <c r="L823" s="24"/>
      <c r="M823" s="25" t="s">
        <v>7372</v>
      </c>
      <c r="N823" s="22"/>
      <c r="O823" s="22" t="s">
        <v>7373</v>
      </c>
      <c r="P823" s="22" t="str">
        <f>HYPERLINK("https://ceds.ed.gov/cedselementdetails.aspx?termid=21300")</f>
        <v>https://ceds.ed.gov/cedselementdetails.aspx?termid=21300</v>
      </c>
      <c r="Q823" s="22">
        <v>62173</v>
      </c>
    </row>
    <row r="824" spans="1:17" ht="158.4" x14ac:dyDescent="0.3">
      <c r="A824" s="22" t="s">
        <v>7779</v>
      </c>
      <c r="B824" s="22" t="s">
        <v>7780</v>
      </c>
      <c r="C824" s="22" t="s">
        <v>7715</v>
      </c>
      <c r="D824" s="22" t="s">
        <v>7710</v>
      </c>
      <c r="E824" s="22" t="s">
        <v>4050</v>
      </c>
      <c r="F824" s="24" t="s">
        <v>4051</v>
      </c>
      <c r="G824" s="23" t="s">
        <v>32</v>
      </c>
      <c r="H824" s="24" t="s">
        <v>4054</v>
      </c>
      <c r="I824" s="22"/>
      <c r="J824" s="22" t="s">
        <v>7536</v>
      </c>
      <c r="K824" s="24"/>
      <c r="L824" s="24" t="s">
        <v>8200</v>
      </c>
      <c r="M824" s="25" t="s">
        <v>4052</v>
      </c>
      <c r="N824" s="22"/>
      <c r="O824" s="22" t="s">
        <v>4053</v>
      </c>
      <c r="P824" s="22" t="str">
        <f>HYPERLINK("https://ceds.ed.gov/cedselementdetails.aspx?termid=21115")</f>
        <v>https://ceds.ed.gov/cedselementdetails.aspx?termid=21115</v>
      </c>
      <c r="Q824" s="22">
        <v>62184</v>
      </c>
    </row>
    <row r="825" spans="1:17" ht="158.4" x14ac:dyDescent="0.3">
      <c r="A825" s="22" t="s">
        <v>7779</v>
      </c>
      <c r="B825" s="22" t="s">
        <v>7780</v>
      </c>
      <c r="C825" s="22" t="s">
        <v>7715</v>
      </c>
      <c r="D825" s="22" t="s">
        <v>7710</v>
      </c>
      <c r="E825" s="22" t="s">
        <v>5415</v>
      </c>
      <c r="F825" s="24" t="s">
        <v>5416</v>
      </c>
      <c r="G825" s="23" t="s">
        <v>32</v>
      </c>
      <c r="H825" s="24" t="s">
        <v>4054</v>
      </c>
      <c r="I825" s="22"/>
      <c r="J825" s="22" t="s">
        <v>7536</v>
      </c>
      <c r="K825" s="24"/>
      <c r="L825" s="24" t="s">
        <v>8207</v>
      </c>
      <c r="M825" s="25" t="s">
        <v>5417</v>
      </c>
      <c r="N825" s="22"/>
      <c r="O825" s="22" t="s">
        <v>5418</v>
      </c>
      <c r="P825" s="22" t="str">
        <f>HYPERLINK("https://ceds.ed.gov/cedselementdetails.aspx?termid=21184")</f>
        <v>https://ceds.ed.gov/cedselementdetails.aspx?termid=21184</v>
      </c>
      <c r="Q825" s="22">
        <v>62182</v>
      </c>
    </row>
    <row r="826" spans="1:17" ht="158.4" x14ac:dyDescent="0.3">
      <c r="A826" s="22" t="s">
        <v>7779</v>
      </c>
      <c r="B826" s="22" t="s">
        <v>7780</v>
      </c>
      <c r="C826" s="22" t="s">
        <v>7715</v>
      </c>
      <c r="D826" s="22" t="s">
        <v>7710</v>
      </c>
      <c r="E826" s="22" t="s">
        <v>4973</v>
      </c>
      <c r="F826" s="24" t="s">
        <v>4974</v>
      </c>
      <c r="G826" s="23" t="s">
        <v>32</v>
      </c>
      <c r="H826" s="24" t="s">
        <v>4054</v>
      </c>
      <c r="I826" s="22"/>
      <c r="J826" s="22" t="s">
        <v>7536</v>
      </c>
      <c r="K826" s="24"/>
      <c r="L826" s="24" t="s">
        <v>8207</v>
      </c>
      <c r="M826" s="25" t="s">
        <v>4975</v>
      </c>
      <c r="N826" s="22" t="s">
        <v>4976</v>
      </c>
      <c r="O826" s="22" t="s">
        <v>4977</v>
      </c>
      <c r="P826" s="22" t="str">
        <f>HYPERLINK("https://ceds.ed.gov/cedselementdetails.aspx?termid=21172")</f>
        <v>https://ceds.ed.gov/cedselementdetails.aspx?termid=21172</v>
      </c>
      <c r="Q826" s="22">
        <v>62181</v>
      </c>
    </row>
    <row r="827" spans="1:17" ht="129.6" x14ac:dyDescent="0.3">
      <c r="A827" s="22" t="s">
        <v>7779</v>
      </c>
      <c r="B827" s="22" t="s">
        <v>7780</v>
      </c>
      <c r="C827" s="22" t="s">
        <v>7715</v>
      </c>
      <c r="D827" s="22" t="s">
        <v>7710</v>
      </c>
      <c r="E827" s="22" t="s">
        <v>4114</v>
      </c>
      <c r="F827" s="24" t="s">
        <v>4115</v>
      </c>
      <c r="G827" s="23" t="s">
        <v>32</v>
      </c>
      <c r="H827" s="24" t="s">
        <v>4119</v>
      </c>
      <c r="I827" s="22"/>
      <c r="J827" s="22" t="s">
        <v>2743</v>
      </c>
      <c r="K827" s="24"/>
      <c r="L827" s="24" t="s">
        <v>8207</v>
      </c>
      <c r="M827" s="25" t="s">
        <v>4117</v>
      </c>
      <c r="N827" s="22"/>
      <c r="O827" s="22" t="s">
        <v>4118</v>
      </c>
      <c r="P827" s="22" t="str">
        <f>HYPERLINK("https://ceds.ed.gov/cedselementdetails.aspx?termid=21121")</f>
        <v>https://ceds.ed.gov/cedselementdetails.aspx?termid=21121</v>
      </c>
      <c r="Q827" s="22">
        <v>62185</v>
      </c>
    </row>
    <row r="828" spans="1:17" ht="86.4" x14ac:dyDescent="0.3">
      <c r="A828" s="22" t="s">
        <v>7779</v>
      </c>
      <c r="B828" s="22" t="s">
        <v>7780</v>
      </c>
      <c r="C828" s="22" t="s">
        <v>7715</v>
      </c>
      <c r="D828" s="22" t="s">
        <v>7710</v>
      </c>
      <c r="E828" s="22" t="s">
        <v>5860</v>
      </c>
      <c r="F828" s="24" t="s">
        <v>5861</v>
      </c>
      <c r="G828" s="23" t="s">
        <v>32</v>
      </c>
      <c r="H828" s="24" t="s">
        <v>5865</v>
      </c>
      <c r="I828" s="22"/>
      <c r="J828" s="22" t="s">
        <v>85</v>
      </c>
      <c r="K828" s="24"/>
      <c r="L828" s="24"/>
      <c r="M828" s="25" t="s">
        <v>5862</v>
      </c>
      <c r="N828" s="22" t="s">
        <v>5863</v>
      </c>
      <c r="O828" s="22" t="s">
        <v>5864</v>
      </c>
      <c r="P828" s="22" t="str">
        <f>HYPERLINK("https://ceds.ed.gov/cedselementdetails.aspx?termid=21212")</f>
        <v>https://ceds.ed.gov/cedselementdetails.aspx?termid=21212</v>
      </c>
      <c r="Q828" s="22">
        <v>62183</v>
      </c>
    </row>
    <row r="829" spans="1:17" ht="72" x14ac:dyDescent="0.3">
      <c r="A829" s="22" t="s">
        <v>7779</v>
      </c>
      <c r="B829" s="22" t="s">
        <v>7780</v>
      </c>
      <c r="C829" s="22" t="s">
        <v>7716</v>
      </c>
      <c r="D829" s="22" t="s">
        <v>7710</v>
      </c>
      <c r="E829" s="22" t="s">
        <v>199</v>
      </c>
      <c r="F829" s="24" t="s">
        <v>200</v>
      </c>
      <c r="G829" s="26" t="s">
        <v>8394</v>
      </c>
      <c r="H829" s="24" t="s">
        <v>64</v>
      </c>
      <c r="I829" s="22" t="s">
        <v>172</v>
      </c>
      <c r="J829" s="22" t="s">
        <v>85</v>
      </c>
      <c r="K829" s="24" t="s">
        <v>7946</v>
      </c>
      <c r="L829" s="24"/>
      <c r="M829" s="25" t="s">
        <v>201</v>
      </c>
      <c r="N829" s="22"/>
      <c r="O829" s="22" t="s">
        <v>202</v>
      </c>
      <c r="P829" s="22" t="str">
        <f>HYPERLINK("https://ceds.ed.gov/cedselementdetails.aspx?termid=21644")</f>
        <v>https://ceds.ed.gov/cedselementdetails.aspx?termid=21644</v>
      </c>
      <c r="Q829" s="22">
        <v>62189</v>
      </c>
    </row>
    <row r="830" spans="1:17" ht="187.2" x14ac:dyDescent="0.3">
      <c r="A830" s="22" t="s">
        <v>7779</v>
      </c>
      <c r="B830" s="22" t="s">
        <v>7780</v>
      </c>
      <c r="C830" s="22" t="s">
        <v>7716</v>
      </c>
      <c r="D830" s="22" t="s">
        <v>7710</v>
      </c>
      <c r="E830" s="22" t="s">
        <v>189</v>
      </c>
      <c r="F830" s="24" t="s">
        <v>190</v>
      </c>
      <c r="G830" s="23" t="s">
        <v>32</v>
      </c>
      <c r="H830" s="24" t="s">
        <v>175</v>
      </c>
      <c r="I830" s="22" t="s">
        <v>172</v>
      </c>
      <c r="J830" s="22" t="s">
        <v>191</v>
      </c>
      <c r="K830" s="24" t="s">
        <v>7946</v>
      </c>
      <c r="L830" s="24"/>
      <c r="M830" s="25" t="s">
        <v>192</v>
      </c>
      <c r="N830" s="22"/>
      <c r="O830" s="22" t="s">
        <v>193</v>
      </c>
      <c r="P830" s="22" t="str">
        <f>HYPERLINK("https://ceds.ed.gov/cedselementdetails.aspx?termid=21269")</f>
        <v>https://ceds.ed.gov/cedselementdetails.aspx?termid=21269</v>
      </c>
      <c r="Q830" s="22">
        <v>62188</v>
      </c>
    </row>
    <row r="831" spans="1:17" ht="187.2" x14ac:dyDescent="0.3">
      <c r="A831" s="22" t="s">
        <v>7779</v>
      </c>
      <c r="B831" s="22" t="s">
        <v>7780</v>
      </c>
      <c r="C831" s="22" t="s">
        <v>7716</v>
      </c>
      <c r="D831" s="22" t="s">
        <v>7710</v>
      </c>
      <c r="E831" s="22" t="s">
        <v>170</v>
      </c>
      <c r="F831" s="24" t="s">
        <v>171</v>
      </c>
      <c r="G831" s="23" t="s">
        <v>32</v>
      </c>
      <c r="H831" s="24" t="s">
        <v>175</v>
      </c>
      <c r="I831" s="22" t="s">
        <v>172</v>
      </c>
      <c r="J831" s="22" t="s">
        <v>157</v>
      </c>
      <c r="K831" s="24" t="s">
        <v>7946</v>
      </c>
      <c r="L831" s="24"/>
      <c r="M831" s="25" t="s">
        <v>173</v>
      </c>
      <c r="N831" s="22"/>
      <c r="O831" s="22" t="s">
        <v>174</v>
      </c>
      <c r="P831" s="22" t="str">
        <f>HYPERLINK("https://ceds.ed.gov/cedselementdetails.aspx?termid=21019")</f>
        <v>https://ceds.ed.gov/cedselementdetails.aspx?termid=21019</v>
      </c>
      <c r="Q831" s="22">
        <v>62190</v>
      </c>
    </row>
    <row r="832" spans="1:17" ht="187.2" x14ac:dyDescent="0.3">
      <c r="A832" s="22" t="s">
        <v>7779</v>
      </c>
      <c r="B832" s="22" t="s">
        <v>7780</v>
      </c>
      <c r="C832" s="22" t="s">
        <v>7716</v>
      </c>
      <c r="D832" s="22" t="s">
        <v>7710</v>
      </c>
      <c r="E832" s="22" t="s">
        <v>176</v>
      </c>
      <c r="F832" s="24" t="s">
        <v>177</v>
      </c>
      <c r="G832" s="23" t="s">
        <v>32</v>
      </c>
      <c r="H832" s="24" t="s">
        <v>175</v>
      </c>
      <c r="I832" s="22" t="s">
        <v>172</v>
      </c>
      <c r="J832" s="22" t="s">
        <v>85</v>
      </c>
      <c r="K832" s="24" t="s">
        <v>7946</v>
      </c>
      <c r="L832" s="24"/>
      <c r="M832" s="25" t="s">
        <v>178</v>
      </c>
      <c r="N832" s="22"/>
      <c r="O832" s="22" t="s">
        <v>179</v>
      </c>
      <c r="P832" s="22" t="str">
        <f>HYPERLINK("https://ceds.ed.gov/cedselementdetails.aspx?termid=21040")</f>
        <v>https://ceds.ed.gov/cedselementdetails.aspx?termid=21040</v>
      </c>
      <c r="Q832" s="22">
        <v>62191</v>
      </c>
    </row>
    <row r="833" spans="1:17" ht="409.6" x14ac:dyDescent="0.3">
      <c r="A833" s="22" t="s">
        <v>7779</v>
      </c>
      <c r="B833" s="22" t="s">
        <v>7780</v>
      </c>
      <c r="C833" s="22" t="s">
        <v>7716</v>
      </c>
      <c r="D833" s="22" t="s">
        <v>7710</v>
      </c>
      <c r="E833" s="22" t="s">
        <v>6941</v>
      </c>
      <c r="F833" s="24" t="s">
        <v>6942</v>
      </c>
      <c r="G833" s="26" t="s">
        <v>8533</v>
      </c>
      <c r="H833" s="24" t="s">
        <v>6945</v>
      </c>
      <c r="I833" s="22" t="s">
        <v>172</v>
      </c>
      <c r="J833" s="22"/>
      <c r="K833" s="24" t="s">
        <v>8327</v>
      </c>
      <c r="L833" s="24"/>
      <c r="M833" s="25" t="s">
        <v>6943</v>
      </c>
      <c r="N833" s="22"/>
      <c r="O833" s="22" t="s">
        <v>6944</v>
      </c>
      <c r="P833" s="22" t="str">
        <f>HYPERLINK("https://ceds.ed.gov/cedselementdetails.aspx?termid=21267")</f>
        <v>https://ceds.ed.gov/cedselementdetails.aspx?termid=21267</v>
      </c>
      <c r="Q833" s="22">
        <v>62187</v>
      </c>
    </row>
    <row r="834" spans="1:17" ht="187.2" x14ac:dyDescent="0.3">
      <c r="A834" s="22" t="s">
        <v>7779</v>
      </c>
      <c r="B834" s="22" t="s">
        <v>7780</v>
      </c>
      <c r="C834" s="22" t="s">
        <v>7716</v>
      </c>
      <c r="D834" s="22" t="s">
        <v>7710</v>
      </c>
      <c r="E834" s="22" t="s">
        <v>184</v>
      </c>
      <c r="F834" s="24" t="s">
        <v>185</v>
      </c>
      <c r="G834" s="23" t="s">
        <v>32</v>
      </c>
      <c r="H834" s="24" t="s">
        <v>175</v>
      </c>
      <c r="I834" s="22" t="s">
        <v>172</v>
      </c>
      <c r="J834" s="22" t="s">
        <v>186</v>
      </c>
      <c r="K834" s="24" t="s">
        <v>7946</v>
      </c>
      <c r="L834" s="24"/>
      <c r="M834" s="25" t="s">
        <v>187</v>
      </c>
      <c r="N834" s="22"/>
      <c r="O834" s="22" t="s">
        <v>188</v>
      </c>
      <c r="P834" s="22" t="str">
        <f>HYPERLINK("https://ceds.ed.gov/cedselementdetails.aspx?termid=21214")</f>
        <v>https://ceds.ed.gov/cedselementdetails.aspx?termid=21214</v>
      </c>
      <c r="Q834" s="22">
        <v>62193</v>
      </c>
    </row>
    <row r="835" spans="1:17" ht="187.2" x14ac:dyDescent="0.3">
      <c r="A835" s="22" t="s">
        <v>7779</v>
      </c>
      <c r="B835" s="22" t="s">
        <v>7780</v>
      </c>
      <c r="C835" s="22" t="s">
        <v>7716</v>
      </c>
      <c r="D835" s="22" t="s">
        <v>7710</v>
      </c>
      <c r="E835" s="22" t="s">
        <v>180</v>
      </c>
      <c r="F835" s="24" t="s">
        <v>181</v>
      </c>
      <c r="G835" s="23" t="s">
        <v>32</v>
      </c>
      <c r="H835" s="24" t="s">
        <v>175</v>
      </c>
      <c r="I835" s="22" t="s">
        <v>172</v>
      </c>
      <c r="J835" s="22" t="s">
        <v>85</v>
      </c>
      <c r="K835" s="24" t="s">
        <v>7946</v>
      </c>
      <c r="L835" s="24"/>
      <c r="M835" s="25" t="s">
        <v>182</v>
      </c>
      <c r="N835" s="22"/>
      <c r="O835" s="22" t="s">
        <v>183</v>
      </c>
      <c r="P835" s="22" t="str">
        <f>HYPERLINK("https://ceds.ed.gov/cedselementdetails.aspx?termid=21190")</f>
        <v>https://ceds.ed.gov/cedselementdetails.aspx?termid=21190</v>
      </c>
      <c r="Q835" s="22">
        <v>62186</v>
      </c>
    </row>
    <row r="836" spans="1:17" ht="409.6" x14ac:dyDescent="0.3">
      <c r="A836" s="22" t="s">
        <v>7779</v>
      </c>
      <c r="B836" s="22" t="s">
        <v>7780</v>
      </c>
      <c r="C836" s="22" t="s">
        <v>7716</v>
      </c>
      <c r="D836" s="22" t="s">
        <v>7710</v>
      </c>
      <c r="E836" s="22" t="s">
        <v>2526</v>
      </c>
      <c r="F836" s="24" t="s">
        <v>2527</v>
      </c>
      <c r="G836" s="26" t="s">
        <v>8743</v>
      </c>
      <c r="H836" s="24" t="s">
        <v>2530</v>
      </c>
      <c r="I836" s="22"/>
      <c r="J836" s="22"/>
      <c r="K836" s="24"/>
      <c r="L836" s="24" t="s">
        <v>8055</v>
      </c>
      <c r="M836" s="25" t="s">
        <v>2528</v>
      </c>
      <c r="N836" s="22"/>
      <c r="O836" s="22" t="s">
        <v>2529</v>
      </c>
      <c r="P836" s="22" t="str">
        <f>HYPERLINK("https://ceds.ed.gov/cedselementdetails.aspx?termid=21050")</f>
        <v>https://ceds.ed.gov/cedselementdetails.aspx?termid=21050</v>
      </c>
      <c r="Q836" s="22">
        <v>62192</v>
      </c>
    </row>
    <row r="837" spans="1:17" ht="158.4" x14ac:dyDescent="0.3">
      <c r="A837" s="22" t="s">
        <v>7779</v>
      </c>
      <c r="B837" s="22" t="s">
        <v>7780</v>
      </c>
      <c r="C837" s="22" t="s">
        <v>7716</v>
      </c>
      <c r="D837" s="22" t="s">
        <v>7710</v>
      </c>
      <c r="E837" s="22" t="s">
        <v>2536</v>
      </c>
      <c r="F837" s="24" t="s">
        <v>2537</v>
      </c>
      <c r="G837" s="23" t="s">
        <v>32</v>
      </c>
      <c r="H837" s="22"/>
      <c r="I837" s="22"/>
      <c r="J837" s="22" t="s">
        <v>2538</v>
      </c>
      <c r="K837" s="24"/>
      <c r="L837" s="24"/>
      <c r="M837" s="25" t="s">
        <v>2539</v>
      </c>
      <c r="N837" s="22"/>
      <c r="O837" s="22" t="s">
        <v>2540</v>
      </c>
      <c r="P837" s="22" t="str">
        <f>HYPERLINK("https://ceds.ed.gov/cedselementdetails.aspx?termid=22176")</f>
        <v>https://ceds.ed.gov/cedselementdetails.aspx?termid=22176</v>
      </c>
      <c r="Q837" s="22">
        <v>62391</v>
      </c>
    </row>
    <row r="838" spans="1:17" ht="57.6" x14ac:dyDescent="0.3">
      <c r="A838" s="22" t="s">
        <v>7779</v>
      </c>
      <c r="B838" s="22" t="s">
        <v>7780</v>
      </c>
      <c r="C838" s="22" t="s">
        <v>7716</v>
      </c>
      <c r="D838" s="22" t="s">
        <v>7710</v>
      </c>
      <c r="E838" s="22" t="s">
        <v>4982</v>
      </c>
      <c r="F838" s="24" t="s">
        <v>4983</v>
      </c>
      <c r="G838" s="23" t="s">
        <v>32</v>
      </c>
      <c r="H838" s="22"/>
      <c r="I838" s="22"/>
      <c r="J838" s="22" t="s">
        <v>1165</v>
      </c>
      <c r="K838" s="24"/>
      <c r="L838" s="24"/>
      <c r="M838" s="25" t="s">
        <v>4984</v>
      </c>
      <c r="N838" s="22"/>
      <c r="O838" s="22" t="s">
        <v>4982</v>
      </c>
      <c r="P838" s="22" t="str">
        <f>HYPERLINK("https://ceds.ed.gov/cedselementdetails.aspx?termid=21599")</f>
        <v>https://ceds.ed.gov/cedselementdetails.aspx?termid=21599</v>
      </c>
      <c r="Q838" s="22">
        <v>62274</v>
      </c>
    </row>
    <row r="839" spans="1:17" ht="57.6" x14ac:dyDescent="0.3">
      <c r="A839" s="22" t="s">
        <v>7779</v>
      </c>
      <c r="B839" s="22" t="s">
        <v>7780</v>
      </c>
      <c r="C839" s="22" t="s">
        <v>7716</v>
      </c>
      <c r="D839" s="22" t="s">
        <v>7710</v>
      </c>
      <c r="E839" s="22" t="s">
        <v>5372</v>
      </c>
      <c r="F839" s="24" t="s">
        <v>5373</v>
      </c>
      <c r="G839" s="23" t="s">
        <v>32</v>
      </c>
      <c r="H839" s="22"/>
      <c r="I839" s="22"/>
      <c r="J839" s="22" t="s">
        <v>1165</v>
      </c>
      <c r="K839" s="24"/>
      <c r="L839" s="24"/>
      <c r="M839" s="25" t="s">
        <v>5374</v>
      </c>
      <c r="N839" s="22"/>
      <c r="O839" s="22" t="s">
        <v>5372</v>
      </c>
      <c r="P839" s="22" t="str">
        <f>HYPERLINK("https://ceds.ed.gov/cedselementdetails.aspx?termid=21600")</f>
        <v>https://ceds.ed.gov/cedselementdetails.aspx?termid=21600</v>
      </c>
      <c r="Q839" s="22">
        <v>62297</v>
      </c>
    </row>
    <row r="840" spans="1:17" ht="57.6" x14ac:dyDescent="0.3">
      <c r="A840" s="22" t="s">
        <v>7779</v>
      </c>
      <c r="B840" s="22" t="s">
        <v>7780</v>
      </c>
      <c r="C840" s="22" t="s">
        <v>7716</v>
      </c>
      <c r="D840" s="22" t="s">
        <v>7710</v>
      </c>
      <c r="E840" s="22" t="s">
        <v>3228</v>
      </c>
      <c r="F840" s="24" t="s">
        <v>3229</v>
      </c>
      <c r="G840" s="26" t="s">
        <v>3039</v>
      </c>
      <c r="H840" s="22"/>
      <c r="I840" s="22" t="s">
        <v>172</v>
      </c>
      <c r="J840" s="22"/>
      <c r="K840" s="24" t="s">
        <v>7946</v>
      </c>
      <c r="L840" s="24"/>
      <c r="M840" s="25" t="s">
        <v>3230</v>
      </c>
      <c r="N840" s="22"/>
      <c r="O840" s="22" t="s">
        <v>3231</v>
      </c>
      <c r="P840" s="22" t="str">
        <f>HYPERLINK("https://ceds.ed.gov/cedselementdetails.aspx?termid=22905")</f>
        <v>https://ceds.ed.gov/cedselementdetails.aspx?termid=22905</v>
      </c>
      <c r="Q840" s="22">
        <v>63357</v>
      </c>
    </row>
    <row r="841" spans="1:17" ht="72" x14ac:dyDescent="0.3">
      <c r="A841" s="22" t="s">
        <v>7779</v>
      </c>
      <c r="B841" s="22" t="s">
        <v>7780</v>
      </c>
      <c r="C841" s="22" t="s">
        <v>7718</v>
      </c>
      <c r="D841" s="22" t="s">
        <v>7710</v>
      </c>
      <c r="E841" s="22" t="s">
        <v>3461</v>
      </c>
      <c r="F841" s="24" t="s">
        <v>3462</v>
      </c>
      <c r="G841" s="23" t="s">
        <v>32</v>
      </c>
      <c r="H841" s="24" t="s">
        <v>64</v>
      </c>
      <c r="I841" s="22" t="s">
        <v>172</v>
      </c>
      <c r="J841" s="22" t="s">
        <v>3463</v>
      </c>
      <c r="K841" s="24" t="s">
        <v>7946</v>
      </c>
      <c r="L841" s="24"/>
      <c r="M841" s="25" t="s">
        <v>3464</v>
      </c>
      <c r="N841" s="22" t="s">
        <v>3465</v>
      </c>
      <c r="O841" s="22" t="s">
        <v>3466</v>
      </c>
      <c r="P841" s="22" t="str">
        <f>HYPERLINK("https://ceds.ed.gov/cedselementdetails.aspx?termid=21088")</f>
        <v>https://ceds.ed.gov/cedselementdetails.aspx?termid=21088</v>
      </c>
      <c r="Q841" s="22">
        <v>62194</v>
      </c>
    </row>
    <row r="842" spans="1:17" ht="72" x14ac:dyDescent="0.3">
      <c r="A842" s="22" t="s">
        <v>7779</v>
      </c>
      <c r="B842" s="22" t="s">
        <v>7780</v>
      </c>
      <c r="C842" s="22" t="s">
        <v>7718</v>
      </c>
      <c r="D842" s="22" t="s">
        <v>7710</v>
      </c>
      <c r="E842" s="22" t="s">
        <v>3467</v>
      </c>
      <c r="F842" s="24" t="s">
        <v>3468</v>
      </c>
      <c r="G842" s="26" t="s">
        <v>8430</v>
      </c>
      <c r="H842" s="24" t="s">
        <v>64</v>
      </c>
      <c r="I842" s="22" t="s">
        <v>172</v>
      </c>
      <c r="J842" s="22"/>
      <c r="K842" s="24" t="s">
        <v>7946</v>
      </c>
      <c r="L842" s="24"/>
      <c r="M842" s="25" t="s">
        <v>3469</v>
      </c>
      <c r="N842" s="22" t="s">
        <v>3470</v>
      </c>
      <c r="O842" s="22" t="s">
        <v>3471</v>
      </c>
      <c r="P842" s="22" t="str">
        <f>HYPERLINK("https://ceds.ed.gov/cedselementdetails.aspx?termid=21089")</f>
        <v>https://ceds.ed.gov/cedselementdetails.aspx?termid=21089</v>
      </c>
      <c r="Q842" s="22">
        <v>62195</v>
      </c>
    </row>
    <row r="843" spans="1:17" ht="57.6" x14ac:dyDescent="0.3">
      <c r="A843" s="22" t="s">
        <v>7779</v>
      </c>
      <c r="B843" s="22" t="s">
        <v>7780</v>
      </c>
      <c r="C843" s="22" t="s">
        <v>7718</v>
      </c>
      <c r="D843" s="22" t="s">
        <v>7710</v>
      </c>
      <c r="E843" s="22" t="s">
        <v>3228</v>
      </c>
      <c r="F843" s="24" t="s">
        <v>3229</v>
      </c>
      <c r="G843" s="26" t="s">
        <v>3039</v>
      </c>
      <c r="H843" s="22"/>
      <c r="I843" s="22" t="s">
        <v>172</v>
      </c>
      <c r="J843" s="22"/>
      <c r="K843" s="24" t="s">
        <v>7946</v>
      </c>
      <c r="L843" s="24"/>
      <c r="M843" s="25" t="s">
        <v>3230</v>
      </c>
      <c r="N843" s="22"/>
      <c r="O843" s="22" t="s">
        <v>3231</v>
      </c>
      <c r="P843" s="22" t="str">
        <f>HYPERLINK("https://ceds.ed.gov/cedselementdetails.aspx?termid=22905")</f>
        <v>https://ceds.ed.gov/cedselementdetails.aspx?termid=22905</v>
      </c>
      <c r="Q843" s="22">
        <v>63358</v>
      </c>
    </row>
    <row r="844" spans="1:17" ht="72" x14ac:dyDescent="0.3">
      <c r="A844" s="22" t="s">
        <v>7779</v>
      </c>
      <c r="B844" s="22" t="s">
        <v>7780</v>
      </c>
      <c r="C844" s="22" t="s">
        <v>7717</v>
      </c>
      <c r="D844" s="22" t="s">
        <v>7710</v>
      </c>
      <c r="E844" s="22" t="s">
        <v>7159</v>
      </c>
      <c r="F844" s="24" t="s">
        <v>7160</v>
      </c>
      <c r="G844" s="23" t="s">
        <v>32</v>
      </c>
      <c r="H844" s="24" t="s">
        <v>64</v>
      </c>
      <c r="I844" s="22"/>
      <c r="J844" s="22" t="s">
        <v>7161</v>
      </c>
      <c r="K844" s="24"/>
      <c r="L844" s="24"/>
      <c r="M844" s="25" t="s">
        <v>7162</v>
      </c>
      <c r="N844" s="22"/>
      <c r="O844" s="22" t="s">
        <v>7163</v>
      </c>
      <c r="P844" s="22" t="str">
        <f>HYPERLINK("https://ceds.ed.gov/cedselementdetails.aspx?termid=21279")</f>
        <v>https://ceds.ed.gov/cedselementdetails.aspx?termid=21279</v>
      </c>
      <c r="Q844" s="22">
        <v>62196</v>
      </c>
    </row>
    <row r="845" spans="1:17" ht="86.4" x14ac:dyDescent="0.3">
      <c r="A845" s="22" t="s">
        <v>7779</v>
      </c>
      <c r="B845" s="22" t="s">
        <v>7780</v>
      </c>
      <c r="C845" s="22" t="s">
        <v>7717</v>
      </c>
      <c r="D845" s="22" t="s">
        <v>7710</v>
      </c>
      <c r="E845" s="22" t="s">
        <v>7168</v>
      </c>
      <c r="F845" s="24" t="s">
        <v>7169</v>
      </c>
      <c r="G845" s="26" t="s">
        <v>9168</v>
      </c>
      <c r="H845" s="24" t="s">
        <v>64</v>
      </c>
      <c r="I845" s="22"/>
      <c r="J845" s="22" t="s">
        <v>2543</v>
      </c>
      <c r="K845" s="24"/>
      <c r="L845" s="24"/>
      <c r="M845" s="25" t="s">
        <v>7170</v>
      </c>
      <c r="N845" s="22"/>
      <c r="O845" s="22" t="s">
        <v>7171</v>
      </c>
      <c r="P845" s="22" t="str">
        <f>HYPERLINK("https://ceds.ed.gov/cedselementdetails.aspx?termid=21280")</f>
        <v>https://ceds.ed.gov/cedselementdetails.aspx?termid=21280</v>
      </c>
      <c r="Q845" s="22">
        <v>62197</v>
      </c>
    </row>
    <row r="846" spans="1:17" ht="72" x14ac:dyDescent="0.3">
      <c r="A846" s="22" t="s">
        <v>7779</v>
      </c>
      <c r="B846" s="22" t="s">
        <v>7780</v>
      </c>
      <c r="C846" s="22" t="s">
        <v>7717</v>
      </c>
      <c r="D846" s="22" t="s">
        <v>7710</v>
      </c>
      <c r="E846" s="22" t="s">
        <v>5965</v>
      </c>
      <c r="F846" s="24" t="s">
        <v>5966</v>
      </c>
      <c r="G846" s="26" t="s">
        <v>22</v>
      </c>
      <c r="H846" s="24" t="s">
        <v>64</v>
      </c>
      <c r="I846" s="22"/>
      <c r="J846" s="22"/>
      <c r="K846" s="24"/>
      <c r="L846" s="24"/>
      <c r="M846" s="25" t="s">
        <v>5967</v>
      </c>
      <c r="N846" s="22"/>
      <c r="O846" s="22" t="s">
        <v>5968</v>
      </c>
      <c r="P846" s="22" t="str">
        <f>HYPERLINK("https://ceds.ed.gov/cedselementdetails.aspx?termid=21219")</f>
        <v>https://ceds.ed.gov/cedselementdetails.aspx?termid=21219</v>
      </c>
      <c r="Q846" s="22">
        <v>62198</v>
      </c>
    </row>
    <row r="847" spans="1:17" ht="57.6" x14ac:dyDescent="0.3">
      <c r="A847" s="22" t="s">
        <v>7779</v>
      </c>
      <c r="B847" s="22" t="s">
        <v>7780</v>
      </c>
      <c r="C847" s="22" t="s">
        <v>7717</v>
      </c>
      <c r="D847" s="22" t="s">
        <v>7710</v>
      </c>
      <c r="E847" s="22" t="s">
        <v>3228</v>
      </c>
      <c r="F847" s="24" t="s">
        <v>3229</v>
      </c>
      <c r="G847" s="26" t="s">
        <v>3039</v>
      </c>
      <c r="H847" s="22"/>
      <c r="I847" s="22" t="s">
        <v>172</v>
      </c>
      <c r="J847" s="22"/>
      <c r="K847" s="24" t="s">
        <v>7946</v>
      </c>
      <c r="L847" s="24"/>
      <c r="M847" s="25" t="s">
        <v>3230</v>
      </c>
      <c r="N847" s="22"/>
      <c r="O847" s="22" t="s">
        <v>3231</v>
      </c>
      <c r="P847" s="22" t="str">
        <f>HYPERLINK("https://ceds.ed.gov/cedselementdetails.aspx?termid=22905")</f>
        <v>https://ceds.ed.gov/cedselementdetails.aspx?termid=22905</v>
      </c>
      <c r="Q847" s="22">
        <v>63359</v>
      </c>
    </row>
    <row r="848" spans="1:17" ht="57.6" x14ac:dyDescent="0.3">
      <c r="A848" s="22" t="s">
        <v>7779</v>
      </c>
      <c r="B848" s="22" t="s">
        <v>7780</v>
      </c>
      <c r="C848" s="22" t="s">
        <v>7717</v>
      </c>
      <c r="D848" s="22" t="s">
        <v>7710</v>
      </c>
      <c r="E848" s="22" t="s">
        <v>7164</v>
      </c>
      <c r="F848" s="24" t="s">
        <v>7165</v>
      </c>
      <c r="G848" s="26" t="s">
        <v>9167</v>
      </c>
      <c r="H848" s="22"/>
      <c r="I848" s="22"/>
      <c r="J848" s="22"/>
      <c r="K848" s="24"/>
      <c r="L848" s="24"/>
      <c r="M848" s="25" t="s">
        <v>7166</v>
      </c>
      <c r="N848" s="22"/>
      <c r="O848" s="22" t="s">
        <v>7167</v>
      </c>
      <c r="P848" s="22" t="str">
        <f>HYPERLINK("https://ceds.ed.gov/cedselementdetails.aspx?termid=22911")</f>
        <v>https://ceds.ed.gov/cedselementdetails.aspx?termid=22911</v>
      </c>
      <c r="Q848" s="22">
        <v>63360</v>
      </c>
    </row>
    <row r="849" spans="1:17" ht="28.8" x14ac:dyDescent="0.3">
      <c r="A849" s="22" t="s">
        <v>7779</v>
      </c>
      <c r="B849" s="22" t="s">
        <v>7780</v>
      </c>
      <c r="C849" s="22" t="s">
        <v>7719</v>
      </c>
      <c r="D849" s="22" t="s">
        <v>7710</v>
      </c>
      <c r="E849" s="22" t="s">
        <v>5728</v>
      </c>
      <c r="F849" s="24" t="s">
        <v>5729</v>
      </c>
      <c r="G849" s="23" t="s">
        <v>32</v>
      </c>
      <c r="H849" s="22"/>
      <c r="I849" s="22"/>
      <c r="J849" s="22" t="s">
        <v>1301</v>
      </c>
      <c r="K849" s="24"/>
      <c r="L849" s="24" t="s">
        <v>5730</v>
      </c>
      <c r="M849" s="25" t="s">
        <v>5731</v>
      </c>
      <c r="N849" s="22"/>
      <c r="O849" s="22" t="s">
        <v>5732</v>
      </c>
      <c r="P849" s="22" t="str">
        <f>HYPERLINK("https://ceds.ed.gov/cedselementdetails.aspx?termid=22486")</f>
        <v>https://ceds.ed.gov/cedselementdetails.aspx?termid=22486</v>
      </c>
      <c r="Q849" s="22">
        <v>62200</v>
      </c>
    </row>
    <row r="850" spans="1:17" ht="28.8" x14ac:dyDescent="0.3">
      <c r="A850" s="22" t="s">
        <v>7779</v>
      </c>
      <c r="B850" s="22" t="s">
        <v>7780</v>
      </c>
      <c r="C850" s="22" t="s">
        <v>7719</v>
      </c>
      <c r="D850" s="22" t="s">
        <v>7710</v>
      </c>
      <c r="E850" s="22" t="s">
        <v>5738</v>
      </c>
      <c r="F850" s="24" t="s">
        <v>5739</v>
      </c>
      <c r="G850" s="23" t="s">
        <v>32</v>
      </c>
      <c r="H850" s="22"/>
      <c r="I850" s="22"/>
      <c r="J850" s="22" t="s">
        <v>1301</v>
      </c>
      <c r="K850" s="24"/>
      <c r="L850" s="24" t="s">
        <v>5740</v>
      </c>
      <c r="M850" s="25" t="s">
        <v>5741</v>
      </c>
      <c r="N850" s="22"/>
      <c r="O850" s="22" t="s">
        <v>5742</v>
      </c>
      <c r="P850" s="22" t="str">
        <f>HYPERLINK("https://ceds.ed.gov/cedselementdetails.aspx?termid=22487")</f>
        <v>https://ceds.ed.gov/cedselementdetails.aspx?termid=22487</v>
      </c>
      <c r="Q850" s="22">
        <v>62201</v>
      </c>
    </row>
    <row r="851" spans="1:17" ht="28.8" x14ac:dyDescent="0.3">
      <c r="A851" s="22" t="s">
        <v>7779</v>
      </c>
      <c r="B851" s="22" t="s">
        <v>7780</v>
      </c>
      <c r="C851" s="22" t="s">
        <v>7719</v>
      </c>
      <c r="D851" s="22" t="s">
        <v>7710</v>
      </c>
      <c r="E851" s="22" t="s">
        <v>5733</v>
      </c>
      <c r="F851" s="24" t="s">
        <v>5734</v>
      </c>
      <c r="G851" s="23" t="s">
        <v>32</v>
      </c>
      <c r="H851" s="22"/>
      <c r="I851" s="22"/>
      <c r="J851" s="22" t="s">
        <v>1301</v>
      </c>
      <c r="K851" s="24"/>
      <c r="L851" s="24" t="s">
        <v>5735</v>
      </c>
      <c r="M851" s="25" t="s">
        <v>5736</v>
      </c>
      <c r="N851" s="22"/>
      <c r="O851" s="22" t="s">
        <v>5737</v>
      </c>
      <c r="P851" s="22" t="str">
        <f>HYPERLINK("https://ceds.ed.gov/cedselementdetails.aspx?termid=22485")</f>
        <v>https://ceds.ed.gov/cedselementdetails.aspx?termid=22485</v>
      </c>
      <c r="Q851" s="22">
        <v>62199</v>
      </c>
    </row>
    <row r="852" spans="1:17" ht="129.6" x14ac:dyDescent="0.3">
      <c r="A852" s="22" t="s">
        <v>7779</v>
      </c>
      <c r="B852" s="22" t="s">
        <v>7780</v>
      </c>
      <c r="C852" s="22" t="s">
        <v>7719</v>
      </c>
      <c r="D852" s="22" t="s">
        <v>7710</v>
      </c>
      <c r="E852" s="22" t="s">
        <v>5743</v>
      </c>
      <c r="F852" s="24" t="s">
        <v>5744</v>
      </c>
      <c r="G852" s="23" t="s">
        <v>32</v>
      </c>
      <c r="H852" s="24" t="s">
        <v>4119</v>
      </c>
      <c r="I852" s="22"/>
      <c r="J852" s="22" t="s">
        <v>132</v>
      </c>
      <c r="K852" s="24"/>
      <c r="L852" s="24"/>
      <c r="M852" s="25" t="s">
        <v>5745</v>
      </c>
      <c r="N852" s="22"/>
      <c r="O852" s="22" t="s">
        <v>5746</v>
      </c>
      <c r="P852" s="22" t="str">
        <f>HYPERLINK("https://ceds.ed.gov/cedselementdetails.aspx?termid=21206")</f>
        <v>https://ceds.ed.gov/cedselementdetails.aspx?termid=21206</v>
      </c>
      <c r="Q852" s="22">
        <v>62203</v>
      </c>
    </row>
    <row r="853" spans="1:17" ht="115.2" x14ac:dyDescent="0.3">
      <c r="A853" s="22" t="s">
        <v>7779</v>
      </c>
      <c r="B853" s="22" t="s">
        <v>7780</v>
      </c>
      <c r="C853" s="22" t="s">
        <v>7719</v>
      </c>
      <c r="D853" s="22" t="s">
        <v>7710</v>
      </c>
      <c r="E853" s="22" t="s">
        <v>5747</v>
      </c>
      <c r="F853" s="24" t="s">
        <v>5748</v>
      </c>
      <c r="G853" s="26" t="s">
        <v>9055</v>
      </c>
      <c r="H853" s="24" t="s">
        <v>5751</v>
      </c>
      <c r="I853" s="22"/>
      <c r="J853" s="22" t="s">
        <v>85</v>
      </c>
      <c r="K853" s="24"/>
      <c r="L853" s="24"/>
      <c r="M853" s="25" t="s">
        <v>5749</v>
      </c>
      <c r="N853" s="22"/>
      <c r="O853" s="22" t="s">
        <v>5750</v>
      </c>
      <c r="P853" s="22" t="str">
        <f>HYPERLINK("https://ceds.ed.gov/cedselementdetails.aspx?termid=21627")</f>
        <v>https://ceds.ed.gov/cedselementdetails.aspx?termid=21627</v>
      </c>
      <c r="Q853" s="22">
        <v>62202</v>
      </c>
    </row>
    <row r="854" spans="1:17" ht="409.6" x14ac:dyDescent="0.3">
      <c r="A854" s="22" t="s">
        <v>7779</v>
      </c>
      <c r="B854" s="22" t="s">
        <v>7780</v>
      </c>
      <c r="C854" s="22" t="s">
        <v>7720</v>
      </c>
      <c r="D854" s="22" t="s">
        <v>7710</v>
      </c>
      <c r="E854" s="22" t="s">
        <v>4097</v>
      </c>
      <c r="F854" s="24" t="s">
        <v>4098</v>
      </c>
      <c r="G854" s="26" t="s">
        <v>8904</v>
      </c>
      <c r="H854" s="24" t="s">
        <v>3452</v>
      </c>
      <c r="I854" s="22"/>
      <c r="J854" s="22"/>
      <c r="K854" s="24"/>
      <c r="L854" s="24"/>
      <c r="M854" s="25" t="s">
        <v>4099</v>
      </c>
      <c r="N854" s="22"/>
      <c r="O854" s="22" t="s">
        <v>4100</v>
      </c>
      <c r="P854" s="22" t="str">
        <f>HYPERLINK("https://ceds.ed.gov/cedselementdetails.aspx?termid=21866")</f>
        <v>https://ceds.ed.gov/cedselementdetails.aspx?termid=21866</v>
      </c>
      <c r="Q854" s="22">
        <v>63361</v>
      </c>
    </row>
    <row r="855" spans="1:17" ht="409.6" x14ac:dyDescent="0.3">
      <c r="A855" s="22" t="s">
        <v>7779</v>
      </c>
      <c r="B855" s="22" t="s">
        <v>7780</v>
      </c>
      <c r="C855" s="22" t="s">
        <v>7720</v>
      </c>
      <c r="D855" s="22" t="s">
        <v>7710</v>
      </c>
      <c r="E855" s="22" t="s">
        <v>5777</v>
      </c>
      <c r="F855" s="24" t="s">
        <v>5778</v>
      </c>
      <c r="G855" s="26" t="s">
        <v>8904</v>
      </c>
      <c r="H855" s="24" t="s">
        <v>3452</v>
      </c>
      <c r="I855" s="22"/>
      <c r="J855" s="22"/>
      <c r="K855" s="24"/>
      <c r="L855" s="24"/>
      <c r="M855" s="25" t="s">
        <v>5779</v>
      </c>
      <c r="N855" s="22"/>
      <c r="O855" s="22" t="s">
        <v>5780</v>
      </c>
      <c r="P855" s="22" t="str">
        <f>HYPERLINK("https://ceds.ed.gov/cedselementdetails.aspx?termid=21867")</f>
        <v>https://ceds.ed.gov/cedselementdetails.aspx?termid=21867</v>
      </c>
      <c r="Q855" s="22">
        <v>63362</v>
      </c>
    </row>
    <row r="856" spans="1:17" ht="43.2" x14ac:dyDescent="0.3">
      <c r="A856" s="22" t="s">
        <v>7779</v>
      </c>
      <c r="B856" s="22" t="s">
        <v>7781</v>
      </c>
      <c r="C856" s="22"/>
      <c r="D856" s="22" t="s">
        <v>7710</v>
      </c>
      <c r="E856" s="22" t="s">
        <v>5687</v>
      </c>
      <c r="F856" s="24" t="s">
        <v>5688</v>
      </c>
      <c r="G856" s="23" t="s">
        <v>32</v>
      </c>
      <c r="H856" s="22"/>
      <c r="I856" s="22"/>
      <c r="J856" s="22" t="s">
        <v>50</v>
      </c>
      <c r="K856" s="24"/>
      <c r="L856" s="24"/>
      <c r="M856" s="25" t="s">
        <v>5689</v>
      </c>
      <c r="N856" s="22"/>
      <c r="O856" s="22" t="s">
        <v>5690</v>
      </c>
      <c r="P856" s="22" t="str">
        <f>HYPERLINK("https://ceds.ed.gov/cedselementdetails.aspx?termid=22644")</f>
        <v>https://ceds.ed.gov/cedselementdetails.aspx?termid=22644</v>
      </c>
      <c r="Q856" s="22">
        <v>62975</v>
      </c>
    </row>
    <row r="857" spans="1:17" ht="28.8" x14ac:dyDescent="0.3">
      <c r="A857" s="22" t="s">
        <v>7779</v>
      </c>
      <c r="B857" s="22" t="s">
        <v>7781</v>
      </c>
      <c r="C857" s="22"/>
      <c r="D857" s="22" t="s">
        <v>7710</v>
      </c>
      <c r="E857" s="22" t="s">
        <v>5703</v>
      </c>
      <c r="F857" s="24" t="s">
        <v>5704</v>
      </c>
      <c r="G857" s="23" t="s">
        <v>32</v>
      </c>
      <c r="H857" s="22"/>
      <c r="I857" s="22"/>
      <c r="J857" s="22" t="s">
        <v>2856</v>
      </c>
      <c r="K857" s="24"/>
      <c r="L857" s="24"/>
      <c r="M857" s="25" t="s">
        <v>5705</v>
      </c>
      <c r="N857" s="22"/>
      <c r="O857" s="22" t="s">
        <v>5706</v>
      </c>
      <c r="P857" s="22" t="str">
        <f>HYPERLINK("https://ceds.ed.gov/cedselementdetails.aspx?termid=22731")</f>
        <v>https://ceds.ed.gov/cedselementdetails.aspx?termid=22731</v>
      </c>
      <c r="Q857" s="22">
        <v>62982</v>
      </c>
    </row>
    <row r="858" spans="1:17" ht="172.8" x14ac:dyDescent="0.3">
      <c r="A858" s="22" t="s">
        <v>7779</v>
      </c>
      <c r="B858" s="22" t="s">
        <v>7781</v>
      </c>
      <c r="C858" s="22" t="s">
        <v>7711</v>
      </c>
      <c r="D858" s="22" t="s">
        <v>7710</v>
      </c>
      <c r="E858" s="22" t="s">
        <v>6625</v>
      </c>
      <c r="F858" s="24" t="s">
        <v>280</v>
      </c>
      <c r="G858" s="23" t="s">
        <v>32</v>
      </c>
      <c r="H858" s="24" t="s">
        <v>6624</v>
      </c>
      <c r="I858" s="22" t="s">
        <v>172</v>
      </c>
      <c r="J858" s="22" t="s">
        <v>132</v>
      </c>
      <c r="K858" s="24" t="s">
        <v>7946</v>
      </c>
      <c r="L858" s="24" t="s">
        <v>7945</v>
      </c>
      <c r="M858" s="25" t="s">
        <v>6626</v>
      </c>
      <c r="N858" s="22"/>
      <c r="O858" s="22" t="s">
        <v>6627</v>
      </c>
      <c r="P858" s="22" t="str">
        <f>HYPERLINK("https://ceds.ed.gov/cedselementdetails.aspx?termid=21155")</f>
        <v>https://ceds.ed.gov/cedselementdetails.aspx?termid=21155</v>
      </c>
      <c r="Q858" s="22">
        <v>58825</v>
      </c>
    </row>
    <row r="859" spans="1:17" ht="187.2" x14ac:dyDescent="0.3">
      <c r="A859" s="22" t="s">
        <v>7779</v>
      </c>
      <c r="B859" s="22" t="s">
        <v>7781</v>
      </c>
      <c r="C859" s="22" t="s">
        <v>7711</v>
      </c>
      <c r="D859" s="22" t="s">
        <v>7710</v>
      </c>
      <c r="E859" s="22" t="s">
        <v>6621</v>
      </c>
      <c r="F859" s="24" t="s">
        <v>275</v>
      </c>
      <c r="G859" s="26" t="s">
        <v>8521</v>
      </c>
      <c r="H859" s="24" t="s">
        <v>6624</v>
      </c>
      <c r="I859" s="22" t="s">
        <v>172</v>
      </c>
      <c r="J859" s="22"/>
      <c r="K859" s="24" t="s">
        <v>7946</v>
      </c>
      <c r="L859" s="24"/>
      <c r="M859" s="25" t="s">
        <v>6622</v>
      </c>
      <c r="N859" s="22"/>
      <c r="O859" s="22" t="s">
        <v>6623</v>
      </c>
      <c r="P859" s="22" t="str">
        <f>HYPERLINK("https://ceds.ed.gov/cedselementdetails.aspx?termid=21161")</f>
        <v>https://ceds.ed.gov/cedselementdetails.aspx?termid=21161</v>
      </c>
      <c r="Q859" s="22">
        <v>58826</v>
      </c>
    </row>
    <row r="860" spans="1:17" ht="187.2" x14ac:dyDescent="0.3">
      <c r="A860" s="22" t="s">
        <v>7779</v>
      </c>
      <c r="B860" s="22" t="s">
        <v>7781</v>
      </c>
      <c r="C860" s="22" t="s">
        <v>7711</v>
      </c>
      <c r="D860" s="22" t="s">
        <v>7710</v>
      </c>
      <c r="E860" s="22" t="s">
        <v>5525</v>
      </c>
      <c r="F860" s="24" t="s">
        <v>5526</v>
      </c>
      <c r="G860" s="23" t="s">
        <v>32</v>
      </c>
      <c r="H860" s="24" t="s">
        <v>5529</v>
      </c>
      <c r="I860" s="22" t="s">
        <v>172</v>
      </c>
      <c r="J860" s="22" t="s">
        <v>157</v>
      </c>
      <c r="K860" s="24" t="s">
        <v>7946</v>
      </c>
      <c r="L860" s="24"/>
      <c r="M860" s="25" t="s">
        <v>5527</v>
      </c>
      <c r="N860" s="22"/>
      <c r="O860" s="22" t="s">
        <v>5528</v>
      </c>
      <c r="P860" s="22" t="str">
        <f>HYPERLINK("https://ceds.ed.gov/cedselementdetails.aspx?termid=21191")</f>
        <v>https://ceds.ed.gov/cedselementdetails.aspx?termid=21191</v>
      </c>
      <c r="Q860" s="22">
        <v>58831</v>
      </c>
    </row>
    <row r="861" spans="1:17" ht="86.4" x14ac:dyDescent="0.3">
      <c r="A861" s="22" t="s">
        <v>7779</v>
      </c>
      <c r="B861" s="22" t="s">
        <v>7781</v>
      </c>
      <c r="C861" s="22" t="s">
        <v>7711</v>
      </c>
      <c r="D861" s="22" t="s">
        <v>7710</v>
      </c>
      <c r="E861" s="22" t="s">
        <v>8312</v>
      </c>
      <c r="F861" s="24" t="s">
        <v>8313</v>
      </c>
      <c r="G861" s="23" t="s">
        <v>32</v>
      </c>
      <c r="H861" s="22"/>
      <c r="I861" s="22" t="s">
        <v>172</v>
      </c>
      <c r="J861" s="22" t="s">
        <v>85</v>
      </c>
      <c r="K861" s="24" t="s">
        <v>8314</v>
      </c>
      <c r="L861" s="24" t="s">
        <v>6772</v>
      </c>
      <c r="M861" s="25" t="s">
        <v>6773</v>
      </c>
      <c r="N861" s="22"/>
      <c r="O861" s="22" t="s">
        <v>8315</v>
      </c>
      <c r="P861" s="22" t="str">
        <f>HYPERLINK("https://ceds.ed.gov/cedselementdetails.aspx?termid=22459")</f>
        <v>https://ceds.ed.gov/cedselementdetails.aspx?termid=22459</v>
      </c>
      <c r="Q861" s="22">
        <v>61423</v>
      </c>
    </row>
    <row r="862" spans="1:17" ht="409.6" x14ac:dyDescent="0.3">
      <c r="A862" s="22" t="s">
        <v>7779</v>
      </c>
      <c r="B862" s="22" t="s">
        <v>7781</v>
      </c>
      <c r="C862" s="22" t="s">
        <v>7711</v>
      </c>
      <c r="D862" s="22" t="s">
        <v>7710</v>
      </c>
      <c r="E862" s="22" t="s">
        <v>5715</v>
      </c>
      <c r="F862" s="24" t="s">
        <v>5716</v>
      </c>
      <c r="G862" s="26" t="s">
        <v>8493</v>
      </c>
      <c r="H862" s="22"/>
      <c r="I862" s="22" t="s">
        <v>172</v>
      </c>
      <c r="J862" s="22"/>
      <c r="K862" s="24" t="s">
        <v>8265</v>
      </c>
      <c r="L862" s="24" t="s">
        <v>5717</v>
      </c>
      <c r="M862" s="25" t="s">
        <v>5718</v>
      </c>
      <c r="N862" s="22"/>
      <c r="O862" s="22" t="s">
        <v>5719</v>
      </c>
      <c r="P862" s="22" t="str">
        <f>HYPERLINK("https://ceds.ed.gov/cedselementdetails.aspx?termid=22165")</f>
        <v>https://ceds.ed.gov/cedselementdetails.aspx?termid=22165</v>
      </c>
      <c r="Q862" s="22">
        <v>59809</v>
      </c>
    </row>
    <row r="863" spans="1:17" ht="86.4" x14ac:dyDescent="0.3">
      <c r="A863" s="22" t="s">
        <v>7779</v>
      </c>
      <c r="B863" s="22" t="s">
        <v>7781</v>
      </c>
      <c r="C863" s="22" t="s">
        <v>7711</v>
      </c>
      <c r="D863" s="22" t="s">
        <v>7710</v>
      </c>
      <c r="E863" s="22" t="s">
        <v>5707</v>
      </c>
      <c r="F863" s="24" t="s">
        <v>5708</v>
      </c>
      <c r="G863" s="26" t="s">
        <v>8491</v>
      </c>
      <c r="H863" s="22"/>
      <c r="I863" s="22" t="s">
        <v>172</v>
      </c>
      <c r="J863" s="22"/>
      <c r="K863" s="24" t="s">
        <v>8263</v>
      </c>
      <c r="L863" s="24" t="s">
        <v>8264</v>
      </c>
      <c r="M863" s="25" t="s">
        <v>5709</v>
      </c>
      <c r="N863" s="22"/>
      <c r="O863" s="22" t="s">
        <v>5710</v>
      </c>
      <c r="P863" s="22" t="str">
        <f>HYPERLINK("https://ceds.ed.gov/cedselementdetails.aspx?termid=22886")</f>
        <v>https://ceds.ed.gov/cedselementdetails.aspx?termid=22886</v>
      </c>
      <c r="Q863" s="22">
        <v>63146</v>
      </c>
    </row>
    <row r="864" spans="1:17" ht="72" x14ac:dyDescent="0.3">
      <c r="A864" s="22" t="s">
        <v>7779</v>
      </c>
      <c r="B864" s="22" t="s">
        <v>7781</v>
      </c>
      <c r="C864" s="22" t="s">
        <v>7712</v>
      </c>
      <c r="D864" s="22" t="s">
        <v>7710</v>
      </c>
      <c r="E864" s="22" t="s">
        <v>199</v>
      </c>
      <c r="F864" s="24" t="s">
        <v>200</v>
      </c>
      <c r="G864" s="26" t="s">
        <v>8394</v>
      </c>
      <c r="H864" s="24" t="s">
        <v>64</v>
      </c>
      <c r="I864" s="22" t="s">
        <v>172</v>
      </c>
      <c r="J864" s="22" t="s">
        <v>85</v>
      </c>
      <c r="K864" s="24" t="s">
        <v>7946</v>
      </c>
      <c r="L864" s="24"/>
      <c r="M864" s="25" t="s">
        <v>201</v>
      </c>
      <c r="N864" s="22"/>
      <c r="O864" s="22" t="s">
        <v>202</v>
      </c>
      <c r="P864" s="22" t="str">
        <f>HYPERLINK("https://ceds.ed.gov/cedselementdetails.aspx?termid=21644")</f>
        <v>https://ceds.ed.gov/cedselementdetails.aspx?termid=21644</v>
      </c>
      <c r="Q864" s="22">
        <v>58880</v>
      </c>
    </row>
    <row r="865" spans="1:17" ht="187.2" x14ac:dyDescent="0.3">
      <c r="A865" s="22" t="s">
        <v>7779</v>
      </c>
      <c r="B865" s="22" t="s">
        <v>7781</v>
      </c>
      <c r="C865" s="22" t="s">
        <v>7712</v>
      </c>
      <c r="D865" s="22" t="s">
        <v>7710</v>
      </c>
      <c r="E865" s="22" t="s">
        <v>189</v>
      </c>
      <c r="F865" s="24" t="s">
        <v>190</v>
      </c>
      <c r="G865" s="23" t="s">
        <v>32</v>
      </c>
      <c r="H865" s="24" t="s">
        <v>175</v>
      </c>
      <c r="I865" s="22" t="s">
        <v>172</v>
      </c>
      <c r="J865" s="22" t="s">
        <v>191</v>
      </c>
      <c r="K865" s="24" t="s">
        <v>7946</v>
      </c>
      <c r="L865" s="24"/>
      <c r="M865" s="25" t="s">
        <v>192</v>
      </c>
      <c r="N865" s="22"/>
      <c r="O865" s="22" t="s">
        <v>193</v>
      </c>
      <c r="P865" s="22" t="str">
        <f>HYPERLINK("https://ceds.ed.gov/cedselementdetails.aspx?termid=21269")</f>
        <v>https://ceds.ed.gov/cedselementdetails.aspx?termid=21269</v>
      </c>
      <c r="Q865" s="22">
        <v>58851</v>
      </c>
    </row>
    <row r="866" spans="1:17" ht="187.2" x14ac:dyDescent="0.3">
      <c r="A866" s="22" t="s">
        <v>7779</v>
      </c>
      <c r="B866" s="22" t="s">
        <v>7781</v>
      </c>
      <c r="C866" s="22" t="s">
        <v>7712</v>
      </c>
      <c r="D866" s="22" t="s">
        <v>7710</v>
      </c>
      <c r="E866" s="22" t="s">
        <v>170</v>
      </c>
      <c r="F866" s="24" t="s">
        <v>171</v>
      </c>
      <c r="G866" s="23" t="s">
        <v>32</v>
      </c>
      <c r="H866" s="24" t="s">
        <v>175</v>
      </c>
      <c r="I866" s="22" t="s">
        <v>172</v>
      </c>
      <c r="J866" s="22" t="s">
        <v>157</v>
      </c>
      <c r="K866" s="24" t="s">
        <v>7946</v>
      </c>
      <c r="L866" s="24"/>
      <c r="M866" s="25" t="s">
        <v>173</v>
      </c>
      <c r="N866" s="22"/>
      <c r="O866" s="22" t="s">
        <v>174</v>
      </c>
      <c r="P866" s="22" t="str">
        <f>HYPERLINK("https://ceds.ed.gov/cedselementdetails.aspx?termid=21019")</f>
        <v>https://ceds.ed.gov/cedselementdetails.aspx?termid=21019</v>
      </c>
      <c r="Q866" s="22">
        <v>60145</v>
      </c>
    </row>
    <row r="867" spans="1:17" ht="187.2" x14ac:dyDescent="0.3">
      <c r="A867" s="22" t="s">
        <v>7779</v>
      </c>
      <c r="B867" s="22" t="s">
        <v>7781</v>
      </c>
      <c r="C867" s="22" t="s">
        <v>7712</v>
      </c>
      <c r="D867" s="22" t="s">
        <v>7710</v>
      </c>
      <c r="E867" s="22" t="s">
        <v>176</v>
      </c>
      <c r="F867" s="24" t="s">
        <v>177</v>
      </c>
      <c r="G867" s="23" t="s">
        <v>32</v>
      </c>
      <c r="H867" s="24" t="s">
        <v>175</v>
      </c>
      <c r="I867" s="22" t="s">
        <v>172</v>
      </c>
      <c r="J867" s="22" t="s">
        <v>85</v>
      </c>
      <c r="K867" s="24" t="s">
        <v>7946</v>
      </c>
      <c r="L867" s="24"/>
      <c r="M867" s="25" t="s">
        <v>178</v>
      </c>
      <c r="N867" s="22"/>
      <c r="O867" s="22" t="s">
        <v>179</v>
      </c>
      <c r="P867" s="22" t="str">
        <f>HYPERLINK("https://ceds.ed.gov/cedselementdetails.aspx?termid=21040")</f>
        <v>https://ceds.ed.gov/cedselementdetails.aspx?termid=21040</v>
      </c>
      <c r="Q867" s="22">
        <v>58818</v>
      </c>
    </row>
    <row r="868" spans="1:17" ht="409.6" x14ac:dyDescent="0.3">
      <c r="A868" s="22" t="s">
        <v>7779</v>
      </c>
      <c r="B868" s="22" t="s">
        <v>7781</v>
      </c>
      <c r="C868" s="22" t="s">
        <v>7712</v>
      </c>
      <c r="D868" s="22" t="s">
        <v>7710</v>
      </c>
      <c r="E868" s="22" t="s">
        <v>6941</v>
      </c>
      <c r="F868" s="24" t="s">
        <v>6942</v>
      </c>
      <c r="G868" s="26" t="s">
        <v>8533</v>
      </c>
      <c r="H868" s="24" t="s">
        <v>6945</v>
      </c>
      <c r="I868" s="22" t="s">
        <v>172</v>
      </c>
      <c r="J868" s="22"/>
      <c r="K868" s="24" t="s">
        <v>8327</v>
      </c>
      <c r="L868" s="24"/>
      <c r="M868" s="25" t="s">
        <v>6943</v>
      </c>
      <c r="N868" s="22"/>
      <c r="O868" s="22" t="s">
        <v>6944</v>
      </c>
      <c r="P868" s="22" t="str">
        <f>HYPERLINK("https://ceds.ed.gov/cedselementdetails.aspx?termid=21267")</f>
        <v>https://ceds.ed.gov/cedselementdetails.aspx?termid=21267</v>
      </c>
      <c r="Q868" s="22">
        <v>58850</v>
      </c>
    </row>
    <row r="869" spans="1:17" ht="187.2" x14ac:dyDescent="0.3">
      <c r="A869" s="22" t="s">
        <v>7779</v>
      </c>
      <c r="B869" s="22" t="s">
        <v>7781</v>
      </c>
      <c r="C869" s="22" t="s">
        <v>7712</v>
      </c>
      <c r="D869" s="22" t="s">
        <v>7710</v>
      </c>
      <c r="E869" s="22" t="s">
        <v>184</v>
      </c>
      <c r="F869" s="24" t="s">
        <v>185</v>
      </c>
      <c r="G869" s="23" t="s">
        <v>32</v>
      </c>
      <c r="H869" s="24" t="s">
        <v>175</v>
      </c>
      <c r="I869" s="22" t="s">
        <v>172</v>
      </c>
      <c r="J869" s="22" t="s">
        <v>186</v>
      </c>
      <c r="K869" s="24" t="s">
        <v>7946</v>
      </c>
      <c r="L869" s="24"/>
      <c r="M869" s="25" t="s">
        <v>187</v>
      </c>
      <c r="N869" s="22"/>
      <c r="O869" s="22" t="s">
        <v>188</v>
      </c>
      <c r="P869" s="22" t="str">
        <f>HYPERLINK("https://ceds.ed.gov/cedselementdetails.aspx?termid=21214")</f>
        <v>https://ceds.ed.gov/cedselementdetails.aspx?termid=21214</v>
      </c>
      <c r="Q869" s="22">
        <v>58836</v>
      </c>
    </row>
    <row r="870" spans="1:17" ht="187.2" x14ac:dyDescent="0.3">
      <c r="A870" s="22" t="s">
        <v>7779</v>
      </c>
      <c r="B870" s="22" t="s">
        <v>7781</v>
      </c>
      <c r="C870" s="22" t="s">
        <v>7712</v>
      </c>
      <c r="D870" s="22" t="s">
        <v>7710</v>
      </c>
      <c r="E870" s="22" t="s">
        <v>180</v>
      </c>
      <c r="F870" s="24" t="s">
        <v>181</v>
      </c>
      <c r="G870" s="23" t="s">
        <v>32</v>
      </c>
      <c r="H870" s="24" t="s">
        <v>175</v>
      </c>
      <c r="I870" s="22" t="s">
        <v>172</v>
      </c>
      <c r="J870" s="22" t="s">
        <v>85</v>
      </c>
      <c r="K870" s="24" t="s">
        <v>7946</v>
      </c>
      <c r="L870" s="24"/>
      <c r="M870" s="25" t="s">
        <v>182</v>
      </c>
      <c r="N870" s="22"/>
      <c r="O870" s="22" t="s">
        <v>183</v>
      </c>
      <c r="P870" s="22" t="str">
        <f>HYPERLINK("https://ceds.ed.gov/cedselementdetails.aspx?termid=21190")</f>
        <v>https://ceds.ed.gov/cedselementdetails.aspx?termid=21190</v>
      </c>
      <c r="Q870" s="22">
        <v>58830</v>
      </c>
    </row>
    <row r="871" spans="1:17" ht="158.4" x14ac:dyDescent="0.3">
      <c r="A871" s="22" t="s">
        <v>7779</v>
      </c>
      <c r="B871" s="22" t="s">
        <v>7781</v>
      </c>
      <c r="C871" s="22" t="s">
        <v>7712</v>
      </c>
      <c r="D871" s="22" t="s">
        <v>7710</v>
      </c>
      <c r="E871" s="22" t="s">
        <v>2536</v>
      </c>
      <c r="F871" s="24" t="s">
        <v>2537</v>
      </c>
      <c r="G871" s="23" t="s">
        <v>32</v>
      </c>
      <c r="H871" s="22"/>
      <c r="I871" s="22"/>
      <c r="J871" s="22" t="s">
        <v>2538</v>
      </c>
      <c r="K871" s="24"/>
      <c r="L871" s="24"/>
      <c r="M871" s="25" t="s">
        <v>2539</v>
      </c>
      <c r="N871" s="22"/>
      <c r="O871" s="22" t="s">
        <v>2540</v>
      </c>
      <c r="P871" s="22" t="str">
        <f>HYPERLINK("https://ceds.ed.gov/cedselementdetails.aspx?termid=22176")</f>
        <v>https://ceds.ed.gov/cedselementdetails.aspx?termid=22176</v>
      </c>
      <c r="Q871" s="22">
        <v>58820</v>
      </c>
    </row>
    <row r="872" spans="1:17" ht="43.2" x14ac:dyDescent="0.3">
      <c r="A872" s="22" t="s">
        <v>7779</v>
      </c>
      <c r="B872" s="22" t="s">
        <v>7781</v>
      </c>
      <c r="C872" s="22" t="s">
        <v>7712</v>
      </c>
      <c r="D872" s="22" t="s">
        <v>7710</v>
      </c>
      <c r="E872" s="22" t="s">
        <v>1798</v>
      </c>
      <c r="F872" s="24" t="s">
        <v>1799</v>
      </c>
      <c r="G872" s="23" t="s">
        <v>32</v>
      </c>
      <c r="H872" s="22"/>
      <c r="I872" s="22" t="s">
        <v>172</v>
      </c>
      <c r="J872" s="22" t="s">
        <v>157</v>
      </c>
      <c r="K872" s="24" t="s">
        <v>7946</v>
      </c>
      <c r="L872" s="24"/>
      <c r="M872" s="25" t="s">
        <v>1800</v>
      </c>
      <c r="N872" s="22"/>
      <c r="O872" s="22" t="s">
        <v>1801</v>
      </c>
      <c r="P872" s="22" t="str">
        <f>HYPERLINK("https://ceds.ed.gov/cedselementdetails.aspx?termid=21595")</f>
        <v>https://ceds.ed.gov/cedselementdetails.aspx?termid=21595</v>
      </c>
      <c r="Q872" s="22">
        <v>58877</v>
      </c>
    </row>
    <row r="873" spans="1:17" ht="57.6" x14ac:dyDescent="0.3">
      <c r="A873" s="22" t="s">
        <v>7779</v>
      </c>
      <c r="B873" s="22" t="s">
        <v>7781</v>
      </c>
      <c r="C873" s="22" t="s">
        <v>7712</v>
      </c>
      <c r="D873" s="22" t="s">
        <v>7710</v>
      </c>
      <c r="E873" s="22" t="s">
        <v>4982</v>
      </c>
      <c r="F873" s="24" t="s">
        <v>4983</v>
      </c>
      <c r="G873" s="23" t="s">
        <v>32</v>
      </c>
      <c r="H873" s="22"/>
      <c r="I873" s="22"/>
      <c r="J873" s="22" t="s">
        <v>1165</v>
      </c>
      <c r="K873" s="24"/>
      <c r="L873" s="24"/>
      <c r="M873" s="25" t="s">
        <v>4984</v>
      </c>
      <c r="N873" s="22"/>
      <c r="O873" s="22" t="s">
        <v>4982</v>
      </c>
      <c r="P873" s="22" t="str">
        <f>HYPERLINK("https://ceds.ed.gov/cedselementdetails.aspx?termid=21599")</f>
        <v>https://ceds.ed.gov/cedselementdetails.aspx?termid=21599</v>
      </c>
      <c r="Q873" s="22">
        <v>58878</v>
      </c>
    </row>
    <row r="874" spans="1:17" ht="57.6" x14ac:dyDescent="0.3">
      <c r="A874" s="22" t="s">
        <v>7779</v>
      </c>
      <c r="B874" s="22" t="s">
        <v>7781</v>
      </c>
      <c r="C874" s="22" t="s">
        <v>7712</v>
      </c>
      <c r="D874" s="22" t="s">
        <v>7710</v>
      </c>
      <c r="E874" s="22" t="s">
        <v>5372</v>
      </c>
      <c r="F874" s="24" t="s">
        <v>5373</v>
      </c>
      <c r="G874" s="23" t="s">
        <v>32</v>
      </c>
      <c r="H874" s="22"/>
      <c r="I874" s="22"/>
      <c r="J874" s="22" t="s">
        <v>1165</v>
      </c>
      <c r="K874" s="24"/>
      <c r="L874" s="24"/>
      <c r="M874" s="25" t="s">
        <v>5374</v>
      </c>
      <c r="N874" s="22"/>
      <c r="O874" s="22" t="s">
        <v>5372</v>
      </c>
      <c r="P874" s="22" t="str">
        <f>HYPERLINK("https://ceds.ed.gov/cedselementdetails.aspx?termid=21600")</f>
        <v>https://ceds.ed.gov/cedselementdetails.aspx?termid=21600</v>
      </c>
      <c r="Q874" s="22">
        <v>58879</v>
      </c>
    </row>
    <row r="875" spans="1:17" ht="409.6" x14ac:dyDescent="0.3">
      <c r="A875" s="22" t="s">
        <v>7779</v>
      </c>
      <c r="B875" s="22" t="s">
        <v>7781</v>
      </c>
      <c r="C875" s="22" t="s">
        <v>7712</v>
      </c>
      <c r="D875" s="22" t="s">
        <v>7710</v>
      </c>
      <c r="E875" s="22" t="s">
        <v>6953</v>
      </c>
      <c r="F875" s="24" t="s">
        <v>6954</v>
      </c>
      <c r="G875" s="26" t="s">
        <v>8536</v>
      </c>
      <c r="H875" s="24" t="s">
        <v>6957</v>
      </c>
      <c r="I875" s="22" t="s">
        <v>172</v>
      </c>
      <c r="J875" s="22"/>
      <c r="K875" s="24" t="s">
        <v>8330</v>
      </c>
      <c r="L875" s="24"/>
      <c r="M875" s="25" t="s">
        <v>6955</v>
      </c>
      <c r="N875" s="22"/>
      <c r="O875" s="22" t="s">
        <v>6956</v>
      </c>
      <c r="P875" s="22" t="str">
        <f>HYPERLINK("https://ceds.ed.gov/cedselementdetails.aspx?termid=21414")</f>
        <v>https://ceds.ed.gov/cedselementdetails.aspx?termid=21414</v>
      </c>
      <c r="Q875" s="22">
        <v>63168</v>
      </c>
    </row>
    <row r="876" spans="1:17" ht="57.6" x14ac:dyDescent="0.3">
      <c r="A876" s="22" t="s">
        <v>7779</v>
      </c>
      <c r="B876" s="22" t="s">
        <v>7781</v>
      </c>
      <c r="C876" s="22" t="s">
        <v>7712</v>
      </c>
      <c r="D876" s="22" t="s">
        <v>7710</v>
      </c>
      <c r="E876" s="22" t="s">
        <v>3228</v>
      </c>
      <c r="F876" s="24" t="s">
        <v>3229</v>
      </c>
      <c r="G876" s="26" t="s">
        <v>3039</v>
      </c>
      <c r="H876" s="22"/>
      <c r="I876" s="22" t="s">
        <v>172</v>
      </c>
      <c r="J876" s="22"/>
      <c r="K876" s="24" t="s">
        <v>7946</v>
      </c>
      <c r="L876" s="24"/>
      <c r="M876" s="25" t="s">
        <v>3230</v>
      </c>
      <c r="N876" s="22"/>
      <c r="O876" s="22" t="s">
        <v>3231</v>
      </c>
      <c r="P876" s="22" t="str">
        <f>HYPERLINK("https://ceds.ed.gov/cedselementdetails.aspx?termid=22905")</f>
        <v>https://ceds.ed.gov/cedselementdetails.aspx?termid=22905</v>
      </c>
      <c r="Q876" s="22">
        <v>63314</v>
      </c>
    </row>
    <row r="877" spans="1:17" ht="72" x14ac:dyDescent="0.3">
      <c r="A877" s="22" t="s">
        <v>7779</v>
      </c>
      <c r="B877" s="22" t="s">
        <v>7781</v>
      </c>
      <c r="C877" s="22" t="s">
        <v>7713</v>
      </c>
      <c r="D877" s="22" t="s">
        <v>7710</v>
      </c>
      <c r="E877" s="22" t="s">
        <v>7159</v>
      </c>
      <c r="F877" s="24" t="s">
        <v>7160</v>
      </c>
      <c r="G877" s="23" t="s">
        <v>32</v>
      </c>
      <c r="H877" s="24" t="s">
        <v>64</v>
      </c>
      <c r="I877" s="22"/>
      <c r="J877" s="22" t="s">
        <v>7161</v>
      </c>
      <c r="K877" s="24"/>
      <c r="L877" s="24"/>
      <c r="M877" s="25" t="s">
        <v>7162</v>
      </c>
      <c r="N877" s="22"/>
      <c r="O877" s="22" t="s">
        <v>7163</v>
      </c>
      <c r="P877" s="22" t="str">
        <f>HYPERLINK("https://ceds.ed.gov/cedselementdetails.aspx?termid=21279")</f>
        <v>https://ceds.ed.gov/cedselementdetails.aspx?termid=21279</v>
      </c>
      <c r="Q877" s="22">
        <v>58853</v>
      </c>
    </row>
    <row r="878" spans="1:17" ht="115.2" x14ac:dyDescent="0.3">
      <c r="A878" s="22" t="s">
        <v>7779</v>
      </c>
      <c r="B878" s="22" t="s">
        <v>7781</v>
      </c>
      <c r="C878" s="22" t="s">
        <v>7713</v>
      </c>
      <c r="D878" s="22" t="s">
        <v>7710</v>
      </c>
      <c r="E878" s="22" t="s">
        <v>4776</v>
      </c>
      <c r="F878" s="24" t="s">
        <v>4777</v>
      </c>
      <c r="G878" s="26" t="s">
        <v>8967</v>
      </c>
      <c r="H878" s="22"/>
      <c r="I878" s="22"/>
      <c r="J878" s="22"/>
      <c r="K878" s="24"/>
      <c r="L878" s="24"/>
      <c r="M878" s="25" t="s">
        <v>4778</v>
      </c>
      <c r="N878" s="22"/>
      <c r="O878" s="22" t="s">
        <v>4779</v>
      </c>
      <c r="P878" s="22" t="str">
        <f>HYPERLINK("https://ceds.ed.gov/cedselementdetails.aspx?termid=21167")</f>
        <v>https://ceds.ed.gov/cedselementdetails.aspx?termid=21167</v>
      </c>
      <c r="Q878" s="22">
        <v>58828</v>
      </c>
    </row>
    <row r="879" spans="1:17" ht="72" x14ac:dyDescent="0.3">
      <c r="A879" s="22" t="s">
        <v>7779</v>
      </c>
      <c r="B879" s="22" t="s">
        <v>7781</v>
      </c>
      <c r="C879" s="22" t="s">
        <v>7713</v>
      </c>
      <c r="D879" s="22" t="s">
        <v>7710</v>
      </c>
      <c r="E879" s="22" t="s">
        <v>5965</v>
      </c>
      <c r="F879" s="24" t="s">
        <v>5966</v>
      </c>
      <c r="G879" s="26" t="s">
        <v>22</v>
      </c>
      <c r="H879" s="24" t="s">
        <v>64</v>
      </c>
      <c r="I879" s="22"/>
      <c r="J879" s="22"/>
      <c r="K879" s="24"/>
      <c r="L879" s="24"/>
      <c r="M879" s="25" t="s">
        <v>5967</v>
      </c>
      <c r="N879" s="22"/>
      <c r="O879" s="22" t="s">
        <v>5968</v>
      </c>
      <c r="P879" s="22" t="str">
        <f>HYPERLINK("https://ceds.ed.gov/cedselementdetails.aspx?termid=21219")</f>
        <v>https://ceds.ed.gov/cedselementdetails.aspx?termid=21219</v>
      </c>
      <c r="Q879" s="22">
        <v>58837</v>
      </c>
    </row>
    <row r="880" spans="1:17" ht="57.6" x14ac:dyDescent="0.3">
      <c r="A880" s="22" t="s">
        <v>7779</v>
      </c>
      <c r="B880" s="22" t="s">
        <v>7781</v>
      </c>
      <c r="C880" s="22" t="s">
        <v>7713</v>
      </c>
      <c r="D880" s="22" t="s">
        <v>7710</v>
      </c>
      <c r="E880" s="22" t="s">
        <v>3228</v>
      </c>
      <c r="F880" s="24" t="s">
        <v>3229</v>
      </c>
      <c r="G880" s="26" t="s">
        <v>3039</v>
      </c>
      <c r="H880" s="22"/>
      <c r="I880" s="22" t="s">
        <v>172</v>
      </c>
      <c r="J880" s="22"/>
      <c r="K880" s="24" t="s">
        <v>7946</v>
      </c>
      <c r="L880" s="24"/>
      <c r="M880" s="25" t="s">
        <v>3230</v>
      </c>
      <c r="N880" s="22"/>
      <c r="O880" s="22" t="s">
        <v>3231</v>
      </c>
      <c r="P880" s="22" t="str">
        <f>HYPERLINK("https://ceds.ed.gov/cedselementdetails.aspx?termid=22905")</f>
        <v>https://ceds.ed.gov/cedselementdetails.aspx?termid=22905</v>
      </c>
      <c r="Q880" s="22">
        <v>63316</v>
      </c>
    </row>
    <row r="881" spans="1:17" ht="57.6" x14ac:dyDescent="0.3">
      <c r="A881" s="22" t="s">
        <v>7779</v>
      </c>
      <c r="B881" s="22" t="s">
        <v>7781</v>
      </c>
      <c r="C881" s="22" t="s">
        <v>7713</v>
      </c>
      <c r="D881" s="22" t="s">
        <v>7710</v>
      </c>
      <c r="E881" s="22" t="s">
        <v>7164</v>
      </c>
      <c r="F881" s="24" t="s">
        <v>7165</v>
      </c>
      <c r="G881" s="26" t="s">
        <v>9167</v>
      </c>
      <c r="H881" s="22"/>
      <c r="I881" s="22"/>
      <c r="J881" s="22"/>
      <c r="K881" s="24"/>
      <c r="L881" s="24"/>
      <c r="M881" s="25" t="s">
        <v>7166</v>
      </c>
      <c r="N881" s="22"/>
      <c r="O881" s="22" t="s">
        <v>7167</v>
      </c>
      <c r="P881" s="22" t="str">
        <f>HYPERLINK("https://ceds.ed.gov/cedselementdetails.aspx?termid=22911")</f>
        <v>https://ceds.ed.gov/cedselementdetails.aspx?termid=22911</v>
      </c>
      <c r="Q881" s="22">
        <v>63317</v>
      </c>
    </row>
    <row r="882" spans="1:17" ht="86.4" x14ac:dyDescent="0.3">
      <c r="A882" s="22" t="s">
        <v>7779</v>
      </c>
      <c r="B882" s="22" t="s">
        <v>7781</v>
      </c>
      <c r="C882" s="22" t="s">
        <v>7721</v>
      </c>
      <c r="D882" s="22" t="s">
        <v>7710</v>
      </c>
      <c r="E882" s="22" t="s">
        <v>6660</v>
      </c>
      <c r="F882" s="24" t="s">
        <v>8310</v>
      </c>
      <c r="G882" s="26" t="s">
        <v>9137</v>
      </c>
      <c r="H882" s="24" t="s">
        <v>64</v>
      </c>
      <c r="I882" s="22"/>
      <c r="J882" s="22"/>
      <c r="K882" s="24"/>
      <c r="L882" s="24"/>
      <c r="M882" s="25" t="s">
        <v>6661</v>
      </c>
      <c r="N882" s="22"/>
      <c r="O882" s="22" t="s">
        <v>6662</v>
      </c>
      <c r="P882" s="22" t="str">
        <f>HYPERLINK("https://ceds.ed.gov/cedselementdetails.aspx?termid=21242")</f>
        <v>https://ceds.ed.gov/cedselementdetails.aspx?termid=21242</v>
      </c>
      <c r="Q882" s="22">
        <v>58846</v>
      </c>
    </row>
    <row r="883" spans="1:17" ht="187.2" x14ac:dyDescent="0.3">
      <c r="A883" s="22" t="s">
        <v>7779</v>
      </c>
      <c r="B883" s="22" t="s">
        <v>7781</v>
      </c>
      <c r="C883" s="22" t="s">
        <v>7721</v>
      </c>
      <c r="D883" s="22" t="s">
        <v>7710</v>
      </c>
      <c r="E883" s="22" t="s">
        <v>6652</v>
      </c>
      <c r="F883" s="24" t="s">
        <v>6653</v>
      </c>
      <c r="G883" s="26" t="s">
        <v>8523</v>
      </c>
      <c r="H883" s="22"/>
      <c r="I883" s="22" t="s">
        <v>172</v>
      </c>
      <c r="J883" s="22"/>
      <c r="K883" s="24" t="s">
        <v>7946</v>
      </c>
      <c r="L883" s="24"/>
      <c r="M883" s="25" t="s">
        <v>6654</v>
      </c>
      <c r="N883" s="22"/>
      <c r="O883" s="22" t="s">
        <v>6655</v>
      </c>
      <c r="P883" s="22" t="str">
        <f>HYPERLINK("https://ceds.ed.gov/cedselementdetails.aspx?termid=21241")</f>
        <v>https://ceds.ed.gov/cedselementdetails.aspx?termid=21241</v>
      </c>
      <c r="Q883" s="22">
        <v>58845</v>
      </c>
    </row>
    <row r="884" spans="1:17" ht="129.6" x14ac:dyDescent="0.3">
      <c r="A884" s="22" t="s">
        <v>7779</v>
      </c>
      <c r="B884" s="22" t="s">
        <v>7781</v>
      </c>
      <c r="C884" s="22" t="s">
        <v>7721</v>
      </c>
      <c r="D884" s="22" t="s">
        <v>7710</v>
      </c>
      <c r="E884" s="22" t="s">
        <v>5379</v>
      </c>
      <c r="F884" s="24" t="s">
        <v>5380</v>
      </c>
      <c r="G884" s="26" t="s">
        <v>9021</v>
      </c>
      <c r="H884" s="24" t="s">
        <v>64</v>
      </c>
      <c r="I884" s="22"/>
      <c r="J884" s="22"/>
      <c r="K884" s="24"/>
      <c r="L884" s="24"/>
      <c r="M884" s="25" t="s">
        <v>5381</v>
      </c>
      <c r="N884" s="22"/>
      <c r="O884" s="22" t="s">
        <v>5382</v>
      </c>
      <c r="P884" s="22" t="str">
        <f>HYPERLINK("https://ceds.ed.gov/cedselementdetails.aspx?termid=21181")</f>
        <v>https://ceds.ed.gov/cedselementdetails.aspx?termid=21181</v>
      </c>
      <c r="Q884" s="22">
        <v>58829</v>
      </c>
    </row>
    <row r="885" spans="1:17" ht="331.2" x14ac:dyDescent="0.3">
      <c r="A885" s="22" t="s">
        <v>7779</v>
      </c>
      <c r="B885" s="22" t="s">
        <v>7781</v>
      </c>
      <c r="C885" s="22" t="s">
        <v>7721</v>
      </c>
      <c r="D885" s="22" t="s">
        <v>7710</v>
      </c>
      <c r="E885" s="22" t="s">
        <v>4241</v>
      </c>
      <c r="F885" s="24" t="s">
        <v>4242</v>
      </c>
      <c r="G885" s="26" t="s">
        <v>8433</v>
      </c>
      <c r="H885" s="24" t="s">
        <v>64</v>
      </c>
      <c r="I885" s="22" t="s">
        <v>172</v>
      </c>
      <c r="J885" s="22"/>
      <c r="K885" s="24" t="s">
        <v>8209</v>
      </c>
      <c r="L885" s="24"/>
      <c r="M885" s="25" t="s">
        <v>4243</v>
      </c>
      <c r="N885" s="22"/>
      <c r="O885" s="22" t="s">
        <v>4244</v>
      </c>
      <c r="P885" s="22" t="str">
        <f>HYPERLINK("https://ceds.ed.gov/cedselementdetails.aspx?termid=21131")</f>
        <v>https://ceds.ed.gov/cedselementdetails.aspx?termid=21131</v>
      </c>
      <c r="Q885" s="22">
        <v>58822</v>
      </c>
    </row>
    <row r="886" spans="1:17" ht="57.6" x14ac:dyDescent="0.3">
      <c r="A886" s="22" t="s">
        <v>7779</v>
      </c>
      <c r="B886" s="22" t="s">
        <v>7781</v>
      </c>
      <c r="C886" s="22" t="s">
        <v>7721</v>
      </c>
      <c r="D886" s="22" t="s">
        <v>7710</v>
      </c>
      <c r="E886" s="22" t="s">
        <v>227</v>
      </c>
      <c r="F886" s="24" t="s">
        <v>228</v>
      </c>
      <c r="G886" s="26" t="s">
        <v>8396</v>
      </c>
      <c r="H886" s="22"/>
      <c r="I886" s="22" t="s">
        <v>172</v>
      </c>
      <c r="J886" s="22"/>
      <c r="K886" s="24" t="s">
        <v>7946</v>
      </c>
      <c r="L886" s="24"/>
      <c r="M886" s="25" t="s">
        <v>230</v>
      </c>
      <c r="N886" s="22"/>
      <c r="O886" s="22" t="s">
        <v>231</v>
      </c>
      <c r="P886" s="22" t="str">
        <f>HYPERLINK("https://ceds.ed.gov/cedselementdetails.aspx?termid=21012")</f>
        <v>https://ceds.ed.gov/cedselementdetails.aspx?termid=21012</v>
      </c>
      <c r="Q886" s="22">
        <v>58813</v>
      </c>
    </row>
    <row r="887" spans="1:17" ht="129.6" x14ac:dyDescent="0.3">
      <c r="A887" s="22" t="s">
        <v>7779</v>
      </c>
      <c r="B887" s="22" t="s">
        <v>7781</v>
      </c>
      <c r="C887" s="22" t="s">
        <v>7721</v>
      </c>
      <c r="D887" s="22" t="s">
        <v>7710</v>
      </c>
      <c r="E887" s="22" t="s">
        <v>6656</v>
      </c>
      <c r="F887" s="24" t="s">
        <v>6657</v>
      </c>
      <c r="G887" s="26" t="s">
        <v>8524</v>
      </c>
      <c r="H887" s="22" t="s">
        <v>226</v>
      </c>
      <c r="I887" s="22" t="s">
        <v>172</v>
      </c>
      <c r="J887" s="22"/>
      <c r="K887" s="24" t="s">
        <v>7946</v>
      </c>
      <c r="L887" s="24"/>
      <c r="M887" s="25" t="s">
        <v>6658</v>
      </c>
      <c r="N887" s="22"/>
      <c r="O887" s="22" t="s">
        <v>6659</v>
      </c>
      <c r="P887" s="22" t="str">
        <f>HYPERLINK("https://ceds.ed.gov/cedselementdetails.aspx?termid=21524")</f>
        <v>https://ceds.ed.gov/cedselementdetails.aspx?termid=21524</v>
      </c>
      <c r="Q887" s="22">
        <v>58868</v>
      </c>
    </row>
    <row r="888" spans="1:17" ht="28.8" x14ac:dyDescent="0.3">
      <c r="A888" s="22" t="s">
        <v>7779</v>
      </c>
      <c r="B888" s="22" t="s">
        <v>7781</v>
      </c>
      <c r="C888" s="22" t="s">
        <v>7721</v>
      </c>
      <c r="D888" s="22" t="s">
        <v>7710</v>
      </c>
      <c r="E888" s="22" t="s">
        <v>5667</v>
      </c>
      <c r="F888" s="24" t="s">
        <v>5668</v>
      </c>
      <c r="G888" s="23" t="s">
        <v>32</v>
      </c>
      <c r="H888" s="22" t="s">
        <v>226</v>
      </c>
      <c r="I888" s="22" t="s">
        <v>172</v>
      </c>
      <c r="J888" s="22" t="s">
        <v>118</v>
      </c>
      <c r="K888" s="24" t="s">
        <v>7946</v>
      </c>
      <c r="L888" s="24"/>
      <c r="M888" s="25" t="s">
        <v>5669</v>
      </c>
      <c r="N888" s="22"/>
      <c r="O888" s="22" t="s">
        <v>5670</v>
      </c>
      <c r="P888" s="22" t="str">
        <f>HYPERLINK("https://ceds.ed.gov/cedselementdetails.aspx?termid=21525")</f>
        <v>https://ceds.ed.gov/cedselementdetails.aspx?termid=21525</v>
      </c>
      <c r="Q888" s="22">
        <v>58869</v>
      </c>
    </row>
    <row r="889" spans="1:17" ht="100.8" x14ac:dyDescent="0.3">
      <c r="A889" s="22" t="s">
        <v>7779</v>
      </c>
      <c r="B889" s="22" t="s">
        <v>7781</v>
      </c>
      <c r="C889" s="22" t="s">
        <v>7721</v>
      </c>
      <c r="D889" s="22" t="s">
        <v>7710</v>
      </c>
      <c r="E889" s="22" t="s">
        <v>6648</v>
      </c>
      <c r="F889" s="24" t="s">
        <v>6649</v>
      </c>
      <c r="G889" s="26" t="s">
        <v>9136</v>
      </c>
      <c r="H889" s="22" t="s">
        <v>226</v>
      </c>
      <c r="I889" s="22"/>
      <c r="J889" s="22"/>
      <c r="K889" s="24"/>
      <c r="L889" s="24"/>
      <c r="M889" s="25" t="s">
        <v>6650</v>
      </c>
      <c r="N889" s="22"/>
      <c r="O889" s="22" t="s">
        <v>6651</v>
      </c>
      <c r="P889" s="22" t="str">
        <f>HYPERLINK("https://ceds.ed.gov/cedselementdetails.aspx?termid=21240")</f>
        <v>https://ceds.ed.gov/cedselementdetails.aspx?termid=21240</v>
      </c>
      <c r="Q889" s="22">
        <v>58844</v>
      </c>
    </row>
    <row r="890" spans="1:17" ht="409.6" x14ac:dyDescent="0.3">
      <c r="A890" s="22" t="s">
        <v>7779</v>
      </c>
      <c r="B890" s="22" t="s">
        <v>7781</v>
      </c>
      <c r="C890" s="22" t="s">
        <v>7721</v>
      </c>
      <c r="D890" s="22" t="s">
        <v>7710</v>
      </c>
      <c r="E890" s="22" t="s">
        <v>6230</v>
      </c>
      <c r="F890" s="24" t="s">
        <v>6231</v>
      </c>
      <c r="G890" s="26" t="s">
        <v>8506</v>
      </c>
      <c r="H890" s="24" t="s">
        <v>64</v>
      </c>
      <c r="I890" s="22" t="s">
        <v>172</v>
      </c>
      <c r="J890" s="22"/>
      <c r="K890" s="24" t="s">
        <v>8285</v>
      </c>
      <c r="L890" s="24"/>
      <c r="M890" s="25" t="s">
        <v>6232</v>
      </c>
      <c r="N890" s="22"/>
      <c r="O890" s="22" t="s">
        <v>6233</v>
      </c>
      <c r="P890" s="22" t="str">
        <f>HYPERLINK("https://ceds.ed.gov/cedselementdetails.aspx?termid=21225")</f>
        <v>https://ceds.ed.gov/cedselementdetails.aspx?termid=21225</v>
      </c>
      <c r="Q890" s="22">
        <v>58839</v>
      </c>
    </row>
    <row r="891" spans="1:17" ht="100.8" x14ac:dyDescent="0.3">
      <c r="A891" s="22" t="s">
        <v>7779</v>
      </c>
      <c r="B891" s="22" t="s">
        <v>7781</v>
      </c>
      <c r="C891" s="22" t="s">
        <v>7721</v>
      </c>
      <c r="D891" s="22" t="s">
        <v>7710</v>
      </c>
      <c r="E891" s="22" t="s">
        <v>356</v>
      </c>
      <c r="F891" s="24" t="s">
        <v>357</v>
      </c>
      <c r="G891" s="26" t="s">
        <v>8600</v>
      </c>
      <c r="H891" s="22" t="s">
        <v>25</v>
      </c>
      <c r="I891" s="22"/>
      <c r="J891" s="22"/>
      <c r="K891" s="24"/>
      <c r="L891" s="24"/>
      <c r="M891" s="25" t="s">
        <v>358</v>
      </c>
      <c r="N891" s="22"/>
      <c r="O891" s="22" t="s">
        <v>359</v>
      </c>
      <c r="P891" s="22" t="str">
        <f>HYPERLINK("https://ceds.ed.gov/cedselementdetails.aspx?termid=21015")</f>
        <v>https://ceds.ed.gov/cedselementdetails.aspx?termid=21015</v>
      </c>
      <c r="Q891" s="22">
        <v>58815</v>
      </c>
    </row>
    <row r="892" spans="1:17" ht="57.6" x14ac:dyDescent="0.3">
      <c r="A892" s="22" t="s">
        <v>7779</v>
      </c>
      <c r="B892" s="22" t="s">
        <v>7781</v>
      </c>
      <c r="C892" s="22" t="s">
        <v>7721</v>
      </c>
      <c r="D892" s="22" t="s">
        <v>7710</v>
      </c>
      <c r="E892" s="22" t="s">
        <v>310</v>
      </c>
      <c r="F892" s="24" t="s">
        <v>311</v>
      </c>
      <c r="G892" s="26" t="s">
        <v>22</v>
      </c>
      <c r="H892" s="22" t="s">
        <v>25</v>
      </c>
      <c r="I892" s="22"/>
      <c r="J892" s="22"/>
      <c r="K892" s="24"/>
      <c r="L892" s="24"/>
      <c r="M892" s="25" t="s">
        <v>312</v>
      </c>
      <c r="N892" s="22" t="s">
        <v>313</v>
      </c>
      <c r="O892" s="22" t="s">
        <v>314</v>
      </c>
      <c r="P892" s="22" t="str">
        <f>HYPERLINK("https://ceds.ed.gov/cedselementdetails.aspx?termid=21017")</f>
        <v>https://ceds.ed.gov/cedselementdetails.aspx?termid=21017</v>
      </c>
      <c r="Q892" s="22">
        <v>58816</v>
      </c>
    </row>
    <row r="893" spans="1:17" ht="115.2" x14ac:dyDescent="0.3">
      <c r="A893" s="22" t="s">
        <v>7779</v>
      </c>
      <c r="B893" s="22" t="s">
        <v>7781</v>
      </c>
      <c r="C893" s="22" t="s">
        <v>7721</v>
      </c>
      <c r="D893" s="22" t="s">
        <v>7710</v>
      </c>
      <c r="E893" s="22" t="s">
        <v>1987</v>
      </c>
      <c r="F893" s="24" t="s">
        <v>1988</v>
      </c>
      <c r="G893" s="26" t="s">
        <v>22</v>
      </c>
      <c r="H893" s="24" t="s">
        <v>64</v>
      </c>
      <c r="I893" s="22"/>
      <c r="J893" s="22"/>
      <c r="K893" s="24"/>
      <c r="L893" s="24" t="s">
        <v>1990</v>
      </c>
      <c r="M893" s="25" t="s">
        <v>1991</v>
      </c>
      <c r="N893" s="22"/>
      <c r="O893" s="22" t="s">
        <v>1992</v>
      </c>
      <c r="P893" s="22" t="str">
        <f>HYPERLINK("https://ceds.ed.gov/cedselementdetails.aspx?termid=21039")</f>
        <v>https://ceds.ed.gov/cedselementdetails.aspx?termid=21039</v>
      </c>
      <c r="Q893" s="22">
        <v>58817</v>
      </c>
    </row>
    <row r="894" spans="1:17" ht="57.6" x14ac:dyDescent="0.3">
      <c r="A894" s="22" t="s">
        <v>7779</v>
      </c>
      <c r="B894" s="22" t="s">
        <v>7781</v>
      </c>
      <c r="C894" s="22" t="s">
        <v>7721</v>
      </c>
      <c r="D894" s="22" t="s">
        <v>7710</v>
      </c>
      <c r="E894" s="22" t="s">
        <v>2002</v>
      </c>
      <c r="F894" s="24" t="s">
        <v>2003</v>
      </c>
      <c r="G894" s="26" t="s">
        <v>8719</v>
      </c>
      <c r="H894" s="22"/>
      <c r="I894" s="22"/>
      <c r="J894" s="22"/>
      <c r="K894" s="24"/>
      <c r="L894" s="24"/>
      <c r="M894" s="25" t="s">
        <v>2004</v>
      </c>
      <c r="N894" s="22"/>
      <c r="O894" s="22" t="s">
        <v>2005</v>
      </c>
      <c r="P894" s="22" t="str">
        <f>HYPERLINK("https://ceds.ed.gov/cedselementdetails.aspx?termid=21686")</f>
        <v>https://ceds.ed.gov/cedselementdetails.aspx?termid=21686</v>
      </c>
      <c r="Q894" s="22">
        <v>58881</v>
      </c>
    </row>
    <row r="895" spans="1:17" ht="57.6" x14ac:dyDescent="0.3">
      <c r="A895" s="22" t="s">
        <v>7779</v>
      </c>
      <c r="B895" s="22" t="s">
        <v>7781</v>
      </c>
      <c r="C895" s="22" t="s">
        <v>7721</v>
      </c>
      <c r="D895" s="22" t="s">
        <v>7710</v>
      </c>
      <c r="E895" s="22" t="s">
        <v>1979</v>
      </c>
      <c r="F895" s="24" t="s">
        <v>1980</v>
      </c>
      <c r="G895" s="23" t="s">
        <v>32</v>
      </c>
      <c r="H895" s="22" t="s">
        <v>226</v>
      </c>
      <c r="I895" s="22"/>
      <c r="J895" s="22" t="s">
        <v>85</v>
      </c>
      <c r="K895" s="24"/>
      <c r="L895" s="24"/>
      <c r="M895" s="25" t="s">
        <v>1981</v>
      </c>
      <c r="N895" s="22"/>
      <c r="O895" s="22" t="s">
        <v>1982</v>
      </c>
      <c r="P895" s="22" t="str">
        <f>HYPERLINK("https://ceds.ed.gov/cedselementdetails.aspx?termid=22632")</f>
        <v>https://ceds.ed.gov/cedselementdetails.aspx?termid=22632</v>
      </c>
      <c r="Q895" s="22">
        <v>62346</v>
      </c>
    </row>
    <row r="896" spans="1:17" ht="72" x14ac:dyDescent="0.3">
      <c r="A896" s="22" t="s">
        <v>7779</v>
      </c>
      <c r="B896" s="22" t="s">
        <v>7781</v>
      </c>
      <c r="C896" s="22" t="s">
        <v>7721</v>
      </c>
      <c r="D896" s="22" t="s">
        <v>7710</v>
      </c>
      <c r="E896" s="22" t="s">
        <v>1975</v>
      </c>
      <c r="F896" s="24" t="s">
        <v>1976</v>
      </c>
      <c r="G896" s="23" t="s">
        <v>32</v>
      </c>
      <c r="H896" s="22" t="s">
        <v>226</v>
      </c>
      <c r="I896" s="22"/>
      <c r="J896" s="22" t="s">
        <v>118</v>
      </c>
      <c r="K896" s="24"/>
      <c r="L896" s="24"/>
      <c r="M896" s="25" t="s">
        <v>1977</v>
      </c>
      <c r="N896" s="22"/>
      <c r="O896" s="22" t="s">
        <v>1978</v>
      </c>
      <c r="P896" s="22" t="str">
        <f>HYPERLINK("https://ceds.ed.gov/cedselementdetails.aspx?termid=22633")</f>
        <v>https://ceds.ed.gov/cedselementdetails.aspx?termid=22633</v>
      </c>
      <c r="Q896" s="22">
        <v>62347</v>
      </c>
    </row>
    <row r="897" spans="1:17" ht="28.8" x14ac:dyDescent="0.3">
      <c r="A897" s="22" t="s">
        <v>7779</v>
      </c>
      <c r="B897" s="22" t="s">
        <v>7781</v>
      </c>
      <c r="C897" s="22" t="s">
        <v>7721</v>
      </c>
      <c r="D897" s="22" t="s">
        <v>7710</v>
      </c>
      <c r="E897" s="22" t="s">
        <v>1966</v>
      </c>
      <c r="F897" s="24" t="s">
        <v>1967</v>
      </c>
      <c r="G897" s="23" t="s">
        <v>32</v>
      </c>
      <c r="H897" s="22"/>
      <c r="I897" s="22"/>
      <c r="J897" s="22" t="s">
        <v>79</v>
      </c>
      <c r="K897" s="24"/>
      <c r="L897" s="24"/>
      <c r="M897" s="25" t="s">
        <v>1968</v>
      </c>
      <c r="N897" s="22"/>
      <c r="O897" s="22" t="s">
        <v>1969</v>
      </c>
      <c r="P897" s="22" t="str">
        <f>HYPERLINK("https://ceds.ed.gov/cedselementdetails.aspx?termid=22259")</f>
        <v>https://ceds.ed.gov/cedselementdetails.aspx?termid=22259</v>
      </c>
      <c r="Q897" s="22">
        <v>61087</v>
      </c>
    </row>
    <row r="898" spans="1:17" ht="72" x14ac:dyDescent="0.3">
      <c r="A898" s="22" t="s">
        <v>7779</v>
      </c>
      <c r="B898" s="22" t="s">
        <v>7781</v>
      </c>
      <c r="C898" s="22" t="s">
        <v>7721</v>
      </c>
      <c r="D898" s="22" t="s">
        <v>7710</v>
      </c>
      <c r="E898" s="22" t="s">
        <v>1983</v>
      </c>
      <c r="F898" s="24" t="s">
        <v>1984</v>
      </c>
      <c r="G898" s="23" t="s">
        <v>32</v>
      </c>
      <c r="H898" s="22" t="s">
        <v>226</v>
      </c>
      <c r="I898" s="22"/>
      <c r="J898" s="22" t="s">
        <v>118</v>
      </c>
      <c r="K898" s="24"/>
      <c r="L898" s="24"/>
      <c r="M898" s="25" t="s">
        <v>1985</v>
      </c>
      <c r="N898" s="22"/>
      <c r="O898" s="22" t="s">
        <v>1986</v>
      </c>
      <c r="P898" s="22" t="str">
        <f>HYPERLINK("https://ceds.ed.gov/cedselementdetails.aspx?termid=22634")</f>
        <v>https://ceds.ed.gov/cedselementdetails.aspx?termid=22634</v>
      </c>
      <c r="Q898" s="22">
        <v>62348</v>
      </c>
    </row>
    <row r="899" spans="1:17" ht="43.2" x14ac:dyDescent="0.3">
      <c r="A899" s="22" t="s">
        <v>7779</v>
      </c>
      <c r="B899" s="22" t="s">
        <v>7781</v>
      </c>
      <c r="C899" s="22" t="s">
        <v>7721</v>
      </c>
      <c r="D899" s="22" t="s">
        <v>7710</v>
      </c>
      <c r="E899" s="22" t="s">
        <v>1998</v>
      </c>
      <c r="F899" s="24" t="s">
        <v>1999</v>
      </c>
      <c r="G899" s="26" t="s">
        <v>22</v>
      </c>
      <c r="H899" s="22"/>
      <c r="I899" s="22"/>
      <c r="J899" s="22"/>
      <c r="K899" s="24"/>
      <c r="L899" s="24"/>
      <c r="M899" s="25" t="s">
        <v>2000</v>
      </c>
      <c r="N899" s="22"/>
      <c r="O899" s="22" t="s">
        <v>2001</v>
      </c>
      <c r="P899" s="22" t="str">
        <f>HYPERLINK("https://ceds.ed.gov/cedselementdetails.aspx?termid=22524")</f>
        <v>https://ceds.ed.gov/cedselementdetails.aspx?termid=22524</v>
      </c>
      <c r="Q899" s="22">
        <v>61831</v>
      </c>
    </row>
    <row r="900" spans="1:17" ht="86.4" x14ac:dyDescent="0.3">
      <c r="A900" s="22" t="s">
        <v>7779</v>
      </c>
      <c r="B900" s="22" t="s">
        <v>7781</v>
      </c>
      <c r="C900" s="22" t="s">
        <v>7721</v>
      </c>
      <c r="D900" s="22" t="s">
        <v>7710</v>
      </c>
      <c r="E900" s="22" t="s">
        <v>6768</v>
      </c>
      <c r="F900" s="24" t="s">
        <v>6769</v>
      </c>
      <c r="G900" s="26" t="s">
        <v>22</v>
      </c>
      <c r="H900" s="22" t="s">
        <v>226</v>
      </c>
      <c r="I900" s="22"/>
      <c r="J900" s="22"/>
      <c r="K900" s="24"/>
      <c r="L900" s="24"/>
      <c r="M900" s="25" t="s">
        <v>6770</v>
      </c>
      <c r="N900" s="22"/>
      <c r="O900" s="22" t="s">
        <v>6771</v>
      </c>
      <c r="P900" s="22" t="str">
        <f>HYPERLINK("https://ceds.ed.gov/cedselementdetails.aspx?termid=21257")</f>
        <v>https://ceds.ed.gov/cedselementdetails.aspx?termid=21257</v>
      </c>
      <c r="Q900" s="22">
        <v>58849</v>
      </c>
    </row>
    <row r="901" spans="1:17" ht="115.2" x14ac:dyDescent="0.3">
      <c r="A901" s="22" t="s">
        <v>7779</v>
      </c>
      <c r="B901" s="22" t="s">
        <v>7781</v>
      </c>
      <c r="C901" s="22" t="s">
        <v>7721</v>
      </c>
      <c r="D901" s="22" t="s">
        <v>7710</v>
      </c>
      <c r="E901" s="22" t="s">
        <v>7335</v>
      </c>
      <c r="F901" s="24" t="s">
        <v>8347</v>
      </c>
      <c r="G901" s="26" t="s">
        <v>22</v>
      </c>
      <c r="H901" s="22"/>
      <c r="I901" s="22" t="s">
        <v>172</v>
      </c>
      <c r="J901" s="22"/>
      <c r="K901" s="24" t="s">
        <v>8348</v>
      </c>
      <c r="L901" s="24"/>
      <c r="M901" s="25" t="s">
        <v>7336</v>
      </c>
      <c r="N901" s="22"/>
      <c r="O901" s="22" t="s">
        <v>7337</v>
      </c>
      <c r="P901" s="22" t="str">
        <f>HYPERLINK("https://ceds.ed.gov/cedselementdetails.aspx?termid=22167")</f>
        <v>https://ceds.ed.gov/cedselementdetails.aspx?termid=22167</v>
      </c>
      <c r="Q901" s="22">
        <v>59575</v>
      </c>
    </row>
    <row r="902" spans="1:17" ht="28.8" x14ac:dyDescent="0.3">
      <c r="A902" s="22" t="s">
        <v>7779</v>
      </c>
      <c r="B902" s="22" t="s">
        <v>7781</v>
      </c>
      <c r="C902" s="22" t="s">
        <v>7721</v>
      </c>
      <c r="D902" s="22" t="s">
        <v>7710</v>
      </c>
      <c r="E902" s="22" t="s">
        <v>7370</v>
      </c>
      <c r="F902" s="24" t="s">
        <v>7371</v>
      </c>
      <c r="G902" s="23" t="s">
        <v>32</v>
      </c>
      <c r="H902" s="22" t="s">
        <v>226</v>
      </c>
      <c r="I902" s="22" t="s">
        <v>172</v>
      </c>
      <c r="J902" s="22" t="s">
        <v>113</v>
      </c>
      <c r="K902" s="24" t="s">
        <v>7946</v>
      </c>
      <c r="L902" s="24"/>
      <c r="M902" s="25" t="s">
        <v>7372</v>
      </c>
      <c r="N902" s="22"/>
      <c r="O902" s="22" t="s">
        <v>7373</v>
      </c>
      <c r="P902" s="22" t="str">
        <f>HYPERLINK("https://ceds.ed.gov/cedselementdetails.aspx?termid=21300")</f>
        <v>https://ceds.ed.gov/cedselementdetails.aspx?termid=21300</v>
      </c>
      <c r="Q902" s="22">
        <v>58856</v>
      </c>
    </row>
    <row r="903" spans="1:17" ht="43.2" x14ac:dyDescent="0.3">
      <c r="A903" s="22" t="s">
        <v>7779</v>
      </c>
      <c r="B903" s="22" t="s">
        <v>7781</v>
      </c>
      <c r="C903" s="22" t="s">
        <v>7721</v>
      </c>
      <c r="D903" s="22" t="s">
        <v>7710</v>
      </c>
      <c r="E903" s="22" t="s">
        <v>4842</v>
      </c>
      <c r="F903" s="24" t="s">
        <v>4843</v>
      </c>
      <c r="G903" s="26" t="s">
        <v>8463</v>
      </c>
      <c r="H903" s="22" t="s">
        <v>226</v>
      </c>
      <c r="I903" s="22" t="s">
        <v>172</v>
      </c>
      <c r="J903" s="22"/>
      <c r="K903" s="24" t="s">
        <v>7946</v>
      </c>
      <c r="L903" s="24"/>
      <c r="M903" s="25" t="s">
        <v>4844</v>
      </c>
      <c r="N903" s="22"/>
      <c r="O903" s="22" t="s">
        <v>4845</v>
      </c>
      <c r="P903" s="22" t="str">
        <f>HYPERLINK("https://ceds.ed.gov/cedselementdetails.aspx?termid=21580")</f>
        <v>https://ceds.ed.gov/cedselementdetails.aspx?termid=21580</v>
      </c>
      <c r="Q903" s="22">
        <v>58875</v>
      </c>
    </row>
    <row r="904" spans="1:17" ht="86.4" x14ac:dyDescent="0.3">
      <c r="A904" s="22" t="s">
        <v>7779</v>
      </c>
      <c r="B904" s="22" t="s">
        <v>7781</v>
      </c>
      <c r="C904" s="22" t="s">
        <v>7721</v>
      </c>
      <c r="D904" s="22" t="s">
        <v>7710</v>
      </c>
      <c r="E904" s="22" t="s">
        <v>7338</v>
      </c>
      <c r="F904" s="24" t="s">
        <v>8349</v>
      </c>
      <c r="G904" s="26" t="s">
        <v>8557</v>
      </c>
      <c r="H904" s="22"/>
      <c r="I904" s="22" t="s">
        <v>172</v>
      </c>
      <c r="J904" s="22"/>
      <c r="K904" s="24" t="s">
        <v>8348</v>
      </c>
      <c r="L904" s="24"/>
      <c r="M904" s="25" t="s">
        <v>7339</v>
      </c>
      <c r="N904" s="22"/>
      <c r="O904" s="22" t="s">
        <v>7340</v>
      </c>
      <c r="P904" s="22" t="str">
        <f>HYPERLINK("https://ceds.ed.gov/cedselementdetails.aspx?termid=22747")</f>
        <v>https://ceds.ed.gov/cedselementdetails.aspx?termid=22747</v>
      </c>
      <c r="Q904" s="22">
        <v>63145</v>
      </c>
    </row>
    <row r="905" spans="1:17" ht="144" x14ac:dyDescent="0.3">
      <c r="A905" s="22" t="s">
        <v>7779</v>
      </c>
      <c r="B905" s="22" t="s">
        <v>7781</v>
      </c>
      <c r="C905" s="22" t="s">
        <v>7721</v>
      </c>
      <c r="D905" s="22" t="s">
        <v>7710</v>
      </c>
      <c r="E905" s="22" t="s">
        <v>1559</v>
      </c>
      <c r="F905" s="24" t="s">
        <v>1560</v>
      </c>
      <c r="G905" s="26" t="s">
        <v>8407</v>
      </c>
      <c r="H905" s="22"/>
      <c r="I905" s="22" t="s">
        <v>172</v>
      </c>
      <c r="J905" s="22"/>
      <c r="K905" s="24" t="s">
        <v>7946</v>
      </c>
      <c r="L905" s="24" t="s">
        <v>1561</v>
      </c>
      <c r="M905" s="25" t="s">
        <v>1562</v>
      </c>
      <c r="N905" s="22"/>
      <c r="O905" s="22" t="s">
        <v>1563</v>
      </c>
      <c r="P905" s="22" t="str">
        <f>HYPERLINK("https://ceds.ed.gov/cedselementdetails.aspx?termid=22253")</f>
        <v>https://ceds.ed.gov/cedselementdetails.aspx?termid=22253</v>
      </c>
      <c r="Q905" s="22">
        <v>63169</v>
      </c>
    </row>
    <row r="906" spans="1:17" ht="57.6" x14ac:dyDescent="0.3">
      <c r="A906" s="22" t="s">
        <v>7779</v>
      </c>
      <c r="B906" s="22" t="s">
        <v>7781</v>
      </c>
      <c r="C906" s="22" t="s">
        <v>7721</v>
      </c>
      <c r="D906" s="22" t="s">
        <v>7710</v>
      </c>
      <c r="E906" s="22" t="s">
        <v>6234</v>
      </c>
      <c r="F906" s="24" t="s">
        <v>6235</v>
      </c>
      <c r="G906" s="26" t="s">
        <v>9112</v>
      </c>
      <c r="H906" s="22"/>
      <c r="I906" s="22"/>
      <c r="J906" s="22"/>
      <c r="K906" s="24"/>
      <c r="L906" s="24"/>
      <c r="M906" s="25" t="s">
        <v>6236</v>
      </c>
      <c r="N906" s="22"/>
      <c r="O906" s="22" t="s">
        <v>6237</v>
      </c>
      <c r="P906" s="22" t="str">
        <f>HYPERLINK("https://ceds.ed.gov/cedselementdetails.aspx?termid=22896")</f>
        <v>https://ceds.ed.gov/cedselementdetails.aspx?termid=22896</v>
      </c>
      <c r="Q906" s="22">
        <v>63195</v>
      </c>
    </row>
    <row r="907" spans="1:17" ht="57.6" x14ac:dyDescent="0.3">
      <c r="A907" s="22" t="s">
        <v>7779</v>
      </c>
      <c r="B907" s="22" t="s">
        <v>7781</v>
      </c>
      <c r="C907" s="22" t="s">
        <v>7721</v>
      </c>
      <c r="D907" s="22" t="s">
        <v>7710</v>
      </c>
      <c r="E907" s="22" t="s">
        <v>6238</v>
      </c>
      <c r="F907" s="24" t="s">
        <v>6239</v>
      </c>
      <c r="G907" s="23" t="s">
        <v>32</v>
      </c>
      <c r="H907" s="22"/>
      <c r="I907" s="22"/>
      <c r="J907" s="22"/>
      <c r="K907" s="24"/>
      <c r="L907" s="24"/>
      <c r="M907" s="25" t="s">
        <v>6240</v>
      </c>
      <c r="N907" s="22"/>
      <c r="O907" s="22" t="s">
        <v>6241</v>
      </c>
      <c r="P907" s="22" t="str">
        <f>HYPERLINK("https://ceds.ed.gov/cedselementdetails.aspx?termid=22897")</f>
        <v>https://ceds.ed.gov/cedselementdetails.aspx?termid=22897</v>
      </c>
      <c r="Q907" s="22">
        <v>63196</v>
      </c>
    </row>
    <row r="908" spans="1:17" ht="331.2" x14ac:dyDescent="0.3">
      <c r="A908" s="22" t="s">
        <v>7779</v>
      </c>
      <c r="B908" s="22" t="s">
        <v>7781</v>
      </c>
      <c r="C908" s="22" t="s">
        <v>7721</v>
      </c>
      <c r="D908" s="22" t="s">
        <v>7710</v>
      </c>
      <c r="E908" s="22" t="s">
        <v>4199</v>
      </c>
      <c r="F908" s="24" t="s">
        <v>4200</v>
      </c>
      <c r="G908" s="26" t="s">
        <v>8458</v>
      </c>
      <c r="H908" s="22"/>
      <c r="I908" s="22" t="s">
        <v>172</v>
      </c>
      <c r="J908" s="22"/>
      <c r="K908" s="24" t="s">
        <v>8003</v>
      </c>
      <c r="L908" s="24"/>
      <c r="M908" s="25" t="s">
        <v>4201</v>
      </c>
      <c r="N908" s="22"/>
      <c r="O908" s="22" t="s">
        <v>4202</v>
      </c>
      <c r="P908" s="22" t="str">
        <f>HYPERLINK("https://ceds.ed.gov/cedselementdetails.aspx?termid=22907")</f>
        <v>https://ceds.ed.gov/cedselementdetails.aspx?termid=22907</v>
      </c>
      <c r="Q908" s="22">
        <v>63315</v>
      </c>
    </row>
    <row r="909" spans="1:17" ht="43.2" x14ac:dyDescent="0.3">
      <c r="A909" s="22" t="s">
        <v>7779</v>
      </c>
      <c r="B909" s="22" t="s">
        <v>7781</v>
      </c>
      <c r="C909" s="22" t="s">
        <v>7721</v>
      </c>
      <c r="D909" s="22" t="s">
        <v>7741</v>
      </c>
      <c r="E909" s="22" t="s">
        <v>8109</v>
      </c>
      <c r="F909" s="24" t="s">
        <v>8110</v>
      </c>
      <c r="G909" s="23" t="s">
        <v>32</v>
      </c>
      <c r="H909" s="22"/>
      <c r="I909" s="22" t="s">
        <v>167</v>
      </c>
      <c r="J909" s="22" t="s">
        <v>1699</v>
      </c>
      <c r="K909" s="24" t="s">
        <v>7949</v>
      </c>
      <c r="L909" s="24" t="s">
        <v>8111</v>
      </c>
      <c r="M909" s="25" t="s">
        <v>8358</v>
      </c>
      <c r="N909" s="22"/>
      <c r="O909" s="22" t="s">
        <v>8112</v>
      </c>
      <c r="P909" s="22" t="str">
        <f>HYPERLINK("https://ceds.ed.gov/cedselementdetails.aspx?termid=22979")</f>
        <v>https://ceds.ed.gov/cedselementdetails.aspx?termid=22979</v>
      </c>
      <c r="Q909" s="22">
        <v>63893</v>
      </c>
    </row>
    <row r="910" spans="1:17" ht="100.8" x14ac:dyDescent="0.3">
      <c r="A910" s="22" t="s">
        <v>7779</v>
      </c>
      <c r="B910" s="22" t="s">
        <v>7781</v>
      </c>
      <c r="C910" s="22" t="s">
        <v>7721</v>
      </c>
      <c r="D910" s="22" t="s">
        <v>7741</v>
      </c>
      <c r="E910" s="22" t="s">
        <v>8221</v>
      </c>
      <c r="F910" s="24" t="s">
        <v>8222</v>
      </c>
      <c r="G910" s="26" t="s">
        <v>22</v>
      </c>
      <c r="H910" s="22"/>
      <c r="I910" s="22" t="s">
        <v>167</v>
      </c>
      <c r="J910" s="22" t="s">
        <v>2</v>
      </c>
      <c r="K910" s="24" t="s">
        <v>7949</v>
      </c>
      <c r="L910" s="24"/>
      <c r="M910" s="25" t="s">
        <v>8368</v>
      </c>
      <c r="N910" s="22"/>
      <c r="O910" s="22" t="s">
        <v>8223</v>
      </c>
      <c r="P910" s="22" t="str">
        <f>HYPERLINK("https://ceds.ed.gov/cedselementdetails.aspx?termid=22989")</f>
        <v>https://ceds.ed.gov/cedselementdetails.aspx?termid=22989</v>
      </c>
      <c r="Q910" s="22">
        <v>63894</v>
      </c>
    </row>
    <row r="911" spans="1:17" ht="43.2" x14ac:dyDescent="0.3">
      <c r="A911" s="22" t="s">
        <v>7779</v>
      </c>
      <c r="B911" s="22" t="s">
        <v>7781</v>
      </c>
      <c r="C911" s="22" t="s">
        <v>7721</v>
      </c>
      <c r="D911" s="22" t="s">
        <v>7741</v>
      </c>
      <c r="E911" s="22" t="s">
        <v>8275</v>
      </c>
      <c r="F911" s="24" t="s">
        <v>8276</v>
      </c>
      <c r="G911" s="26" t="s">
        <v>22</v>
      </c>
      <c r="H911" s="22"/>
      <c r="I911" s="22" t="s">
        <v>167</v>
      </c>
      <c r="J911" s="22" t="s">
        <v>2</v>
      </c>
      <c r="K911" s="24" t="s">
        <v>7949</v>
      </c>
      <c r="L911" s="24" t="s">
        <v>8277</v>
      </c>
      <c r="M911" s="25" t="s">
        <v>8369</v>
      </c>
      <c r="N911" s="22"/>
      <c r="O911" s="22" t="s">
        <v>8278</v>
      </c>
      <c r="P911" s="22" t="str">
        <f>HYPERLINK("https://ceds.ed.gov/cedselementdetails.aspx?termid=22990")</f>
        <v>https://ceds.ed.gov/cedselementdetails.aspx?termid=22990</v>
      </c>
      <c r="Q911" s="22">
        <v>63895</v>
      </c>
    </row>
    <row r="912" spans="1:17" ht="100.8" x14ac:dyDescent="0.3">
      <c r="A912" s="22" t="s">
        <v>7779</v>
      </c>
      <c r="B912" s="22" t="s">
        <v>7781</v>
      </c>
      <c r="C912" s="22" t="s">
        <v>7721</v>
      </c>
      <c r="D912" s="22" t="s">
        <v>7741</v>
      </c>
      <c r="E912" s="22" t="s">
        <v>8286</v>
      </c>
      <c r="F912" s="24" t="s">
        <v>8287</v>
      </c>
      <c r="G912" s="26" t="s">
        <v>22</v>
      </c>
      <c r="H912" s="22"/>
      <c r="I912" s="22" t="s">
        <v>167</v>
      </c>
      <c r="J912" s="22" t="s">
        <v>2</v>
      </c>
      <c r="K912" s="24" t="s">
        <v>7949</v>
      </c>
      <c r="L912" s="24"/>
      <c r="M912" s="25" t="s">
        <v>8370</v>
      </c>
      <c r="N912" s="22"/>
      <c r="O912" s="22" t="s">
        <v>8288</v>
      </c>
      <c r="P912" s="22" t="str">
        <f>HYPERLINK("https://ceds.ed.gov/cedselementdetails.aspx?termid=22991")</f>
        <v>https://ceds.ed.gov/cedselementdetails.aspx?termid=22991</v>
      </c>
      <c r="Q912" s="22">
        <v>63896</v>
      </c>
    </row>
    <row r="913" spans="1:17" ht="72" x14ac:dyDescent="0.3">
      <c r="A913" s="22" t="s">
        <v>7779</v>
      </c>
      <c r="B913" s="22" t="s">
        <v>7781</v>
      </c>
      <c r="C913" s="22" t="s">
        <v>7721</v>
      </c>
      <c r="D913" s="22" t="s">
        <v>7741</v>
      </c>
      <c r="E913" s="22" t="s">
        <v>8289</v>
      </c>
      <c r="F913" s="24" t="s">
        <v>8290</v>
      </c>
      <c r="G913" s="26" t="s">
        <v>8381</v>
      </c>
      <c r="H913" s="22"/>
      <c r="I913" s="22" t="s">
        <v>167</v>
      </c>
      <c r="J913" s="22" t="s">
        <v>2</v>
      </c>
      <c r="K913" s="24" t="s">
        <v>7949</v>
      </c>
      <c r="L913" s="24" t="s">
        <v>8291</v>
      </c>
      <c r="M913" s="25" t="s">
        <v>8371</v>
      </c>
      <c r="N913" s="22"/>
      <c r="O913" s="22" t="s">
        <v>8292</v>
      </c>
      <c r="P913" s="22" t="str">
        <f>HYPERLINK("https://ceds.ed.gov/cedselementdetails.aspx?termid=22992")</f>
        <v>https://ceds.ed.gov/cedselementdetails.aspx?termid=22992</v>
      </c>
      <c r="Q913" s="22">
        <v>63897</v>
      </c>
    </row>
    <row r="914" spans="1:17" ht="172.8" x14ac:dyDescent="0.3">
      <c r="A914" s="22" t="s">
        <v>7779</v>
      </c>
      <c r="B914" s="22" t="s">
        <v>7781</v>
      </c>
      <c r="C914" s="22" t="s">
        <v>7782</v>
      </c>
      <c r="D914" s="22" t="s">
        <v>7710</v>
      </c>
      <c r="E914" s="22" t="s">
        <v>5683</v>
      </c>
      <c r="F914" s="24" t="s">
        <v>5684</v>
      </c>
      <c r="G914" s="23" t="s">
        <v>32</v>
      </c>
      <c r="H914" s="22" t="s">
        <v>109</v>
      </c>
      <c r="I914" s="22" t="s">
        <v>172</v>
      </c>
      <c r="J914" s="22" t="s">
        <v>132</v>
      </c>
      <c r="K914" s="24" t="s">
        <v>7946</v>
      </c>
      <c r="L914" s="24" t="s">
        <v>7945</v>
      </c>
      <c r="M914" s="25" t="s">
        <v>5685</v>
      </c>
      <c r="N914" s="22"/>
      <c r="O914" s="22" t="s">
        <v>5686</v>
      </c>
      <c r="P914" s="22" t="str">
        <f>HYPERLINK("https://ceds.ed.gov/cedselementdetails.aspx?termid=21825")</f>
        <v>https://ceds.ed.gov/cedselementdetails.aspx?termid=21825</v>
      </c>
      <c r="Q914" s="22">
        <v>62299</v>
      </c>
    </row>
    <row r="915" spans="1:17" ht="187.2" x14ac:dyDescent="0.3">
      <c r="A915" s="22" t="s">
        <v>7779</v>
      </c>
      <c r="B915" s="22" t="s">
        <v>7781</v>
      </c>
      <c r="C915" s="22" t="s">
        <v>7782</v>
      </c>
      <c r="D915" s="22" t="s">
        <v>7710</v>
      </c>
      <c r="E915" s="22" t="s">
        <v>5679</v>
      </c>
      <c r="F915" s="24" t="s">
        <v>5680</v>
      </c>
      <c r="G915" s="26" t="s">
        <v>8485</v>
      </c>
      <c r="H915" s="22" t="s">
        <v>109</v>
      </c>
      <c r="I915" s="22" t="s">
        <v>172</v>
      </c>
      <c r="J915" s="22"/>
      <c r="K915" s="24" t="s">
        <v>7946</v>
      </c>
      <c r="L915" s="24"/>
      <c r="M915" s="25" t="s">
        <v>5681</v>
      </c>
      <c r="N915" s="22"/>
      <c r="O915" s="22" t="s">
        <v>5682</v>
      </c>
      <c r="P915" s="22" t="str">
        <f>HYPERLINK("https://ceds.ed.gov/cedselementdetails.aspx?termid=21827")</f>
        <v>https://ceds.ed.gov/cedselementdetails.aspx?termid=21827</v>
      </c>
      <c r="Q915" s="22">
        <v>62300</v>
      </c>
    </row>
    <row r="916" spans="1:17" ht="144" x14ac:dyDescent="0.3">
      <c r="A916" s="22" t="s">
        <v>7779</v>
      </c>
      <c r="B916" s="22" t="s">
        <v>7781</v>
      </c>
      <c r="C916" s="22" t="s">
        <v>7782</v>
      </c>
      <c r="D916" s="22" t="s">
        <v>7710</v>
      </c>
      <c r="E916" s="22" t="s">
        <v>1970</v>
      </c>
      <c r="F916" s="24" t="s">
        <v>1971</v>
      </c>
      <c r="G916" s="26" t="s">
        <v>8717</v>
      </c>
      <c r="H916" s="22"/>
      <c r="I916" s="22"/>
      <c r="J916" s="22"/>
      <c r="K916" s="24"/>
      <c r="L916" s="24"/>
      <c r="M916" s="25" t="s">
        <v>1973</v>
      </c>
      <c r="N916" s="22"/>
      <c r="O916" s="22" t="s">
        <v>1974</v>
      </c>
      <c r="P916" s="22" t="str">
        <f>HYPERLINK("https://ceds.ed.gov/cedselementdetails.aspx?termid=22258")</f>
        <v>https://ceds.ed.gov/cedselementdetails.aspx?termid=22258</v>
      </c>
      <c r="Q916" s="22">
        <v>62301</v>
      </c>
    </row>
    <row r="917" spans="1:17" ht="172.8" x14ac:dyDescent="0.3">
      <c r="A917" s="22" t="s">
        <v>7779</v>
      </c>
      <c r="B917" s="22" t="s">
        <v>7781</v>
      </c>
      <c r="C917" s="22" t="s">
        <v>7783</v>
      </c>
      <c r="D917" s="22" t="s">
        <v>7710</v>
      </c>
      <c r="E917" s="22" t="s">
        <v>5683</v>
      </c>
      <c r="F917" s="24" t="s">
        <v>5684</v>
      </c>
      <c r="G917" s="23" t="s">
        <v>32</v>
      </c>
      <c r="H917" s="22" t="s">
        <v>109</v>
      </c>
      <c r="I917" s="22" t="s">
        <v>172</v>
      </c>
      <c r="J917" s="22" t="s">
        <v>132</v>
      </c>
      <c r="K917" s="24" t="s">
        <v>7946</v>
      </c>
      <c r="L917" s="24" t="s">
        <v>7945</v>
      </c>
      <c r="M917" s="25" t="s">
        <v>5685</v>
      </c>
      <c r="N917" s="22"/>
      <c r="O917" s="22" t="s">
        <v>5686</v>
      </c>
      <c r="P917" s="22" t="str">
        <f>HYPERLINK("https://ceds.ed.gov/cedselementdetails.aspx?termid=21825")</f>
        <v>https://ceds.ed.gov/cedselementdetails.aspx?termid=21825</v>
      </c>
      <c r="Q917" s="22">
        <v>62302</v>
      </c>
    </row>
    <row r="918" spans="1:17" ht="187.2" x14ac:dyDescent="0.3">
      <c r="A918" s="22" t="s">
        <v>7779</v>
      </c>
      <c r="B918" s="22" t="s">
        <v>7781</v>
      </c>
      <c r="C918" s="22" t="s">
        <v>7783</v>
      </c>
      <c r="D918" s="22" t="s">
        <v>7710</v>
      </c>
      <c r="E918" s="22" t="s">
        <v>5679</v>
      </c>
      <c r="F918" s="24" t="s">
        <v>5680</v>
      </c>
      <c r="G918" s="26" t="s">
        <v>8485</v>
      </c>
      <c r="H918" s="22" t="s">
        <v>109</v>
      </c>
      <c r="I918" s="22" t="s">
        <v>172</v>
      </c>
      <c r="J918" s="22"/>
      <c r="K918" s="24" t="s">
        <v>7946</v>
      </c>
      <c r="L918" s="24"/>
      <c r="M918" s="25" t="s">
        <v>5681</v>
      </c>
      <c r="N918" s="22"/>
      <c r="O918" s="22" t="s">
        <v>5682</v>
      </c>
      <c r="P918" s="22" t="str">
        <f>HYPERLINK("https://ceds.ed.gov/cedselementdetails.aspx?termid=21827")</f>
        <v>https://ceds.ed.gov/cedselementdetails.aspx?termid=21827</v>
      </c>
      <c r="Q918" s="22">
        <v>62303</v>
      </c>
    </row>
    <row r="919" spans="1:17" ht="86.4" x14ac:dyDescent="0.3">
      <c r="A919" s="22" t="s">
        <v>7779</v>
      </c>
      <c r="B919" s="22" t="s">
        <v>7781</v>
      </c>
      <c r="C919" s="22" t="s">
        <v>7783</v>
      </c>
      <c r="D919" s="22" t="s">
        <v>7710</v>
      </c>
      <c r="E919" s="22" t="s">
        <v>1993</v>
      </c>
      <c r="F919" s="24" t="s">
        <v>1994</v>
      </c>
      <c r="G919" s="26" t="s">
        <v>8718</v>
      </c>
      <c r="H919" s="22" t="s">
        <v>226</v>
      </c>
      <c r="I919" s="22"/>
      <c r="J919" s="22"/>
      <c r="K919" s="24"/>
      <c r="L919" s="24"/>
      <c r="M919" s="25" t="s">
        <v>1996</v>
      </c>
      <c r="N919" s="22"/>
      <c r="O919" s="22" t="s">
        <v>1997</v>
      </c>
      <c r="P919" s="22" t="str">
        <f>HYPERLINK("https://ceds.ed.gov/cedselementdetails.aspx?termid=22631")</f>
        <v>https://ceds.ed.gov/cedselementdetails.aspx?termid=22631</v>
      </c>
      <c r="Q919" s="22">
        <v>62344</v>
      </c>
    </row>
    <row r="920" spans="1:17" ht="57.6" x14ac:dyDescent="0.3">
      <c r="A920" s="22" t="s">
        <v>7779</v>
      </c>
      <c r="B920" s="22" t="s">
        <v>7781</v>
      </c>
      <c r="C920" s="22" t="s">
        <v>7784</v>
      </c>
      <c r="D920" s="22" t="s">
        <v>7710</v>
      </c>
      <c r="E920" s="22" t="s">
        <v>20</v>
      </c>
      <c r="F920" s="24" t="s">
        <v>21</v>
      </c>
      <c r="G920" s="26" t="s">
        <v>22</v>
      </c>
      <c r="H920" s="22" t="s">
        <v>25</v>
      </c>
      <c r="I920" s="22"/>
      <c r="J920" s="22"/>
      <c r="K920" s="24"/>
      <c r="L920" s="24"/>
      <c r="M920" s="25" t="s">
        <v>23</v>
      </c>
      <c r="N920" s="22"/>
      <c r="O920" s="22" t="s">
        <v>24</v>
      </c>
      <c r="P920" s="22" t="str">
        <f>HYPERLINK("https://ceds.ed.gov/cedselementdetails.aspx?termid=21000")</f>
        <v>https://ceds.ed.gov/cedselementdetails.aspx?termid=21000</v>
      </c>
      <c r="Q920" s="22">
        <v>58811</v>
      </c>
    </row>
    <row r="921" spans="1:17" ht="302.39999999999998" x14ac:dyDescent="0.3">
      <c r="A921" s="22" t="s">
        <v>7779</v>
      </c>
      <c r="B921" s="22" t="s">
        <v>7781</v>
      </c>
      <c r="C921" s="22" t="s">
        <v>7784</v>
      </c>
      <c r="D921" s="22" t="s">
        <v>7710</v>
      </c>
      <c r="E921" s="22" t="s">
        <v>6165</v>
      </c>
      <c r="F921" s="24" t="s">
        <v>6166</v>
      </c>
      <c r="G921" s="26" t="s">
        <v>9107</v>
      </c>
      <c r="H921" s="22"/>
      <c r="I921" s="22"/>
      <c r="J921" s="22"/>
      <c r="K921" s="24"/>
      <c r="L921" s="24"/>
      <c r="M921" s="25" t="s">
        <v>6168</v>
      </c>
      <c r="N921" s="22"/>
      <c r="O921" s="22" t="s">
        <v>6169</v>
      </c>
      <c r="P921" s="22" t="str">
        <f>HYPERLINK("https://ceds.ed.gov/cedselementdetails.aspx?termid=22210")</f>
        <v>https://ceds.ed.gov/cedselementdetails.aspx?termid=22210</v>
      </c>
      <c r="Q921" s="22">
        <v>59709</v>
      </c>
    </row>
    <row r="922" spans="1:17" ht="144" x14ac:dyDescent="0.3">
      <c r="A922" s="22" t="s">
        <v>7779</v>
      </c>
      <c r="B922" s="22" t="s">
        <v>7781</v>
      </c>
      <c r="C922" s="22" t="s">
        <v>7784</v>
      </c>
      <c r="D922" s="22" t="s">
        <v>7710</v>
      </c>
      <c r="E922" s="22" t="s">
        <v>4630</v>
      </c>
      <c r="F922" s="24" t="s">
        <v>4631</v>
      </c>
      <c r="G922" s="26" t="s">
        <v>8955</v>
      </c>
      <c r="H922" s="22" t="s">
        <v>226</v>
      </c>
      <c r="I922" s="22"/>
      <c r="J922" s="22"/>
      <c r="K922" s="24"/>
      <c r="L922" s="24" t="s">
        <v>7548</v>
      </c>
      <c r="M922" s="25" t="s">
        <v>4632</v>
      </c>
      <c r="N922" s="22"/>
      <c r="O922" s="22" t="s">
        <v>4633</v>
      </c>
      <c r="P922" s="22" t="str">
        <f>HYPERLINK("https://ceds.ed.gov/cedselementdetails.aspx?termid=21164")</f>
        <v>https://ceds.ed.gov/cedselementdetails.aspx?termid=21164</v>
      </c>
      <c r="Q922" s="22">
        <v>58827</v>
      </c>
    </row>
    <row r="923" spans="1:17" ht="72" x14ac:dyDescent="0.3">
      <c r="A923" s="22" t="s">
        <v>7779</v>
      </c>
      <c r="B923" s="22" t="s">
        <v>7781</v>
      </c>
      <c r="C923" s="22" t="s">
        <v>7784</v>
      </c>
      <c r="D923" s="22" t="s">
        <v>7710</v>
      </c>
      <c r="E923" s="22" t="s">
        <v>6996</v>
      </c>
      <c r="F923" s="24" t="s">
        <v>6997</v>
      </c>
      <c r="G923" s="26" t="s">
        <v>8539</v>
      </c>
      <c r="H923" s="22" t="s">
        <v>226</v>
      </c>
      <c r="I923" s="22" t="s">
        <v>172</v>
      </c>
      <c r="J923" s="22"/>
      <c r="K923" s="24" t="s">
        <v>7946</v>
      </c>
      <c r="L923" s="24"/>
      <c r="M923" s="25" t="s">
        <v>6998</v>
      </c>
      <c r="N923" s="22"/>
      <c r="O923" s="22" t="s">
        <v>6999</v>
      </c>
      <c r="P923" s="22" t="str">
        <f>HYPERLINK("https://ceds.ed.gov/cedselementdetails.aspx?termid=21578")</f>
        <v>https://ceds.ed.gov/cedselementdetails.aspx?termid=21578</v>
      </c>
      <c r="Q923" s="22">
        <v>58874</v>
      </c>
    </row>
    <row r="924" spans="1:17" ht="409.6" x14ac:dyDescent="0.3">
      <c r="A924" s="22" t="s">
        <v>7779</v>
      </c>
      <c r="B924" s="22" t="s">
        <v>7781</v>
      </c>
      <c r="C924" s="22" t="s">
        <v>7784</v>
      </c>
      <c r="D924" s="22" t="s">
        <v>7710</v>
      </c>
      <c r="E924" s="22" t="s">
        <v>7048</v>
      </c>
      <c r="F924" s="24" t="s">
        <v>7049</v>
      </c>
      <c r="G924" s="26" t="s">
        <v>8542</v>
      </c>
      <c r="H924" s="22"/>
      <c r="I924" s="22" t="s">
        <v>172</v>
      </c>
      <c r="J924" s="22"/>
      <c r="K924" s="24" t="s">
        <v>7946</v>
      </c>
      <c r="L924" s="24" t="s">
        <v>7050</v>
      </c>
      <c r="M924" s="25" t="s">
        <v>7051</v>
      </c>
      <c r="N924" s="22"/>
      <c r="O924" s="22" t="s">
        <v>7052</v>
      </c>
      <c r="P924" s="22" t="str">
        <f>HYPERLINK("https://ceds.ed.gov/cedselementdetails.aspx?termid=21273")</f>
        <v>https://ceds.ed.gov/cedselementdetails.aspx?termid=21273</v>
      </c>
      <c r="Q924" s="22">
        <v>58852</v>
      </c>
    </row>
    <row r="925" spans="1:17" ht="72" x14ac:dyDescent="0.3">
      <c r="A925" s="22" t="s">
        <v>7779</v>
      </c>
      <c r="B925" s="22" t="s">
        <v>7781</v>
      </c>
      <c r="C925" s="22" t="s">
        <v>7784</v>
      </c>
      <c r="D925" s="22" t="s">
        <v>7710</v>
      </c>
      <c r="E925" s="22" t="s">
        <v>7200</v>
      </c>
      <c r="F925" s="24" t="s">
        <v>7201</v>
      </c>
      <c r="G925" s="26" t="s">
        <v>8552</v>
      </c>
      <c r="H925" s="22" t="s">
        <v>226</v>
      </c>
      <c r="I925" s="22" t="s">
        <v>172</v>
      </c>
      <c r="J925" s="22"/>
      <c r="K925" s="24" t="s">
        <v>7946</v>
      </c>
      <c r="L925" s="24"/>
      <c r="M925" s="25" t="s">
        <v>7203</v>
      </c>
      <c r="N925" s="22"/>
      <c r="O925" s="22" t="s">
        <v>7204</v>
      </c>
      <c r="P925" s="22" t="str">
        <f>HYPERLINK("https://ceds.ed.gov/cedselementdetails.aspx?termid=21284")</f>
        <v>https://ceds.ed.gov/cedselementdetails.aspx?termid=21284</v>
      </c>
      <c r="Q925" s="22">
        <v>58854</v>
      </c>
    </row>
    <row r="926" spans="1:17" ht="129.6" x14ac:dyDescent="0.3">
      <c r="A926" s="22" t="s">
        <v>7779</v>
      </c>
      <c r="B926" s="22" t="s">
        <v>7781</v>
      </c>
      <c r="C926" s="22" t="s">
        <v>7784</v>
      </c>
      <c r="D926" s="22" t="s">
        <v>7710</v>
      </c>
      <c r="E926" s="22" t="s">
        <v>7205</v>
      </c>
      <c r="F926" s="24" t="s">
        <v>7206</v>
      </c>
      <c r="G926" s="26" t="s">
        <v>9172</v>
      </c>
      <c r="H926" s="22" t="s">
        <v>226</v>
      </c>
      <c r="I926" s="22"/>
      <c r="J926" s="22"/>
      <c r="K926" s="24"/>
      <c r="L926" s="24"/>
      <c r="M926" s="25" t="s">
        <v>7207</v>
      </c>
      <c r="N926" s="22"/>
      <c r="O926" s="22" t="s">
        <v>7208</v>
      </c>
      <c r="P926" s="22" t="str">
        <f>HYPERLINK("https://ceds.ed.gov/cedselementdetails.aspx?termid=21285")</f>
        <v>https://ceds.ed.gov/cedselementdetails.aspx?termid=21285</v>
      </c>
      <c r="Q926" s="22">
        <v>58855</v>
      </c>
    </row>
    <row r="927" spans="1:17" ht="201.6" x14ac:dyDescent="0.3">
      <c r="A927" s="22" t="s">
        <v>7779</v>
      </c>
      <c r="B927" s="22" t="s">
        <v>7781</v>
      </c>
      <c r="C927" s="22" t="s">
        <v>7784</v>
      </c>
      <c r="D927" s="22" t="s">
        <v>7710</v>
      </c>
      <c r="E927" s="22" t="s">
        <v>7253</v>
      </c>
      <c r="F927" s="24" t="s">
        <v>7254</v>
      </c>
      <c r="G927" s="26" t="s">
        <v>9175</v>
      </c>
      <c r="H927" s="22" t="s">
        <v>214</v>
      </c>
      <c r="I927" s="22"/>
      <c r="J927" s="22"/>
      <c r="K927" s="24"/>
      <c r="L927" s="24"/>
      <c r="M927" s="25" t="s">
        <v>7255</v>
      </c>
      <c r="N927" s="22"/>
      <c r="O927" s="22" t="s">
        <v>7256</v>
      </c>
      <c r="P927" s="22" t="str">
        <f>HYPERLINK("https://ceds.ed.gov/cedselementdetails.aspx?termid=21437")</f>
        <v>https://ceds.ed.gov/cedselementdetails.aspx?termid=21437</v>
      </c>
      <c r="Q927" s="22">
        <v>58860</v>
      </c>
    </row>
    <row r="928" spans="1:17" ht="28.8" x14ac:dyDescent="0.3">
      <c r="A928" s="22" t="s">
        <v>7779</v>
      </c>
      <c r="B928" s="22" t="s">
        <v>7781</v>
      </c>
      <c r="C928" s="22" t="s">
        <v>7784</v>
      </c>
      <c r="D928" s="22" t="s">
        <v>7710</v>
      </c>
      <c r="E928" s="22" t="s">
        <v>110</v>
      </c>
      <c r="F928" s="24" t="s">
        <v>111</v>
      </c>
      <c r="G928" s="23" t="s">
        <v>32</v>
      </c>
      <c r="H928" s="22"/>
      <c r="I928" s="22"/>
      <c r="J928" s="22" t="s">
        <v>113</v>
      </c>
      <c r="K928" s="24"/>
      <c r="L928" s="24"/>
      <c r="M928" s="25" t="s">
        <v>114</v>
      </c>
      <c r="N928" s="22"/>
      <c r="O928" s="22" t="s">
        <v>115</v>
      </c>
      <c r="P928" s="22" t="str">
        <f>HYPERLINK("https://ceds.ed.gov/cedselementdetails.aspx?termid=22500")</f>
        <v>https://ceds.ed.gov/cedselementdetails.aspx?termid=22500</v>
      </c>
      <c r="Q928" s="22">
        <v>61755</v>
      </c>
    </row>
    <row r="929" spans="1:17" ht="28.8" x14ac:dyDescent="0.3">
      <c r="A929" s="22" t="s">
        <v>7779</v>
      </c>
      <c r="B929" s="22" t="s">
        <v>7781</v>
      </c>
      <c r="C929" s="22" t="s">
        <v>7784</v>
      </c>
      <c r="D929" s="22" t="s">
        <v>7710</v>
      </c>
      <c r="E929" s="22" t="s">
        <v>116</v>
      </c>
      <c r="F929" s="24" t="s">
        <v>117</v>
      </c>
      <c r="G929" s="23" t="s">
        <v>32</v>
      </c>
      <c r="H929" s="22" t="s">
        <v>109</v>
      </c>
      <c r="I929" s="22"/>
      <c r="J929" s="22" t="s">
        <v>118</v>
      </c>
      <c r="K929" s="24"/>
      <c r="L929" s="24"/>
      <c r="M929" s="25" t="s">
        <v>119</v>
      </c>
      <c r="N929" s="22"/>
      <c r="O929" s="22" t="s">
        <v>120</v>
      </c>
      <c r="P929" s="22" t="str">
        <f>HYPERLINK("https://ceds.ed.gov/cedselementdetails.aspx?termid=21840")</f>
        <v>https://ceds.ed.gov/cedselementdetails.aspx?termid=21840</v>
      </c>
      <c r="Q929" s="22">
        <v>61756</v>
      </c>
    </row>
    <row r="930" spans="1:17" ht="28.8" x14ac:dyDescent="0.3">
      <c r="A930" s="22" t="s">
        <v>7779</v>
      </c>
      <c r="B930" s="22" t="s">
        <v>7781</v>
      </c>
      <c r="C930" s="22" t="s">
        <v>7784</v>
      </c>
      <c r="D930" s="22" t="s">
        <v>7710</v>
      </c>
      <c r="E930" s="22" t="s">
        <v>121</v>
      </c>
      <c r="F930" s="24" t="s">
        <v>122</v>
      </c>
      <c r="G930" s="23" t="s">
        <v>32</v>
      </c>
      <c r="H930" s="22" t="s">
        <v>109</v>
      </c>
      <c r="I930" s="22"/>
      <c r="J930" s="22" t="s">
        <v>118</v>
      </c>
      <c r="K930" s="24"/>
      <c r="L930" s="24"/>
      <c r="M930" s="25" t="s">
        <v>123</v>
      </c>
      <c r="N930" s="22"/>
      <c r="O930" s="22" t="s">
        <v>124</v>
      </c>
      <c r="P930" s="22" t="str">
        <f>HYPERLINK("https://ceds.ed.gov/cedselementdetails.aspx?termid=21841")</f>
        <v>https://ceds.ed.gov/cedselementdetails.aspx?termid=21841</v>
      </c>
      <c r="Q930" s="22">
        <v>61757</v>
      </c>
    </row>
    <row r="931" spans="1:17" ht="115.2" x14ac:dyDescent="0.3">
      <c r="A931" s="22" t="s">
        <v>7779</v>
      </c>
      <c r="B931" s="22" t="s">
        <v>7781</v>
      </c>
      <c r="C931" s="22" t="s">
        <v>7784</v>
      </c>
      <c r="D931" s="22" t="s">
        <v>7710</v>
      </c>
      <c r="E931" s="22" t="s">
        <v>5544</v>
      </c>
      <c r="F931" s="24" t="s">
        <v>5545</v>
      </c>
      <c r="G931" s="26" t="s">
        <v>8480</v>
      </c>
      <c r="H931" s="22"/>
      <c r="I931" s="22" t="s">
        <v>172</v>
      </c>
      <c r="J931" s="22"/>
      <c r="K931" s="24" t="s">
        <v>7946</v>
      </c>
      <c r="L931" s="24"/>
      <c r="M931" s="25" t="s">
        <v>5546</v>
      </c>
      <c r="N931" s="22"/>
      <c r="O931" s="22" t="s">
        <v>5547</v>
      </c>
      <c r="P931" s="22" t="str">
        <f>HYPERLINK("https://ceds.ed.gov/cedselementdetails.aspx?termid=22748")</f>
        <v>https://ceds.ed.gov/cedselementdetails.aspx?termid=22748</v>
      </c>
      <c r="Q931" s="22">
        <v>63147</v>
      </c>
    </row>
    <row r="932" spans="1:17" ht="100.8" x14ac:dyDescent="0.3">
      <c r="A932" s="22" t="s">
        <v>7779</v>
      </c>
      <c r="B932" s="22" t="s">
        <v>7781</v>
      </c>
      <c r="C932" s="22" t="s">
        <v>7784</v>
      </c>
      <c r="D932" s="22" t="s">
        <v>7741</v>
      </c>
      <c r="E932" s="22" t="s">
        <v>8333</v>
      </c>
      <c r="F932" s="24" t="s">
        <v>8334</v>
      </c>
      <c r="G932" s="26" t="s">
        <v>8383</v>
      </c>
      <c r="H932" s="22"/>
      <c r="I932" s="22" t="s">
        <v>167</v>
      </c>
      <c r="J932" s="22" t="s">
        <v>2</v>
      </c>
      <c r="K932" s="24" t="s">
        <v>7949</v>
      </c>
      <c r="L932" s="24"/>
      <c r="M932" s="25" t="s">
        <v>8373</v>
      </c>
      <c r="N932" s="22"/>
      <c r="O932" s="22" t="s">
        <v>8335</v>
      </c>
      <c r="P932" s="22" t="str">
        <f>HYPERLINK("https://ceds.ed.gov/cedselementdetails.aspx?termid=22994")</f>
        <v>https://ceds.ed.gov/cedselementdetails.aspx?termid=22994</v>
      </c>
      <c r="Q932" s="22">
        <v>63907</v>
      </c>
    </row>
    <row r="933" spans="1:17" ht="43.2" x14ac:dyDescent="0.3">
      <c r="A933" s="22" t="s">
        <v>7779</v>
      </c>
      <c r="B933" s="22" t="s">
        <v>7781</v>
      </c>
      <c r="C933" s="22" t="s">
        <v>7785</v>
      </c>
      <c r="D933" s="22" t="s">
        <v>7710</v>
      </c>
      <c r="E933" s="22" t="s">
        <v>6663</v>
      </c>
      <c r="F933" s="24" t="s">
        <v>6664</v>
      </c>
      <c r="G933" s="23" t="s">
        <v>32</v>
      </c>
      <c r="H933" s="22" t="s">
        <v>2493</v>
      </c>
      <c r="I933" s="22"/>
      <c r="J933" s="22" t="s">
        <v>1844</v>
      </c>
      <c r="K933" s="24"/>
      <c r="L933" s="24" t="s">
        <v>8311</v>
      </c>
      <c r="M933" s="25" t="s">
        <v>6666</v>
      </c>
      <c r="N933" s="22"/>
      <c r="O933" s="22" t="s">
        <v>6667</v>
      </c>
      <c r="P933" s="22" t="str">
        <f>HYPERLINK("https://ceds.ed.gov/cedselementdetails.aspx?termid=21243")</f>
        <v>https://ceds.ed.gov/cedselementdetails.aspx?termid=21243</v>
      </c>
      <c r="Q933" s="22">
        <v>62170</v>
      </c>
    </row>
    <row r="934" spans="1:17" ht="72" x14ac:dyDescent="0.3">
      <c r="A934" s="22" t="s">
        <v>7779</v>
      </c>
      <c r="B934" s="22" t="s">
        <v>7781</v>
      </c>
      <c r="C934" s="22" t="s">
        <v>7785</v>
      </c>
      <c r="D934" s="22" t="s">
        <v>7710</v>
      </c>
      <c r="E934" s="22" t="s">
        <v>220</v>
      </c>
      <c r="F934" s="24" t="s">
        <v>221</v>
      </c>
      <c r="G934" s="26" t="s">
        <v>8579</v>
      </c>
      <c r="H934" s="22" t="s">
        <v>226</v>
      </c>
      <c r="I934" s="22"/>
      <c r="J934" s="22"/>
      <c r="K934" s="24"/>
      <c r="L934" s="24"/>
      <c r="M934" s="25" t="s">
        <v>223</v>
      </c>
      <c r="N934" s="22" t="s">
        <v>224</v>
      </c>
      <c r="O934" s="22" t="s">
        <v>225</v>
      </c>
      <c r="P934" s="22" t="str">
        <f>HYPERLINK("https://ceds.ed.gov/cedselementdetails.aspx?termid=21011")</f>
        <v>https://ceds.ed.gov/cedselementdetails.aspx?termid=21011</v>
      </c>
      <c r="Q934" s="22">
        <v>58812</v>
      </c>
    </row>
    <row r="935" spans="1:17" ht="28.8" x14ac:dyDescent="0.3">
      <c r="A935" s="22" t="s">
        <v>7779</v>
      </c>
      <c r="B935" s="22" t="s">
        <v>7781</v>
      </c>
      <c r="C935" s="22" t="s">
        <v>7785</v>
      </c>
      <c r="D935" s="22" t="s">
        <v>7710</v>
      </c>
      <c r="E935" s="22" t="s">
        <v>215</v>
      </c>
      <c r="F935" s="24" t="s">
        <v>216</v>
      </c>
      <c r="G935" s="23" t="s">
        <v>32</v>
      </c>
      <c r="H935" s="22" t="s">
        <v>214</v>
      </c>
      <c r="I935" s="22"/>
      <c r="J935" s="22" t="s">
        <v>118</v>
      </c>
      <c r="K935" s="24"/>
      <c r="L935" s="24"/>
      <c r="M935" s="25" t="s">
        <v>217</v>
      </c>
      <c r="N935" s="22" t="s">
        <v>218</v>
      </c>
      <c r="O935" s="22" t="s">
        <v>219</v>
      </c>
      <c r="P935" s="22" t="str">
        <f>HYPERLINK("https://ceds.ed.gov/cedselementdetails.aspx?termid=21434")</f>
        <v>https://ceds.ed.gov/cedselementdetails.aspx?termid=21434</v>
      </c>
      <c r="Q935" s="22">
        <v>58859</v>
      </c>
    </row>
    <row r="936" spans="1:17" ht="43.2" x14ac:dyDescent="0.3">
      <c r="A936" s="22" t="s">
        <v>7779</v>
      </c>
      <c r="B936" s="22" t="s">
        <v>7781</v>
      </c>
      <c r="C936" s="22" t="s">
        <v>7785</v>
      </c>
      <c r="D936" s="22" t="s">
        <v>7710</v>
      </c>
      <c r="E936" s="22" t="s">
        <v>208</v>
      </c>
      <c r="F936" s="24" t="s">
        <v>209</v>
      </c>
      <c r="G936" s="26" t="s">
        <v>22</v>
      </c>
      <c r="H936" s="22" t="s">
        <v>214</v>
      </c>
      <c r="I936" s="22"/>
      <c r="J936" s="22"/>
      <c r="K936" s="24"/>
      <c r="L936" s="24"/>
      <c r="M936" s="25" t="s">
        <v>211</v>
      </c>
      <c r="N936" s="22" t="s">
        <v>212</v>
      </c>
      <c r="O936" s="22" t="s">
        <v>213</v>
      </c>
      <c r="P936" s="22" t="str">
        <f>HYPERLINK("https://ceds.ed.gov/cedselementdetails.aspx?termid=21433")</f>
        <v>https://ceds.ed.gov/cedselementdetails.aspx?termid=21433</v>
      </c>
      <c r="Q936" s="22">
        <v>58858</v>
      </c>
    </row>
    <row r="937" spans="1:17" ht="43.2" x14ac:dyDescent="0.3">
      <c r="A937" s="22" t="s">
        <v>7779</v>
      </c>
      <c r="B937" s="22" t="s">
        <v>7781</v>
      </c>
      <c r="C937" s="22" t="s">
        <v>7785</v>
      </c>
      <c r="D937" s="22" t="s">
        <v>7710</v>
      </c>
      <c r="E937" s="22" t="s">
        <v>391</v>
      </c>
      <c r="F937" s="24" t="s">
        <v>392</v>
      </c>
      <c r="G937" s="26" t="s">
        <v>22</v>
      </c>
      <c r="H937" s="22" t="s">
        <v>214</v>
      </c>
      <c r="I937" s="22"/>
      <c r="J937" s="22"/>
      <c r="K937" s="24"/>
      <c r="L937" s="24"/>
      <c r="M937" s="25" t="s">
        <v>393</v>
      </c>
      <c r="N937" s="22" t="s">
        <v>394</v>
      </c>
      <c r="O937" s="22" t="s">
        <v>395</v>
      </c>
      <c r="P937" s="22" t="str">
        <f>HYPERLINK("https://ceds.ed.gov/cedselementdetails.aspx?termid=21432")</f>
        <v>https://ceds.ed.gov/cedselementdetails.aspx?termid=21432</v>
      </c>
      <c r="Q937" s="22">
        <v>58857</v>
      </c>
    </row>
    <row r="938" spans="1:17" ht="57.6" x14ac:dyDescent="0.3">
      <c r="A938" s="22" t="s">
        <v>7779</v>
      </c>
      <c r="B938" s="22" t="s">
        <v>7781</v>
      </c>
      <c r="C938" s="22" t="s">
        <v>7785</v>
      </c>
      <c r="D938" s="22" t="s">
        <v>7710</v>
      </c>
      <c r="E938" s="22" t="s">
        <v>340</v>
      </c>
      <c r="F938" s="24" t="s">
        <v>341</v>
      </c>
      <c r="G938" s="26" t="s">
        <v>22</v>
      </c>
      <c r="H938" s="22" t="s">
        <v>226</v>
      </c>
      <c r="I938" s="22"/>
      <c r="J938" s="22"/>
      <c r="K938" s="24"/>
      <c r="L938" s="24"/>
      <c r="M938" s="25" t="s">
        <v>342</v>
      </c>
      <c r="N938" s="22" t="s">
        <v>343</v>
      </c>
      <c r="O938" s="22" t="s">
        <v>344</v>
      </c>
      <c r="P938" s="22" t="str">
        <f>HYPERLINK("https://ceds.ed.gov/cedselementdetails.aspx?termid=21014")</f>
        <v>https://ceds.ed.gov/cedselementdetails.aspx?termid=21014</v>
      </c>
      <c r="Q938" s="22">
        <v>58814</v>
      </c>
    </row>
    <row r="939" spans="1:17" ht="115.2" x14ac:dyDescent="0.3">
      <c r="A939" s="22" t="s">
        <v>7779</v>
      </c>
      <c r="B939" s="22" t="s">
        <v>7781</v>
      </c>
      <c r="C939" s="22" t="s">
        <v>7785</v>
      </c>
      <c r="D939" s="22" t="s">
        <v>7710</v>
      </c>
      <c r="E939" s="22" t="s">
        <v>6144</v>
      </c>
      <c r="F939" s="24" t="s">
        <v>6145</v>
      </c>
      <c r="G939" s="26" t="s">
        <v>9105</v>
      </c>
      <c r="H939" s="22" t="s">
        <v>226</v>
      </c>
      <c r="I939" s="22"/>
      <c r="J939" s="22"/>
      <c r="K939" s="24"/>
      <c r="L939" s="24"/>
      <c r="M939" s="25" t="s">
        <v>6146</v>
      </c>
      <c r="N939" s="22"/>
      <c r="O939" s="22" t="s">
        <v>6147</v>
      </c>
      <c r="P939" s="22" t="str">
        <f>HYPERLINK("https://ceds.ed.gov/cedselementdetails.aspx?termid=21221")</f>
        <v>https://ceds.ed.gov/cedselementdetails.aspx?termid=21221</v>
      </c>
      <c r="Q939" s="22">
        <v>58838</v>
      </c>
    </row>
    <row r="940" spans="1:17" ht="115.2" x14ac:dyDescent="0.3">
      <c r="A940" s="22" t="s">
        <v>7779</v>
      </c>
      <c r="B940" s="22" t="s">
        <v>7781</v>
      </c>
      <c r="C940" s="22" t="s">
        <v>7785</v>
      </c>
      <c r="D940" s="22" t="s">
        <v>7710</v>
      </c>
      <c r="E940" s="22" t="s">
        <v>6148</v>
      </c>
      <c r="F940" s="24" t="s">
        <v>6149</v>
      </c>
      <c r="G940" s="26" t="s">
        <v>9105</v>
      </c>
      <c r="H940" s="22" t="s">
        <v>226</v>
      </c>
      <c r="I940" s="22"/>
      <c r="J940" s="22"/>
      <c r="K940" s="24"/>
      <c r="L940" s="24"/>
      <c r="M940" s="25" t="s">
        <v>6150</v>
      </c>
      <c r="N940" s="22"/>
      <c r="O940" s="22" t="s">
        <v>6151</v>
      </c>
      <c r="P940" s="22" t="str">
        <f>HYPERLINK("https://ceds.ed.gov/cedselementdetails.aspx?termid=21544")</f>
        <v>https://ceds.ed.gov/cedselementdetails.aspx?termid=21544</v>
      </c>
      <c r="Q940" s="22">
        <v>58872</v>
      </c>
    </row>
    <row r="941" spans="1:17" ht="86.4" x14ac:dyDescent="0.3">
      <c r="A941" s="22" t="s">
        <v>7779</v>
      </c>
      <c r="B941" s="22" t="s">
        <v>7781</v>
      </c>
      <c r="C941" s="22" t="s">
        <v>7785</v>
      </c>
      <c r="D941" s="22" t="s">
        <v>7710</v>
      </c>
      <c r="E941" s="22" t="s">
        <v>5785</v>
      </c>
      <c r="F941" s="24" t="s">
        <v>5786</v>
      </c>
      <c r="G941" s="26" t="s">
        <v>9061</v>
      </c>
      <c r="H941" s="22" t="s">
        <v>226</v>
      </c>
      <c r="I941" s="22"/>
      <c r="J941" s="22"/>
      <c r="K941" s="24"/>
      <c r="L941" s="24"/>
      <c r="M941" s="25" t="s">
        <v>5787</v>
      </c>
      <c r="N941" s="22"/>
      <c r="O941" s="22" t="s">
        <v>5788</v>
      </c>
      <c r="P941" s="22" t="str">
        <f>HYPERLINK("https://ceds.ed.gov/cedselementdetails.aspx?termid=21208")</f>
        <v>https://ceds.ed.gov/cedselementdetails.aspx?termid=21208</v>
      </c>
      <c r="Q941" s="22">
        <v>58832</v>
      </c>
    </row>
    <row r="942" spans="1:17" ht="86.4" x14ac:dyDescent="0.3">
      <c r="A942" s="22" t="s">
        <v>7779</v>
      </c>
      <c r="B942" s="22" t="s">
        <v>7781</v>
      </c>
      <c r="C942" s="22" t="s">
        <v>7785</v>
      </c>
      <c r="D942" s="22" t="s">
        <v>7710</v>
      </c>
      <c r="E942" s="22" t="s">
        <v>5789</v>
      </c>
      <c r="F942" s="24" t="s">
        <v>5790</v>
      </c>
      <c r="G942" s="26" t="s">
        <v>9061</v>
      </c>
      <c r="H942" s="22" t="s">
        <v>226</v>
      </c>
      <c r="I942" s="22"/>
      <c r="J942" s="22"/>
      <c r="K942" s="24"/>
      <c r="L942" s="24"/>
      <c r="M942" s="25" t="s">
        <v>5791</v>
      </c>
      <c r="N942" s="22"/>
      <c r="O942" s="22" t="s">
        <v>5792</v>
      </c>
      <c r="P942" s="22" t="str">
        <f>HYPERLINK("https://ceds.ed.gov/cedselementdetails.aspx?termid=21209")</f>
        <v>https://ceds.ed.gov/cedselementdetails.aspx?termid=21209</v>
      </c>
      <c r="Q942" s="22">
        <v>58833</v>
      </c>
    </row>
    <row r="943" spans="1:17" ht="43.2" x14ac:dyDescent="0.3">
      <c r="A943" s="22" t="s">
        <v>7779</v>
      </c>
      <c r="B943" s="22" t="s">
        <v>7781</v>
      </c>
      <c r="C943" s="22" t="s">
        <v>7785</v>
      </c>
      <c r="D943" s="22" t="s">
        <v>7710</v>
      </c>
      <c r="E943" s="22" t="s">
        <v>5818</v>
      </c>
      <c r="F943" s="24" t="s">
        <v>5819</v>
      </c>
      <c r="G943" s="26" t="s">
        <v>22</v>
      </c>
      <c r="H943" s="22" t="s">
        <v>226</v>
      </c>
      <c r="I943" s="22"/>
      <c r="J943" s="22"/>
      <c r="K943" s="24"/>
      <c r="L943" s="24"/>
      <c r="M943" s="25" t="s">
        <v>5820</v>
      </c>
      <c r="N943" s="22"/>
      <c r="O943" s="22" t="s">
        <v>5821</v>
      </c>
      <c r="P943" s="22" t="str">
        <f>HYPERLINK("https://ceds.ed.gov/cedselementdetails.aspx?termid=21210")</f>
        <v>https://ceds.ed.gov/cedselementdetails.aspx?termid=21210</v>
      </c>
      <c r="Q943" s="22">
        <v>58834</v>
      </c>
    </row>
    <row r="944" spans="1:17" ht="43.2" x14ac:dyDescent="0.3">
      <c r="A944" s="22" t="s">
        <v>7779</v>
      </c>
      <c r="B944" s="22" t="s">
        <v>7781</v>
      </c>
      <c r="C944" s="22" t="s">
        <v>7785</v>
      </c>
      <c r="D944" s="22" t="s">
        <v>7710</v>
      </c>
      <c r="E944" s="22" t="s">
        <v>5822</v>
      </c>
      <c r="F944" s="24" t="s">
        <v>5823</v>
      </c>
      <c r="G944" s="26" t="s">
        <v>22</v>
      </c>
      <c r="H944" s="22" t="s">
        <v>226</v>
      </c>
      <c r="I944" s="22"/>
      <c r="J944" s="22"/>
      <c r="K944" s="24"/>
      <c r="L944" s="24"/>
      <c r="M944" s="25" t="s">
        <v>5824</v>
      </c>
      <c r="N944" s="22"/>
      <c r="O944" s="22" t="s">
        <v>5825</v>
      </c>
      <c r="P944" s="22" t="str">
        <f>HYPERLINK("https://ceds.ed.gov/cedselementdetails.aspx?termid=21211")</f>
        <v>https://ceds.ed.gov/cedselementdetails.aspx?termid=21211</v>
      </c>
      <c r="Q944" s="22">
        <v>58835</v>
      </c>
    </row>
    <row r="945" spans="1:17" ht="86.4" x14ac:dyDescent="0.3">
      <c r="A945" s="22" t="s">
        <v>7779</v>
      </c>
      <c r="B945" s="22" t="s">
        <v>7781</v>
      </c>
      <c r="C945" s="22" t="s">
        <v>7785</v>
      </c>
      <c r="D945" s="22" t="s">
        <v>7710</v>
      </c>
      <c r="E945" s="22" t="s">
        <v>3472</v>
      </c>
      <c r="F945" s="24" t="s">
        <v>8105</v>
      </c>
      <c r="G945" s="26" t="s">
        <v>8841</v>
      </c>
      <c r="H945" s="22" t="s">
        <v>226</v>
      </c>
      <c r="I945" s="22"/>
      <c r="J945" s="22"/>
      <c r="K945" s="24"/>
      <c r="L945" s="24"/>
      <c r="M945" s="25" t="s">
        <v>3473</v>
      </c>
      <c r="N945" s="22"/>
      <c r="O945" s="22" t="s">
        <v>3474</v>
      </c>
      <c r="P945" s="22" t="str">
        <f>HYPERLINK("https://ceds.ed.gov/cedselementdetails.aspx?termid=21091")</f>
        <v>https://ceds.ed.gov/cedselementdetails.aspx?termid=21091</v>
      </c>
      <c r="Q945" s="22">
        <v>58821</v>
      </c>
    </row>
    <row r="946" spans="1:17" ht="86.4" x14ac:dyDescent="0.3">
      <c r="A946" s="22" t="s">
        <v>7779</v>
      </c>
      <c r="B946" s="22" t="s">
        <v>7781</v>
      </c>
      <c r="C946" s="22" t="s">
        <v>7785</v>
      </c>
      <c r="D946" s="22" t="s">
        <v>7710</v>
      </c>
      <c r="E946" s="22" t="s">
        <v>4265</v>
      </c>
      <c r="F946" s="24" t="s">
        <v>4266</v>
      </c>
      <c r="G946" s="26" t="s">
        <v>8915</v>
      </c>
      <c r="H946" s="22" t="s">
        <v>226</v>
      </c>
      <c r="I946" s="22"/>
      <c r="J946" s="22"/>
      <c r="K946" s="24"/>
      <c r="L946" s="24"/>
      <c r="M946" s="25" t="s">
        <v>4267</v>
      </c>
      <c r="N946" s="22"/>
      <c r="O946" s="22" t="s">
        <v>4268</v>
      </c>
      <c r="P946" s="22" t="str">
        <f>HYPERLINK("https://ceds.ed.gov/cedselementdetails.aspx?termid=21134")</f>
        <v>https://ceds.ed.gov/cedselementdetails.aspx?termid=21134</v>
      </c>
      <c r="Q946" s="22">
        <v>58823</v>
      </c>
    </row>
    <row r="947" spans="1:17" ht="100.8" x14ac:dyDescent="0.3">
      <c r="A947" s="22" t="s">
        <v>7779</v>
      </c>
      <c r="B947" s="22" t="s">
        <v>7781</v>
      </c>
      <c r="C947" s="22" t="s">
        <v>7785</v>
      </c>
      <c r="D947" s="22" t="s">
        <v>7710</v>
      </c>
      <c r="E947" s="22" t="s">
        <v>4314</v>
      </c>
      <c r="F947" s="24" t="s">
        <v>4315</v>
      </c>
      <c r="G947" s="26" t="s">
        <v>8920</v>
      </c>
      <c r="H947" s="22" t="s">
        <v>226</v>
      </c>
      <c r="I947" s="22"/>
      <c r="J947" s="22"/>
      <c r="K947" s="24"/>
      <c r="L947" s="24"/>
      <c r="M947" s="25" t="s">
        <v>4316</v>
      </c>
      <c r="N947" s="22"/>
      <c r="O947" s="22" t="s">
        <v>4317</v>
      </c>
      <c r="P947" s="22" t="str">
        <f>HYPERLINK("https://ceds.ed.gov/cedselementdetails.aspx?termid=21140")</f>
        <v>https://ceds.ed.gov/cedselementdetails.aspx?termid=21140</v>
      </c>
      <c r="Q947" s="22">
        <v>58824</v>
      </c>
    </row>
    <row r="948" spans="1:17" ht="158.4" x14ac:dyDescent="0.3">
      <c r="A948" s="22" t="s">
        <v>7779</v>
      </c>
      <c r="B948" s="22" t="s">
        <v>7781</v>
      </c>
      <c r="C948" s="22" t="s">
        <v>7785</v>
      </c>
      <c r="D948" s="22" t="s">
        <v>7710</v>
      </c>
      <c r="E948" s="22" t="s">
        <v>2515</v>
      </c>
      <c r="F948" s="24" t="s">
        <v>2516</v>
      </c>
      <c r="G948" s="26" t="s">
        <v>8742</v>
      </c>
      <c r="H948" s="22" t="s">
        <v>226</v>
      </c>
      <c r="I948" s="22"/>
      <c r="J948" s="22"/>
      <c r="K948" s="24"/>
      <c r="L948" s="24"/>
      <c r="M948" s="25" t="s">
        <v>2518</v>
      </c>
      <c r="N948" s="22"/>
      <c r="O948" s="22" t="s">
        <v>2519</v>
      </c>
      <c r="P948" s="22" t="str">
        <f>HYPERLINK("https://ceds.ed.gov/cedselementdetails.aspx?termid=21049")</f>
        <v>https://ceds.ed.gov/cedselementdetails.aspx?termid=21049</v>
      </c>
      <c r="Q948" s="22">
        <v>58819</v>
      </c>
    </row>
    <row r="949" spans="1:17" ht="72" x14ac:dyDescent="0.3">
      <c r="A949" s="22" t="s">
        <v>7779</v>
      </c>
      <c r="B949" s="22" t="s">
        <v>7781</v>
      </c>
      <c r="C949" s="22" t="s">
        <v>7785</v>
      </c>
      <c r="D949" s="22" t="s">
        <v>7710</v>
      </c>
      <c r="E949" s="22" t="s">
        <v>6369</v>
      </c>
      <c r="F949" s="24" t="s">
        <v>6370</v>
      </c>
      <c r="G949" s="26" t="s">
        <v>9126</v>
      </c>
      <c r="H949" s="22" t="s">
        <v>226</v>
      </c>
      <c r="I949" s="22"/>
      <c r="J949" s="22"/>
      <c r="K949" s="24"/>
      <c r="L949" s="24"/>
      <c r="M949" s="25" t="s">
        <v>6371</v>
      </c>
      <c r="N949" s="22"/>
      <c r="O949" s="22" t="s">
        <v>6372</v>
      </c>
      <c r="P949" s="22" t="str">
        <f>HYPERLINK("https://ceds.ed.gov/cedselementdetails.aspx?termid=21230")</f>
        <v>https://ceds.ed.gov/cedselementdetails.aspx?termid=21230</v>
      </c>
      <c r="Q949" s="22">
        <v>58840</v>
      </c>
    </row>
    <row r="950" spans="1:17" ht="115.2" x14ac:dyDescent="0.3">
      <c r="A950" s="22" t="s">
        <v>7779</v>
      </c>
      <c r="B950" s="22" t="s">
        <v>7781</v>
      </c>
      <c r="C950" s="22" t="s">
        <v>7785</v>
      </c>
      <c r="D950" s="22" t="s">
        <v>7710</v>
      </c>
      <c r="E950" s="22" t="s">
        <v>6467</v>
      </c>
      <c r="F950" s="24" t="s">
        <v>6468</v>
      </c>
      <c r="G950" s="26" t="s">
        <v>9133</v>
      </c>
      <c r="H950" s="22" t="s">
        <v>226</v>
      </c>
      <c r="I950" s="22"/>
      <c r="J950" s="22"/>
      <c r="K950" s="24"/>
      <c r="L950" s="24"/>
      <c r="M950" s="25" t="s">
        <v>6469</v>
      </c>
      <c r="N950" s="22"/>
      <c r="O950" s="22" t="s">
        <v>6470</v>
      </c>
      <c r="P950" s="22" t="str">
        <f>HYPERLINK("https://ceds.ed.gov/cedselementdetails.aspx?termid=21232")</f>
        <v>https://ceds.ed.gov/cedselementdetails.aspx?termid=21232</v>
      </c>
      <c r="Q950" s="22">
        <v>58841</v>
      </c>
    </row>
    <row r="951" spans="1:17" ht="43.2" x14ac:dyDescent="0.3">
      <c r="A951" s="22" t="s">
        <v>7779</v>
      </c>
      <c r="B951" s="22" t="s">
        <v>7781</v>
      </c>
      <c r="C951" s="22" t="s">
        <v>7785</v>
      </c>
      <c r="D951" s="22" t="s">
        <v>7710</v>
      </c>
      <c r="E951" s="22" t="s">
        <v>6636</v>
      </c>
      <c r="F951" s="24" t="s">
        <v>6637</v>
      </c>
      <c r="G951" s="26" t="s">
        <v>22</v>
      </c>
      <c r="H951" s="22" t="s">
        <v>226</v>
      </c>
      <c r="I951" s="22"/>
      <c r="J951" s="22"/>
      <c r="K951" s="24"/>
      <c r="L951" s="24"/>
      <c r="M951" s="25" t="s">
        <v>6638</v>
      </c>
      <c r="N951" s="22"/>
      <c r="O951" s="22" t="s">
        <v>6639</v>
      </c>
      <c r="P951" s="22" t="str">
        <f>HYPERLINK("https://ceds.ed.gov/cedselementdetails.aspx?termid=21238")</f>
        <v>https://ceds.ed.gov/cedselementdetails.aspx?termid=21238</v>
      </c>
      <c r="Q951" s="22">
        <v>58842</v>
      </c>
    </row>
    <row r="952" spans="1:17" ht="57.6" x14ac:dyDescent="0.3">
      <c r="A952" s="22" t="s">
        <v>7779</v>
      </c>
      <c r="B952" s="22" t="s">
        <v>7781</v>
      </c>
      <c r="C952" s="22" t="s">
        <v>7785</v>
      </c>
      <c r="D952" s="22" t="s">
        <v>7710</v>
      </c>
      <c r="E952" s="22" t="s">
        <v>6632</v>
      </c>
      <c r="F952" s="24" t="s">
        <v>6633</v>
      </c>
      <c r="G952" s="23" t="s">
        <v>32</v>
      </c>
      <c r="H952" s="22" t="s">
        <v>214</v>
      </c>
      <c r="I952" s="22"/>
      <c r="J952" s="22" t="s">
        <v>118</v>
      </c>
      <c r="K952" s="24"/>
      <c r="L952" s="24" t="s">
        <v>143</v>
      </c>
      <c r="M952" s="25" t="s">
        <v>6634</v>
      </c>
      <c r="N952" s="22"/>
      <c r="O952" s="22" t="s">
        <v>6635</v>
      </c>
      <c r="P952" s="22" t="str">
        <f>HYPERLINK("https://ceds.ed.gov/cedselementdetails.aspx?termid=21472")</f>
        <v>https://ceds.ed.gov/cedselementdetails.aspx?termid=21472</v>
      </c>
      <c r="Q952" s="22">
        <v>58861</v>
      </c>
    </row>
    <row r="953" spans="1:17" ht="72" x14ac:dyDescent="0.3">
      <c r="A953" s="22" t="s">
        <v>7779</v>
      </c>
      <c r="B953" s="22" t="s">
        <v>7781</v>
      </c>
      <c r="C953" s="22" t="s">
        <v>7785</v>
      </c>
      <c r="D953" s="22" t="s">
        <v>7710</v>
      </c>
      <c r="E953" s="22" t="s">
        <v>165</v>
      </c>
      <c r="F953" s="24" t="s">
        <v>166</v>
      </c>
      <c r="G953" s="26" t="s">
        <v>8574</v>
      </c>
      <c r="H953" s="22"/>
      <c r="I953" s="22"/>
      <c r="J953" s="22"/>
      <c r="K953" s="24"/>
      <c r="L953" s="24"/>
      <c r="M953" s="25" t="s">
        <v>168</v>
      </c>
      <c r="N953" s="22"/>
      <c r="O953" s="22" t="s">
        <v>169</v>
      </c>
      <c r="P953" s="22" t="str">
        <f>HYPERLINK("https://ceds.ed.gov/cedselementdetails.aspx?termid=22902")</f>
        <v>https://ceds.ed.gov/cedselementdetails.aspx?termid=22902</v>
      </c>
      <c r="Q953" s="22">
        <v>63311</v>
      </c>
    </row>
    <row r="954" spans="1:17" ht="72" x14ac:dyDescent="0.3">
      <c r="A954" s="22" t="s">
        <v>7779</v>
      </c>
      <c r="B954" s="22" t="s">
        <v>7781</v>
      </c>
      <c r="C954" s="22" t="s">
        <v>7785</v>
      </c>
      <c r="D954" s="22" t="s">
        <v>7710</v>
      </c>
      <c r="E954" s="22" t="s">
        <v>2459</v>
      </c>
      <c r="F954" s="24" t="s">
        <v>2460</v>
      </c>
      <c r="G954" s="26" t="s">
        <v>8739</v>
      </c>
      <c r="H954" s="22"/>
      <c r="I954" s="22"/>
      <c r="J954" s="22"/>
      <c r="K954" s="24"/>
      <c r="L954" s="24"/>
      <c r="M954" s="25" t="s">
        <v>2461</v>
      </c>
      <c r="N954" s="22"/>
      <c r="O954" s="22" t="s">
        <v>2462</v>
      </c>
      <c r="P954" s="22" t="str">
        <f>HYPERLINK("https://ceds.ed.gov/cedselementdetails.aspx?termid=22904")</f>
        <v>https://ceds.ed.gov/cedselementdetails.aspx?termid=22904</v>
      </c>
      <c r="Q954" s="22">
        <v>63312</v>
      </c>
    </row>
    <row r="955" spans="1:17" ht="72" x14ac:dyDescent="0.3">
      <c r="A955" s="22" t="s">
        <v>7779</v>
      </c>
      <c r="B955" s="22" t="s">
        <v>7781</v>
      </c>
      <c r="C955" s="22" t="s">
        <v>7785</v>
      </c>
      <c r="D955" s="22" t="s">
        <v>7710</v>
      </c>
      <c r="E955" s="22" t="s">
        <v>7079</v>
      </c>
      <c r="F955" s="24" t="s">
        <v>7080</v>
      </c>
      <c r="G955" s="26" t="s">
        <v>9156</v>
      </c>
      <c r="H955" s="22"/>
      <c r="I955" s="22"/>
      <c r="J955" s="22"/>
      <c r="K955" s="24"/>
      <c r="L955" s="24"/>
      <c r="M955" s="25" t="s">
        <v>7081</v>
      </c>
      <c r="N955" s="22"/>
      <c r="O955" s="22" t="s">
        <v>7082</v>
      </c>
      <c r="P955" s="22" t="str">
        <f>HYPERLINK("https://ceds.ed.gov/cedselementdetails.aspx?termid=22910")</f>
        <v>https://ceds.ed.gov/cedselementdetails.aspx?termid=22910</v>
      </c>
      <c r="Q955" s="22">
        <v>63313</v>
      </c>
    </row>
    <row r="956" spans="1:17" ht="43.2" x14ac:dyDescent="0.3">
      <c r="A956" s="22" t="s">
        <v>7779</v>
      </c>
      <c r="B956" s="22" t="s">
        <v>7781</v>
      </c>
      <c r="C956" s="22" t="s">
        <v>7730</v>
      </c>
      <c r="D956" s="22" t="s">
        <v>7710</v>
      </c>
      <c r="E956" s="22" t="s">
        <v>4066</v>
      </c>
      <c r="F956" s="24" t="s">
        <v>8202</v>
      </c>
      <c r="G956" s="23" t="s">
        <v>32</v>
      </c>
      <c r="H956" s="22"/>
      <c r="I956" s="22" t="s">
        <v>172</v>
      </c>
      <c r="J956" s="22" t="s">
        <v>1844</v>
      </c>
      <c r="K956" s="24" t="s">
        <v>8159</v>
      </c>
      <c r="L956" s="24"/>
      <c r="M956" s="25" t="s">
        <v>4067</v>
      </c>
      <c r="N956" s="22"/>
      <c r="O956" s="22" t="s">
        <v>4068</v>
      </c>
      <c r="P956" s="22" t="str">
        <f>HYPERLINK("https://ceds.ed.gov/cedselementdetails.aspx?termid=22620")</f>
        <v>https://ceds.ed.gov/cedselementdetails.aspx?termid=22620</v>
      </c>
      <c r="Q956" s="22">
        <v>62305</v>
      </c>
    </row>
    <row r="957" spans="1:17" ht="28.8" x14ac:dyDescent="0.3">
      <c r="A957" s="22" t="s">
        <v>7779</v>
      </c>
      <c r="B957" s="22" t="s">
        <v>7781</v>
      </c>
      <c r="C957" s="22" t="s">
        <v>7730</v>
      </c>
      <c r="D957" s="22" t="s">
        <v>7710</v>
      </c>
      <c r="E957" s="22" t="s">
        <v>4058</v>
      </c>
      <c r="F957" s="24" t="s">
        <v>4059</v>
      </c>
      <c r="G957" s="23" t="s">
        <v>32</v>
      </c>
      <c r="H957" s="22"/>
      <c r="I957" s="22" t="s">
        <v>172</v>
      </c>
      <c r="J957" s="22" t="s">
        <v>118</v>
      </c>
      <c r="K957" s="24" t="s">
        <v>7946</v>
      </c>
      <c r="L957" s="24"/>
      <c r="M957" s="25" t="s">
        <v>4060</v>
      </c>
      <c r="N957" s="22"/>
      <c r="O957" s="22" t="s">
        <v>4061</v>
      </c>
      <c r="P957" s="22" t="str">
        <f>HYPERLINK("https://ceds.ed.gov/cedselementdetails.aspx?termid=22623")</f>
        <v>https://ceds.ed.gov/cedselementdetails.aspx?termid=22623</v>
      </c>
      <c r="Q957" s="22">
        <v>62315</v>
      </c>
    </row>
    <row r="958" spans="1:17" ht="57.6" x14ac:dyDescent="0.3">
      <c r="A958" s="22" t="s">
        <v>7779</v>
      </c>
      <c r="B958" s="22" t="s">
        <v>7781</v>
      </c>
      <c r="C958" s="22" t="s">
        <v>7730</v>
      </c>
      <c r="D958" s="22" t="s">
        <v>7710</v>
      </c>
      <c r="E958" s="22" t="s">
        <v>4062</v>
      </c>
      <c r="F958" s="24" t="s">
        <v>4063</v>
      </c>
      <c r="G958" s="23" t="s">
        <v>32</v>
      </c>
      <c r="H958" s="22"/>
      <c r="I958" s="22" t="s">
        <v>172</v>
      </c>
      <c r="J958" s="22" t="s">
        <v>118</v>
      </c>
      <c r="K958" s="24" t="s">
        <v>7946</v>
      </c>
      <c r="L958" s="24" t="s">
        <v>143</v>
      </c>
      <c r="M958" s="25" t="s">
        <v>4064</v>
      </c>
      <c r="N958" s="22"/>
      <c r="O958" s="22" t="s">
        <v>4065</v>
      </c>
      <c r="P958" s="22" t="str">
        <f>HYPERLINK("https://ceds.ed.gov/cedselementdetails.aspx?termid=22624")</f>
        <v>https://ceds.ed.gov/cedselementdetails.aspx?termid=22624</v>
      </c>
      <c r="Q958" s="22">
        <v>62319</v>
      </c>
    </row>
    <row r="959" spans="1:17" ht="86.4" x14ac:dyDescent="0.3">
      <c r="A959" s="22" t="s">
        <v>7779</v>
      </c>
      <c r="B959" s="22" t="s">
        <v>7781</v>
      </c>
      <c r="C959" s="22" t="s">
        <v>7730</v>
      </c>
      <c r="D959" s="22" t="s">
        <v>7710</v>
      </c>
      <c r="E959" s="22" t="s">
        <v>3951</v>
      </c>
      <c r="F959" s="24" t="s">
        <v>8153</v>
      </c>
      <c r="G959" s="23" t="s">
        <v>32</v>
      </c>
      <c r="H959" s="22"/>
      <c r="I959" s="22" t="s">
        <v>172</v>
      </c>
      <c r="J959" s="22" t="s">
        <v>85</v>
      </c>
      <c r="K959" s="24" t="s">
        <v>7946</v>
      </c>
      <c r="L959" s="24"/>
      <c r="M959" s="25" t="s">
        <v>3952</v>
      </c>
      <c r="N959" s="22"/>
      <c r="O959" s="22" t="s">
        <v>3953</v>
      </c>
      <c r="P959" s="22" t="str">
        <f>HYPERLINK("https://ceds.ed.gov/cedselementdetails.aspx?termid=22530")</f>
        <v>https://ceds.ed.gov/cedselementdetails.aspx?termid=22530</v>
      </c>
      <c r="Q959" s="22">
        <v>61841</v>
      </c>
    </row>
    <row r="960" spans="1:17" ht="43.2" x14ac:dyDescent="0.3">
      <c r="A960" s="22" t="s">
        <v>7779</v>
      </c>
      <c r="B960" s="22" t="s">
        <v>7781</v>
      </c>
      <c r="C960" s="22" t="s">
        <v>7730</v>
      </c>
      <c r="D960" s="22" t="s">
        <v>7710</v>
      </c>
      <c r="E960" s="22" t="s">
        <v>3948</v>
      </c>
      <c r="F960" s="24" t="s">
        <v>8152</v>
      </c>
      <c r="G960" s="23" t="s">
        <v>32</v>
      </c>
      <c r="H960" s="22"/>
      <c r="I960" s="22" t="s">
        <v>172</v>
      </c>
      <c r="J960" s="22" t="s">
        <v>780</v>
      </c>
      <c r="K960" s="24" t="s">
        <v>8135</v>
      </c>
      <c r="L960" s="24"/>
      <c r="M960" s="25" t="s">
        <v>3949</v>
      </c>
      <c r="N960" s="22"/>
      <c r="O960" s="22" t="s">
        <v>3950</v>
      </c>
      <c r="P960" s="22" t="str">
        <f>HYPERLINK("https://ceds.ed.gov/cedselementdetails.aspx?termid=22315")</f>
        <v>https://ceds.ed.gov/cedselementdetails.aspx?termid=22315</v>
      </c>
      <c r="Q960" s="22">
        <v>61178</v>
      </c>
    </row>
    <row r="961" spans="1:17" ht="43.2" x14ac:dyDescent="0.3">
      <c r="A961" s="22" t="s">
        <v>7779</v>
      </c>
      <c r="B961" s="22" t="s">
        <v>7781</v>
      </c>
      <c r="C961" s="22" t="s">
        <v>7730</v>
      </c>
      <c r="D961" s="22" t="s">
        <v>7710</v>
      </c>
      <c r="E961" s="22" t="s">
        <v>3938</v>
      </c>
      <c r="F961" s="24" t="s">
        <v>8134</v>
      </c>
      <c r="G961" s="23" t="s">
        <v>32</v>
      </c>
      <c r="H961" s="22"/>
      <c r="I961" s="22" t="s">
        <v>172</v>
      </c>
      <c r="J961" s="22" t="s">
        <v>113</v>
      </c>
      <c r="K961" s="24" t="s">
        <v>8135</v>
      </c>
      <c r="L961" s="24"/>
      <c r="M961" s="25" t="s">
        <v>3939</v>
      </c>
      <c r="N961" s="22"/>
      <c r="O961" s="22" t="s">
        <v>3940</v>
      </c>
      <c r="P961" s="22" t="str">
        <f>HYPERLINK("https://ceds.ed.gov/cedselementdetails.aspx?termid=22313")</f>
        <v>https://ceds.ed.gov/cedselementdetails.aspx?termid=22313</v>
      </c>
      <c r="Q961" s="22">
        <v>61167</v>
      </c>
    </row>
    <row r="962" spans="1:17" ht="86.4" x14ac:dyDescent="0.3">
      <c r="A962" s="22" t="s">
        <v>7779</v>
      </c>
      <c r="B962" s="22" t="s">
        <v>7781</v>
      </c>
      <c r="C962" s="22" t="s">
        <v>7730</v>
      </c>
      <c r="D962" s="22" t="s">
        <v>7710</v>
      </c>
      <c r="E962" s="22" t="s">
        <v>3934</v>
      </c>
      <c r="F962" s="24" t="s">
        <v>3935</v>
      </c>
      <c r="G962" s="26" t="s">
        <v>8439</v>
      </c>
      <c r="H962" s="22"/>
      <c r="I962" s="22" t="s">
        <v>172</v>
      </c>
      <c r="J962" s="22"/>
      <c r="K962" s="24" t="s">
        <v>7946</v>
      </c>
      <c r="L962" s="24"/>
      <c r="M962" s="25" t="s">
        <v>3936</v>
      </c>
      <c r="N962" s="22"/>
      <c r="O962" s="22" t="s">
        <v>3937</v>
      </c>
      <c r="P962" s="22" t="str">
        <f>HYPERLINK("https://ceds.ed.gov/cedselementdetails.aspx?termid=22312")</f>
        <v>https://ceds.ed.gov/cedselementdetails.aspx?termid=22312</v>
      </c>
      <c r="Q962" s="22">
        <v>61163</v>
      </c>
    </row>
    <row r="963" spans="1:17" ht="409.6" x14ac:dyDescent="0.3">
      <c r="A963" s="22" t="s">
        <v>7779</v>
      </c>
      <c r="B963" s="22" t="s">
        <v>7781</v>
      </c>
      <c r="C963" s="22" t="s">
        <v>7730</v>
      </c>
      <c r="D963" s="22" t="s">
        <v>7710</v>
      </c>
      <c r="E963" s="22" t="s">
        <v>8161</v>
      </c>
      <c r="F963" s="24" t="s">
        <v>8162</v>
      </c>
      <c r="G963" s="26" t="s">
        <v>8445</v>
      </c>
      <c r="H963" s="22"/>
      <c r="I963" s="22" t="s">
        <v>172</v>
      </c>
      <c r="J963" s="22"/>
      <c r="K963" s="24" t="s">
        <v>8137</v>
      </c>
      <c r="L963" s="24" t="s">
        <v>8163</v>
      </c>
      <c r="M963" s="25" t="s">
        <v>3947</v>
      </c>
      <c r="N963" s="22"/>
      <c r="O963" s="22" t="s">
        <v>8164</v>
      </c>
      <c r="P963" s="22" t="str">
        <f>HYPERLINK("https://ceds.ed.gov/cedselementdetails.aspx?termid=22440")</f>
        <v>https://ceds.ed.gov/cedselementdetails.aspx?termid=22440</v>
      </c>
      <c r="Q963" s="22">
        <v>61854</v>
      </c>
    </row>
    <row r="964" spans="1:17" ht="409.6" x14ac:dyDescent="0.3">
      <c r="A964" s="22" t="s">
        <v>7779</v>
      </c>
      <c r="B964" s="22" t="s">
        <v>7781</v>
      </c>
      <c r="C964" s="22" t="s">
        <v>7730</v>
      </c>
      <c r="D964" s="22" t="s">
        <v>7710</v>
      </c>
      <c r="E964" s="22" t="s">
        <v>8173</v>
      </c>
      <c r="F964" s="24" t="s">
        <v>8174</v>
      </c>
      <c r="G964" s="26" t="s">
        <v>8447</v>
      </c>
      <c r="H964" s="22"/>
      <c r="I964" s="22" t="s">
        <v>172</v>
      </c>
      <c r="J964" s="22"/>
      <c r="K964" s="24" t="s">
        <v>8175</v>
      </c>
      <c r="L964" s="24" t="s">
        <v>8176</v>
      </c>
      <c r="M964" s="25" t="s">
        <v>4017</v>
      </c>
      <c r="N964" s="22"/>
      <c r="O964" s="22" t="s">
        <v>8177</v>
      </c>
      <c r="P964" s="22" t="str">
        <f>HYPERLINK("https://ceds.ed.gov/cedselementdetails.aspx?termid=22321")</f>
        <v>https://ceds.ed.gov/cedselementdetails.aspx?termid=22321</v>
      </c>
      <c r="Q964" s="22">
        <v>61200</v>
      </c>
    </row>
    <row r="965" spans="1:17" ht="409.6" x14ac:dyDescent="0.3">
      <c r="A965" s="22" t="s">
        <v>7779</v>
      </c>
      <c r="B965" s="22" t="s">
        <v>7781</v>
      </c>
      <c r="C965" s="22" t="s">
        <v>7730</v>
      </c>
      <c r="D965" s="22" t="s">
        <v>7710</v>
      </c>
      <c r="E965" s="22" t="s">
        <v>8191</v>
      </c>
      <c r="F965" s="24" t="s">
        <v>8192</v>
      </c>
      <c r="G965" s="26" t="s">
        <v>8449</v>
      </c>
      <c r="H965" s="22"/>
      <c r="I965" s="22" t="s">
        <v>172</v>
      </c>
      <c r="J965" s="22"/>
      <c r="K965" s="24" t="s">
        <v>8137</v>
      </c>
      <c r="L965" s="24" t="s">
        <v>8193</v>
      </c>
      <c r="M965" s="25" t="s">
        <v>4020</v>
      </c>
      <c r="N965" s="22"/>
      <c r="O965" s="22" t="s">
        <v>8194</v>
      </c>
      <c r="P965" s="22" t="str">
        <f>HYPERLINK("https://ceds.ed.gov/cedselementdetails.aspx?termid=22322")</f>
        <v>https://ceds.ed.gov/cedselementdetails.aspx?termid=22322</v>
      </c>
      <c r="Q965" s="22">
        <v>61204</v>
      </c>
    </row>
    <row r="966" spans="1:17" ht="187.2" x14ac:dyDescent="0.3">
      <c r="A966" s="22" t="s">
        <v>7779</v>
      </c>
      <c r="B966" s="22" t="s">
        <v>7781</v>
      </c>
      <c r="C966" s="22" t="s">
        <v>7730</v>
      </c>
      <c r="D966" s="22" t="s">
        <v>7710</v>
      </c>
      <c r="E966" s="22" t="s">
        <v>8178</v>
      </c>
      <c r="F966" s="24" t="s">
        <v>4018</v>
      </c>
      <c r="G966" s="26" t="s">
        <v>8448</v>
      </c>
      <c r="H966" s="22"/>
      <c r="I966" s="22" t="s">
        <v>172</v>
      </c>
      <c r="J966" s="22"/>
      <c r="K966" s="24" t="s">
        <v>8179</v>
      </c>
      <c r="L966" s="24" t="s">
        <v>8180</v>
      </c>
      <c r="M966" s="25" t="s">
        <v>4019</v>
      </c>
      <c r="N966" s="22"/>
      <c r="O966" s="22" t="s">
        <v>8181</v>
      </c>
      <c r="P966" s="22" t="str">
        <f>HYPERLINK("https://ceds.ed.gov/cedselementdetails.aspx?termid=22531")</f>
        <v>https://ceds.ed.gov/cedselementdetails.aspx?termid=22531</v>
      </c>
      <c r="Q966" s="22">
        <v>61846</v>
      </c>
    </row>
    <row r="967" spans="1:17" ht="259.2" x14ac:dyDescent="0.3">
      <c r="A967" s="22" t="s">
        <v>7779</v>
      </c>
      <c r="B967" s="22" t="s">
        <v>7781</v>
      </c>
      <c r="C967" s="22" t="s">
        <v>7730</v>
      </c>
      <c r="D967" s="22" t="s">
        <v>7710</v>
      </c>
      <c r="E967" s="22" t="s">
        <v>8195</v>
      </c>
      <c r="F967" s="24" t="s">
        <v>8196</v>
      </c>
      <c r="G967" s="23" t="s">
        <v>32</v>
      </c>
      <c r="H967" s="22"/>
      <c r="I967" s="22" t="s">
        <v>172</v>
      </c>
      <c r="J967" s="22" t="s">
        <v>148</v>
      </c>
      <c r="K967" s="24" t="s">
        <v>8197</v>
      </c>
      <c r="L967" s="24" t="s">
        <v>8198</v>
      </c>
      <c r="M967" s="25" t="s">
        <v>4021</v>
      </c>
      <c r="N967" s="22"/>
      <c r="O967" s="22" t="s">
        <v>8199</v>
      </c>
      <c r="P967" s="22" t="str">
        <f>HYPERLINK("https://ceds.ed.gov/cedselementdetails.aspx?termid=22532")</f>
        <v>https://ceds.ed.gov/cedselementdetails.aspx?termid=22532</v>
      </c>
      <c r="Q967" s="22">
        <v>61850</v>
      </c>
    </row>
    <row r="968" spans="1:17" ht="409.6" x14ac:dyDescent="0.3">
      <c r="A968" s="22" t="s">
        <v>7779</v>
      </c>
      <c r="B968" s="22" t="s">
        <v>7781</v>
      </c>
      <c r="C968" s="22" t="s">
        <v>7730</v>
      </c>
      <c r="D968" s="22" t="s">
        <v>7710</v>
      </c>
      <c r="E968" s="22" t="s">
        <v>8127</v>
      </c>
      <c r="F968" s="24" t="s">
        <v>3941</v>
      </c>
      <c r="G968" s="26" t="s">
        <v>8438</v>
      </c>
      <c r="H968" s="22"/>
      <c r="I968" s="22" t="s">
        <v>172</v>
      </c>
      <c r="J968" s="22"/>
      <c r="K968" s="24" t="s">
        <v>8128</v>
      </c>
      <c r="L968" s="24" t="s">
        <v>8129</v>
      </c>
      <c r="M968" s="25" t="s">
        <v>3943</v>
      </c>
      <c r="N968" s="22"/>
      <c r="O968" s="22" t="s">
        <v>8130</v>
      </c>
      <c r="P968" s="22" t="str">
        <f>HYPERLINK("https://ceds.ed.gov/cedselementdetails.aspx?termid=22320")</f>
        <v>https://ceds.ed.gov/cedselementdetails.aspx?termid=22320</v>
      </c>
      <c r="Q968" s="22">
        <v>61196</v>
      </c>
    </row>
    <row r="969" spans="1:17" ht="43.2" x14ac:dyDescent="0.3">
      <c r="A969" s="22" t="s">
        <v>7779</v>
      </c>
      <c r="B969" s="22" t="s">
        <v>7781</v>
      </c>
      <c r="C969" s="22" t="s">
        <v>7730</v>
      </c>
      <c r="D969" s="22" t="s">
        <v>7710</v>
      </c>
      <c r="E969" s="22" t="s">
        <v>3968</v>
      </c>
      <c r="F969" s="24" t="s">
        <v>3969</v>
      </c>
      <c r="G969" s="23" t="s">
        <v>32</v>
      </c>
      <c r="H969" s="22"/>
      <c r="I969" s="22" t="s">
        <v>172</v>
      </c>
      <c r="J969" s="22" t="s">
        <v>1518</v>
      </c>
      <c r="K969" s="24" t="s">
        <v>7946</v>
      </c>
      <c r="L969" s="24"/>
      <c r="M969" s="25" t="s">
        <v>3970</v>
      </c>
      <c r="N969" s="22"/>
      <c r="O969" s="22" t="s">
        <v>3971</v>
      </c>
      <c r="P969" s="22" t="str">
        <f>HYPERLINK("https://ceds.ed.gov/cedselementdetails.aspx?termid=22318")</f>
        <v>https://ceds.ed.gov/cedselementdetails.aspx?termid=22318</v>
      </c>
      <c r="Q969" s="22">
        <v>61191</v>
      </c>
    </row>
    <row r="970" spans="1:17" ht="57.6" x14ac:dyDescent="0.3">
      <c r="A970" s="22" t="s">
        <v>7779</v>
      </c>
      <c r="B970" s="22" t="s">
        <v>7781</v>
      </c>
      <c r="C970" s="22" t="s">
        <v>7730</v>
      </c>
      <c r="D970" s="22" t="s">
        <v>7710</v>
      </c>
      <c r="E970" s="22" t="s">
        <v>3972</v>
      </c>
      <c r="F970" s="24" t="s">
        <v>3973</v>
      </c>
      <c r="G970" s="23" t="s">
        <v>32</v>
      </c>
      <c r="H970" s="22"/>
      <c r="I970" s="22" t="s">
        <v>172</v>
      </c>
      <c r="J970" s="22" t="s">
        <v>1518</v>
      </c>
      <c r="K970" s="24" t="s">
        <v>7946</v>
      </c>
      <c r="L970" s="24" t="s">
        <v>3974</v>
      </c>
      <c r="M970" s="25" t="s">
        <v>3975</v>
      </c>
      <c r="N970" s="22"/>
      <c r="O970" s="22" t="s">
        <v>3976</v>
      </c>
      <c r="P970" s="22" t="str">
        <f>HYPERLINK("https://ceds.ed.gov/cedselementdetails.aspx?termid=22625")</f>
        <v>https://ceds.ed.gov/cedselementdetails.aspx?termid=22625</v>
      </c>
      <c r="Q970" s="22">
        <v>62323</v>
      </c>
    </row>
    <row r="971" spans="1:17" ht="43.2" x14ac:dyDescent="0.3">
      <c r="A971" s="22" t="s">
        <v>7779</v>
      </c>
      <c r="B971" s="22" t="s">
        <v>7781</v>
      </c>
      <c r="C971" s="22" t="s">
        <v>7730</v>
      </c>
      <c r="D971" s="22" t="s">
        <v>7710</v>
      </c>
      <c r="E971" s="22" t="s">
        <v>3964</v>
      </c>
      <c r="F971" s="24" t="s">
        <v>3965</v>
      </c>
      <c r="G971" s="23" t="s">
        <v>32</v>
      </c>
      <c r="H971" s="22"/>
      <c r="I971" s="22" t="s">
        <v>172</v>
      </c>
      <c r="J971" s="22" t="s">
        <v>1518</v>
      </c>
      <c r="K971" s="24" t="s">
        <v>7946</v>
      </c>
      <c r="L971" s="24"/>
      <c r="M971" s="25" t="s">
        <v>3966</v>
      </c>
      <c r="N971" s="22"/>
      <c r="O971" s="22" t="s">
        <v>3967</v>
      </c>
      <c r="P971" s="22" t="str">
        <f>HYPERLINK("https://ceds.ed.gov/cedselementdetails.aspx?termid=22317")</f>
        <v>https://ceds.ed.gov/cedselementdetails.aspx?termid=22317</v>
      </c>
      <c r="Q971" s="22">
        <v>61187</v>
      </c>
    </row>
    <row r="972" spans="1:17" ht="129.6" x14ac:dyDescent="0.3">
      <c r="A972" s="22" t="s">
        <v>7779</v>
      </c>
      <c r="B972" s="22" t="s">
        <v>7781</v>
      </c>
      <c r="C972" s="22" t="s">
        <v>7730</v>
      </c>
      <c r="D972" s="22" t="s">
        <v>7710</v>
      </c>
      <c r="E972" s="22" t="s">
        <v>3977</v>
      </c>
      <c r="F972" s="24" t="s">
        <v>3978</v>
      </c>
      <c r="G972" s="23" t="s">
        <v>32</v>
      </c>
      <c r="H972" s="22"/>
      <c r="I972" s="22" t="s">
        <v>172</v>
      </c>
      <c r="J972" s="22" t="s">
        <v>1518</v>
      </c>
      <c r="K972" s="24" t="s">
        <v>7946</v>
      </c>
      <c r="L972" s="24" t="s">
        <v>3979</v>
      </c>
      <c r="M972" s="25" t="s">
        <v>3980</v>
      </c>
      <c r="N972" s="22"/>
      <c r="O972" s="22" t="s">
        <v>3981</v>
      </c>
      <c r="P972" s="22" t="str">
        <f>HYPERLINK("https://ceds.ed.gov/cedselementdetails.aspx?termid=22628")</f>
        <v>https://ceds.ed.gov/cedselementdetails.aspx?termid=22628</v>
      </c>
      <c r="Q972" s="22">
        <v>62335</v>
      </c>
    </row>
    <row r="973" spans="1:17" ht="28.8" x14ac:dyDescent="0.3">
      <c r="A973" s="22" t="s">
        <v>7779</v>
      </c>
      <c r="B973" s="22" t="s">
        <v>7781</v>
      </c>
      <c r="C973" s="22" t="s">
        <v>7730</v>
      </c>
      <c r="D973" s="22" t="s">
        <v>7710</v>
      </c>
      <c r="E973" s="22" t="s">
        <v>3960</v>
      </c>
      <c r="F973" s="24" t="s">
        <v>3961</v>
      </c>
      <c r="G973" s="23" t="s">
        <v>32</v>
      </c>
      <c r="H973" s="22"/>
      <c r="I973" s="22" t="s">
        <v>172</v>
      </c>
      <c r="J973" s="22" t="s">
        <v>118</v>
      </c>
      <c r="K973" s="24" t="s">
        <v>7946</v>
      </c>
      <c r="L973" s="24"/>
      <c r="M973" s="25" t="s">
        <v>3962</v>
      </c>
      <c r="N973" s="22"/>
      <c r="O973" s="22" t="s">
        <v>3963</v>
      </c>
      <c r="P973" s="22" t="str">
        <f>HYPERLINK("https://ceds.ed.gov/cedselementdetails.aspx?termid=22629")</f>
        <v>https://ceds.ed.gov/cedselementdetails.aspx?termid=22629</v>
      </c>
      <c r="Q973" s="22">
        <v>62339</v>
      </c>
    </row>
    <row r="974" spans="1:17" ht="144" x14ac:dyDescent="0.3">
      <c r="A974" s="22" t="s">
        <v>7779</v>
      </c>
      <c r="B974" s="22" t="s">
        <v>7781</v>
      </c>
      <c r="C974" s="22" t="s">
        <v>7730</v>
      </c>
      <c r="D974" s="22" t="s">
        <v>7710</v>
      </c>
      <c r="E974" s="22" t="s">
        <v>8136</v>
      </c>
      <c r="F974" s="24" t="s">
        <v>3944</v>
      </c>
      <c r="G974" s="26" t="s">
        <v>8441</v>
      </c>
      <c r="H974" s="22"/>
      <c r="I974" s="22" t="s">
        <v>172</v>
      </c>
      <c r="J974" s="22"/>
      <c r="K974" s="24" t="s">
        <v>8137</v>
      </c>
      <c r="L974" s="24" t="s">
        <v>8138</v>
      </c>
      <c r="M974" s="25" t="s">
        <v>3945</v>
      </c>
      <c r="N974" s="22"/>
      <c r="O974" s="22" t="s">
        <v>8139</v>
      </c>
      <c r="P974" s="22" t="str">
        <f>HYPERLINK("https://ceds.ed.gov/cedselementdetails.aspx?termid=22314")</f>
        <v>https://ceds.ed.gov/cedselementdetails.aspx?termid=22314</v>
      </c>
      <c r="Q974" s="22">
        <v>61171</v>
      </c>
    </row>
    <row r="975" spans="1:17" ht="43.2" x14ac:dyDescent="0.3">
      <c r="A975" s="22" t="s">
        <v>7779</v>
      </c>
      <c r="B975" s="22" t="s">
        <v>7781</v>
      </c>
      <c r="C975" s="22" t="s">
        <v>7730</v>
      </c>
      <c r="D975" s="22" t="s">
        <v>7710</v>
      </c>
      <c r="E975" s="22" t="s">
        <v>3954</v>
      </c>
      <c r="F975" s="24" t="s">
        <v>8158</v>
      </c>
      <c r="G975" s="23" t="s">
        <v>32</v>
      </c>
      <c r="H975" s="22"/>
      <c r="I975" s="22" t="s">
        <v>172</v>
      </c>
      <c r="J975" s="22" t="s">
        <v>780</v>
      </c>
      <c r="K975" s="24" t="s">
        <v>8159</v>
      </c>
      <c r="L975" s="24"/>
      <c r="M975" s="25" t="s">
        <v>3955</v>
      </c>
      <c r="N975" s="22"/>
      <c r="O975" s="22" t="s">
        <v>3956</v>
      </c>
      <c r="P975" s="22" t="str">
        <f>HYPERLINK("https://ceds.ed.gov/cedselementdetails.aspx?termid=22626")</f>
        <v>https://ceds.ed.gov/cedselementdetails.aspx?termid=22626</v>
      </c>
      <c r="Q975" s="22">
        <v>62327</v>
      </c>
    </row>
    <row r="976" spans="1:17" ht="43.2" x14ac:dyDescent="0.3">
      <c r="A976" s="22" t="s">
        <v>7779</v>
      </c>
      <c r="B976" s="22" t="s">
        <v>7781</v>
      </c>
      <c r="C976" s="22" t="s">
        <v>7730</v>
      </c>
      <c r="D976" s="22" t="s">
        <v>7710</v>
      </c>
      <c r="E976" s="22" t="s">
        <v>3957</v>
      </c>
      <c r="F976" s="24" t="s">
        <v>8160</v>
      </c>
      <c r="G976" s="23" t="s">
        <v>32</v>
      </c>
      <c r="H976" s="22"/>
      <c r="I976" s="22" t="s">
        <v>172</v>
      </c>
      <c r="J976" s="22" t="s">
        <v>85</v>
      </c>
      <c r="K976" s="24" t="s">
        <v>8159</v>
      </c>
      <c r="L976" s="24"/>
      <c r="M976" s="25" t="s">
        <v>3958</v>
      </c>
      <c r="N976" s="22"/>
      <c r="O976" s="22" t="s">
        <v>3959</v>
      </c>
      <c r="P976" s="22" t="str">
        <f>HYPERLINK("https://ceds.ed.gov/cedselementdetails.aspx?termid=22627")</f>
        <v>https://ceds.ed.gov/cedselementdetails.aspx?termid=22627</v>
      </c>
      <c r="Q976" s="22">
        <v>62331</v>
      </c>
    </row>
    <row r="977" spans="1:17" ht="144" x14ac:dyDescent="0.3">
      <c r="A977" s="22" t="s">
        <v>7779</v>
      </c>
      <c r="B977" s="22" t="s">
        <v>7781</v>
      </c>
      <c r="C977" s="22" t="s">
        <v>7730</v>
      </c>
      <c r="D977" s="22" t="s">
        <v>7710</v>
      </c>
      <c r="E977" s="22" t="s">
        <v>8154</v>
      </c>
      <c r="F977" s="24" t="s">
        <v>8155</v>
      </c>
      <c r="G977" s="26" t="s">
        <v>8444</v>
      </c>
      <c r="H977" s="22"/>
      <c r="I977" s="22" t="s">
        <v>172</v>
      </c>
      <c r="J977" s="22"/>
      <c r="K977" s="24" t="s">
        <v>8137</v>
      </c>
      <c r="L977" s="24" t="s">
        <v>8156</v>
      </c>
      <c r="M977" s="25" t="s">
        <v>3946</v>
      </c>
      <c r="N977" s="22"/>
      <c r="O977" s="22" t="s">
        <v>8157</v>
      </c>
      <c r="P977" s="22" t="str">
        <f>HYPERLINK("https://ceds.ed.gov/cedselementdetails.aspx?termid=22316")</f>
        <v>https://ceds.ed.gov/cedselementdetails.aspx?termid=22316</v>
      </c>
      <c r="Q977" s="22">
        <v>61182</v>
      </c>
    </row>
    <row r="978" spans="1:17" ht="57.6" x14ac:dyDescent="0.3">
      <c r="A978" s="22" t="s">
        <v>7779</v>
      </c>
      <c r="B978" s="22" t="s">
        <v>7781</v>
      </c>
      <c r="C978" s="22" t="s">
        <v>7730</v>
      </c>
      <c r="D978" s="22" t="s">
        <v>7741</v>
      </c>
      <c r="E978" s="22" t="s">
        <v>8123</v>
      </c>
      <c r="F978" s="24" t="s">
        <v>8124</v>
      </c>
      <c r="G978" s="26" t="s">
        <v>8379</v>
      </c>
      <c r="H978" s="22"/>
      <c r="I978" s="22" t="s">
        <v>167</v>
      </c>
      <c r="J978" s="22" t="s">
        <v>2</v>
      </c>
      <c r="K978" s="24" t="s">
        <v>7949</v>
      </c>
      <c r="L978" s="24"/>
      <c r="M978" s="25" t="s">
        <v>8359</v>
      </c>
      <c r="N978" s="22"/>
      <c r="O978" s="22" t="s">
        <v>8125</v>
      </c>
      <c r="P978" s="22" t="str">
        <f>HYPERLINK("https://ceds.ed.gov/cedselementdetails.aspx?termid=22980")</f>
        <v>https://ceds.ed.gov/cedselementdetails.aspx?termid=22980</v>
      </c>
      <c r="Q978" s="22">
        <v>63898</v>
      </c>
    </row>
    <row r="979" spans="1:17" ht="43.2" x14ac:dyDescent="0.3">
      <c r="A979" s="22" t="s">
        <v>7779</v>
      </c>
      <c r="B979" s="22" t="s">
        <v>7781</v>
      </c>
      <c r="C979" s="22" t="s">
        <v>7730</v>
      </c>
      <c r="D979" s="22" t="s">
        <v>7741</v>
      </c>
      <c r="E979" s="22" t="s">
        <v>8131</v>
      </c>
      <c r="F979" s="24" t="s">
        <v>8132</v>
      </c>
      <c r="G979" s="26" t="s">
        <v>8380</v>
      </c>
      <c r="H979" s="22"/>
      <c r="I979" s="22" t="s">
        <v>167</v>
      </c>
      <c r="J979" s="22" t="s">
        <v>2</v>
      </c>
      <c r="K979" s="24" t="s">
        <v>7949</v>
      </c>
      <c r="L979" s="24"/>
      <c r="M979" s="25" t="s">
        <v>8360</v>
      </c>
      <c r="N979" s="22"/>
      <c r="O979" s="22" t="s">
        <v>8133</v>
      </c>
      <c r="P979" s="22" t="str">
        <f>HYPERLINK("https://ceds.ed.gov/cedselementdetails.aspx?termid=22981")</f>
        <v>https://ceds.ed.gov/cedselementdetails.aspx?termid=22981</v>
      </c>
      <c r="Q979" s="22">
        <v>63899</v>
      </c>
    </row>
    <row r="980" spans="1:17" ht="144" x14ac:dyDescent="0.3">
      <c r="A980" s="22" t="s">
        <v>7779</v>
      </c>
      <c r="B980" s="22" t="s">
        <v>7781</v>
      </c>
      <c r="C980" s="22" t="s">
        <v>7730</v>
      </c>
      <c r="D980" s="22" t="s">
        <v>7741</v>
      </c>
      <c r="E980" s="22" t="s">
        <v>8140</v>
      </c>
      <c r="F980" s="24" t="s">
        <v>8141</v>
      </c>
      <c r="G980" s="26" t="s">
        <v>8379</v>
      </c>
      <c r="H980" s="22"/>
      <c r="I980" s="22" t="s">
        <v>167</v>
      </c>
      <c r="J980" s="22" t="s">
        <v>2</v>
      </c>
      <c r="K980" s="24" t="s">
        <v>7949</v>
      </c>
      <c r="L980" s="24"/>
      <c r="M980" s="25" t="s">
        <v>8361</v>
      </c>
      <c r="N980" s="22"/>
      <c r="O980" s="22" t="s">
        <v>8142</v>
      </c>
      <c r="P980" s="22" t="str">
        <f>HYPERLINK("https://ceds.ed.gov/cedselementdetails.aspx?termid=22982")</f>
        <v>https://ceds.ed.gov/cedselementdetails.aspx?termid=22982</v>
      </c>
      <c r="Q980" s="22">
        <v>63900</v>
      </c>
    </row>
    <row r="981" spans="1:17" ht="100.8" x14ac:dyDescent="0.3">
      <c r="A981" s="22" t="s">
        <v>7779</v>
      </c>
      <c r="B981" s="22" t="s">
        <v>7781</v>
      </c>
      <c r="C981" s="22" t="s">
        <v>7730</v>
      </c>
      <c r="D981" s="22" t="s">
        <v>7741</v>
      </c>
      <c r="E981" s="22" t="s">
        <v>8143</v>
      </c>
      <c r="F981" s="24" t="s">
        <v>8144</v>
      </c>
      <c r="G981" s="26" t="s">
        <v>8379</v>
      </c>
      <c r="H981" s="22"/>
      <c r="I981" s="22" t="s">
        <v>167</v>
      </c>
      <c r="J981" s="22" t="s">
        <v>2</v>
      </c>
      <c r="K981" s="24" t="s">
        <v>7949</v>
      </c>
      <c r="L981" s="24"/>
      <c r="M981" s="25" t="s">
        <v>8362</v>
      </c>
      <c r="N981" s="22"/>
      <c r="O981" s="22" t="s">
        <v>8145</v>
      </c>
      <c r="P981" s="22" t="str">
        <f>HYPERLINK("https://ceds.ed.gov/cedselementdetails.aspx?termid=22983")</f>
        <v>https://ceds.ed.gov/cedselementdetails.aspx?termid=22983</v>
      </c>
      <c r="Q981" s="22">
        <v>63901</v>
      </c>
    </row>
    <row r="982" spans="1:17" ht="57.6" x14ac:dyDescent="0.3">
      <c r="A982" s="22" t="s">
        <v>7779</v>
      </c>
      <c r="B982" s="22" t="s">
        <v>7781</v>
      </c>
      <c r="C982" s="22" t="s">
        <v>7730</v>
      </c>
      <c r="D982" s="22" t="s">
        <v>7741</v>
      </c>
      <c r="E982" s="22" t="s">
        <v>8146</v>
      </c>
      <c r="F982" s="24" t="s">
        <v>8147</v>
      </c>
      <c r="G982" s="26" t="s">
        <v>8379</v>
      </c>
      <c r="H982" s="22"/>
      <c r="I982" s="22" t="s">
        <v>167</v>
      </c>
      <c r="J982" s="22" t="s">
        <v>2</v>
      </c>
      <c r="K982" s="24" t="s">
        <v>7949</v>
      </c>
      <c r="L982" s="24"/>
      <c r="M982" s="25" t="s">
        <v>8363</v>
      </c>
      <c r="N982" s="22"/>
      <c r="O982" s="22" t="s">
        <v>8148</v>
      </c>
      <c r="P982" s="22" t="str">
        <f>HYPERLINK("https://ceds.ed.gov/cedselementdetails.aspx?termid=22984")</f>
        <v>https://ceds.ed.gov/cedselementdetails.aspx?termid=22984</v>
      </c>
      <c r="Q982" s="22">
        <v>63902</v>
      </c>
    </row>
    <row r="983" spans="1:17" ht="28.8" x14ac:dyDescent="0.3">
      <c r="A983" s="22" t="s">
        <v>7779</v>
      </c>
      <c r="B983" s="22" t="s">
        <v>7781</v>
      </c>
      <c r="C983" s="22" t="s">
        <v>7730</v>
      </c>
      <c r="D983" s="22" t="s">
        <v>7741</v>
      </c>
      <c r="E983" s="22" t="s">
        <v>8149</v>
      </c>
      <c r="F983" s="24" t="s">
        <v>8150</v>
      </c>
      <c r="G983" s="26" t="s">
        <v>8379</v>
      </c>
      <c r="H983" s="22"/>
      <c r="I983" s="22" t="s">
        <v>167</v>
      </c>
      <c r="J983" s="22" t="s">
        <v>2</v>
      </c>
      <c r="K983" s="24" t="s">
        <v>7949</v>
      </c>
      <c r="L983" s="24"/>
      <c r="M983" s="25" t="s">
        <v>8364</v>
      </c>
      <c r="N983" s="22"/>
      <c r="O983" s="22" t="s">
        <v>8151</v>
      </c>
      <c r="P983" s="22" t="str">
        <f>HYPERLINK("https://ceds.ed.gov/cedselementdetails.aspx?termid=22985")</f>
        <v>https://ceds.ed.gov/cedselementdetails.aspx?termid=22985</v>
      </c>
      <c r="Q983" s="22">
        <v>63903</v>
      </c>
    </row>
    <row r="984" spans="1:17" ht="43.2" x14ac:dyDescent="0.3">
      <c r="A984" s="22" t="s">
        <v>7779</v>
      </c>
      <c r="B984" s="22" t="s">
        <v>7781</v>
      </c>
      <c r="C984" s="22" t="s">
        <v>7730</v>
      </c>
      <c r="D984" s="22" t="s">
        <v>7741</v>
      </c>
      <c r="E984" s="22" t="s">
        <v>8182</v>
      </c>
      <c r="F984" s="24" t="s">
        <v>8183</v>
      </c>
      <c r="G984" s="26" t="s">
        <v>8379</v>
      </c>
      <c r="H984" s="22"/>
      <c r="I984" s="22" t="s">
        <v>167</v>
      </c>
      <c r="J984" s="22" t="s">
        <v>2</v>
      </c>
      <c r="K984" s="24" t="s">
        <v>7949</v>
      </c>
      <c r="L984" s="24"/>
      <c r="M984" s="25" t="s">
        <v>8365</v>
      </c>
      <c r="N984" s="22"/>
      <c r="O984" s="22" t="s">
        <v>8184</v>
      </c>
      <c r="P984" s="22" t="str">
        <f>HYPERLINK("https://ceds.ed.gov/cedselementdetails.aspx?termid=22986")</f>
        <v>https://ceds.ed.gov/cedselementdetails.aspx?termid=22986</v>
      </c>
      <c r="Q984" s="22">
        <v>63904</v>
      </c>
    </row>
    <row r="985" spans="1:17" ht="43.2" x14ac:dyDescent="0.3">
      <c r="A985" s="22" t="s">
        <v>7779</v>
      </c>
      <c r="B985" s="22" t="s">
        <v>7781</v>
      </c>
      <c r="C985" s="22" t="s">
        <v>7730</v>
      </c>
      <c r="D985" s="22" t="s">
        <v>7741</v>
      </c>
      <c r="E985" s="22" t="s">
        <v>8185</v>
      </c>
      <c r="F985" s="24" t="s">
        <v>8186</v>
      </c>
      <c r="G985" s="26" t="s">
        <v>8379</v>
      </c>
      <c r="H985" s="22"/>
      <c r="I985" s="22" t="s">
        <v>167</v>
      </c>
      <c r="J985" s="22" t="s">
        <v>2</v>
      </c>
      <c r="K985" s="24" t="s">
        <v>7949</v>
      </c>
      <c r="L985" s="24"/>
      <c r="M985" s="25" t="s">
        <v>8366</v>
      </c>
      <c r="N985" s="22"/>
      <c r="O985" s="22" t="s">
        <v>8187</v>
      </c>
      <c r="P985" s="22" t="str">
        <f>HYPERLINK("https://ceds.ed.gov/cedselementdetails.aspx?termid=22987")</f>
        <v>https://ceds.ed.gov/cedselementdetails.aspx?termid=22987</v>
      </c>
      <c r="Q985" s="22">
        <v>63905</v>
      </c>
    </row>
    <row r="986" spans="1:17" ht="43.2" x14ac:dyDescent="0.3">
      <c r="A986" s="22" t="s">
        <v>7779</v>
      </c>
      <c r="B986" s="22" t="s">
        <v>7781</v>
      </c>
      <c r="C986" s="22" t="s">
        <v>7730</v>
      </c>
      <c r="D986" s="22" t="s">
        <v>7741</v>
      </c>
      <c r="E986" s="22" t="s">
        <v>8188</v>
      </c>
      <c r="F986" s="24" t="s">
        <v>8189</v>
      </c>
      <c r="G986" s="26" t="s">
        <v>8379</v>
      </c>
      <c r="H986" s="22"/>
      <c r="I986" s="22" t="s">
        <v>167</v>
      </c>
      <c r="J986" s="22" t="s">
        <v>2</v>
      </c>
      <c r="K986" s="24" t="s">
        <v>7949</v>
      </c>
      <c r="L986" s="24"/>
      <c r="M986" s="25" t="s">
        <v>8367</v>
      </c>
      <c r="N986" s="22"/>
      <c r="O986" s="22" t="s">
        <v>8190</v>
      </c>
      <c r="P986" s="22" t="str">
        <f>HYPERLINK("https://ceds.ed.gov/cedselementdetails.aspx?termid=22988")</f>
        <v>https://ceds.ed.gov/cedselementdetails.aspx?termid=22988</v>
      </c>
      <c r="Q986" s="22">
        <v>63906</v>
      </c>
    </row>
    <row r="987" spans="1:17" ht="72" x14ac:dyDescent="0.3">
      <c r="A987" s="22" t="s">
        <v>7779</v>
      </c>
      <c r="B987" s="22" t="s">
        <v>7781</v>
      </c>
      <c r="C987" s="22" t="s">
        <v>7786</v>
      </c>
      <c r="D987" s="22" t="s">
        <v>7710</v>
      </c>
      <c r="E987" s="22" t="s">
        <v>2472</v>
      </c>
      <c r="F987" s="24" t="s">
        <v>2473</v>
      </c>
      <c r="G987" s="26" t="s">
        <v>8599</v>
      </c>
      <c r="H987" s="22" t="s">
        <v>226</v>
      </c>
      <c r="I987" s="22"/>
      <c r="J987" s="22"/>
      <c r="K987" s="24"/>
      <c r="L987" s="24"/>
      <c r="M987" s="25" t="s">
        <v>2475</v>
      </c>
      <c r="N987" s="22" t="s">
        <v>2476</v>
      </c>
      <c r="O987" s="22" t="s">
        <v>2477</v>
      </c>
      <c r="P987" s="22" t="str">
        <f>HYPERLINK("https://ceds.ed.gov/cedselementdetails.aspx?termid=21533")</f>
        <v>https://ceds.ed.gov/cedselementdetails.aspx?termid=21533</v>
      </c>
      <c r="Q987" s="22">
        <v>58870</v>
      </c>
    </row>
    <row r="988" spans="1:17" ht="115.2" x14ac:dyDescent="0.3">
      <c r="A988" s="22" t="s">
        <v>7779</v>
      </c>
      <c r="B988" s="22" t="s">
        <v>7781</v>
      </c>
      <c r="C988" s="22" t="s">
        <v>7786</v>
      </c>
      <c r="D988" s="22" t="s">
        <v>7710</v>
      </c>
      <c r="E988" s="22" t="s">
        <v>3920</v>
      </c>
      <c r="F988" s="24" t="s">
        <v>3921</v>
      </c>
      <c r="G988" s="23" t="s">
        <v>32</v>
      </c>
      <c r="H988" s="22" t="s">
        <v>226</v>
      </c>
      <c r="I988" s="22"/>
      <c r="J988" s="22" t="s">
        <v>1518</v>
      </c>
      <c r="K988" s="24"/>
      <c r="L988" s="24"/>
      <c r="M988" s="25" t="s">
        <v>3923</v>
      </c>
      <c r="N988" s="22"/>
      <c r="O988" s="22" t="s">
        <v>3924</v>
      </c>
      <c r="P988" s="22" t="str">
        <f>HYPERLINK("https://ceds.ed.gov/cedselementdetails.aspx?termid=21540")</f>
        <v>https://ceds.ed.gov/cedselementdetails.aspx?termid=21540</v>
      </c>
      <c r="Q988" s="22">
        <v>62231</v>
      </c>
    </row>
    <row r="989" spans="1:17" ht="43.2" x14ac:dyDescent="0.3">
      <c r="A989" s="22" t="s">
        <v>7779</v>
      </c>
      <c r="B989" s="22" t="s">
        <v>7781</v>
      </c>
      <c r="C989" s="22" t="s">
        <v>7786</v>
      </c>
      <c r="D989" s="22" t="s">
        <v>7710</v>
      </c>
      <c r="E989" s="22" t="s">
        <v>4105</v>
      </c>
      <c r="F989" s="24" t="s">
        <v>4106</v>
      </c>
      <c r="G989" s="23" t="s">
        <v>32</v>
      </c>
      <c r="H989" s="22" t="s">
        <v>214</v>
      </c>
      <c r="I989" s="22"/>
      <c r="J989" s="22" t="s">
        <v>1518</v>
      </c>
      <c r="K989" s="24"/>
      <c r="L989" s="24"/>
      <c r="M989" s="25" t="s">
        <v>4108</v>
      </c>
      <c r="N989" s="22"/>
      <c r="O989" s="22" t="s">
        <v>4109</v>
      </c>
      <c r="P989" s="22" t="str">
        <f>HYPERLINK("https://ceds.ed.gov/cedselementdetails.aspx?termid=21442")</f>
        <v>https://ceds.ed.gov/cedselementdetails.aspx?termid=21442</v>
      </c>
      <c r="Q989" s="22">
        <v>62232</v>
      </c>
    </row>
    <row r="990" spans="1:17" ht="28.8" x14ac:dyDescent="0.3">
      <c r="A990" s="22" t="s">
        <v>7779</v>
      </c>
      <c r="B990" s="22" t="s">
        <v>7781</v>
      </c>
      <c r="C990" s="22" t="s">
        <v>7786</v>
      </c>
      <c r="D990" s="22" t="s">
        <v>7710</v>
      </c>
      <c r="E990" s="22" t="s">
        <v>4763</v>
      </c>
      <c r="F990" s="24" t="s">
        <v>4764</v>
      </c>
      <c r="G990" s="23" t="s">
        <v>32</v>
      </c>
      <c r="H990" s="22" t="s">
        <v>214</v>
      </c>
      <c r="I990" s="22"/>
      <c r="J990" s="22" t="s">
        <v>1518</v>
      </c>
      <c r="K990" s="24"/>
      <c r="L990" s="24"/>
      <c r="M990" s="25" t="s">
        <v>4765</v>
      </c>
      <c r="N990" s="22"/>
      <c r="O990" s="22" t="s">
        <v>4766</v>
      </c>
      <c r="P990" s="22" t="str">
        <f>HYPERLINK("https://ceds.ed.gov/cedselementdetails.aspx?termid=21454")</f>
        <v>https://ceds.ed.gov/cedselementdetails.aspx?termid=21454</v>
      </c>
      <c r="Q990" s="22">
        <v>62233</v>
      </c>
    </row>
    <row r="991" spans="1:17" ht="28.8" x14ac:dyDescent="0.3">
      <c r="A991" s="22" t="s">
        <v>7779</v>
      </c>
      <c r="B991" s="22" t="s">
        <v>7781</v>
      </c>
      <c r="C991" s="22" t="s">
        <v>7786</v>
      </c>
      <c r="D991" s="22" t="s">
        <v>7710</v>
      </c>
      <c r="E991" s="22" t="s">
        <v>4755</v>
      </c>
      <c r="F991" s="24" t="s">
        <v>4756</v>
      </c>
      <c r="G991" s="23" t="s">
        <v>32</v>
      </c>
      <c r="H991" s="22" t="s">
        <v>214</v>
      </c>
      <c r="I991" s="22"/>
      <c r="J991" s="22" t="s">
        <v>1518</v>
      </c>
      <c r="K991" s="24"/>
      <c r="L991" s="24"/>
      <c r="M991" s="25" t="s">
        <v>4757</v>
      </c>
      <c r="N991" s="22"/>
      <c r="O991" s="22" t="s">
        <v>4758</v>
      </c>
      <c r="P991" s="22" t="str">
        <f>HYPERLINK("https://ceds.ed.gov/cedselementdetails.aspx?termid=21451")</f>
        <v>https://ceds.ed.gov/cedselementdetails.aspx?termid=21451</v>
      </c>
      <c r="Q991" s="22">
        <v>62234</v>
      </c>
    </row>
    <row r="992" spans="1:17" ht="43.2" x14ac:dyDescent="0.3">
      <c r="A992" s="22" t="s">
        <v>7779</v>
      </c>
      <c r="B992" s="22" t="s">
        <v>7781</v>
      </c>
      <c r="C992" s="22" t="s">
        <v>7786</v>
      </c>
      <c r="D992" s="22" t="s">
        <v>7710</v>
      </c>
      <c r="E992" s="22" t="s">
        <v>4759</v>
      </c>
      <c r="F992" s="24" t="s">
        <v>4760</v>
      </c>
      <c r="G992" s="23" t="s">
        <v>32</v>
      </c>
      <c r="H992" s="22" t="s">
        <v>214</v>
      </c>
      <c r="I992" s="22"/>
      <c r="J992" s="22" t="s">
        <v>1518</v>
      </c>
      <c r="K992" s="24"/>
      <c r="L992" s="24"/>
      <c r="M992" s="25" t="s">
        <v>4761</v>
      </c>
      <c r="N992" s="22"/>
      <c r="O992" s="22" t="s">
        <v>4762</v>
      </c>
      <c r="P992" s="22" t="str">
        <f>HYPERLINK("https://ceds.ed.gov/cedselementdetails.aspx?termid=21452")</f>
        <v>https://ceds.ed.gov/cedselementdetails.aspx?termid=21452</v>
      </c>
      <c r="Q992" s="22">
        <v>62235</v>
      </c>
    </row>
    <row r="993" spans="1:17" ht="57.6" x14ac:dyDescent="0.3">
      <c r="A993" s="22" t="s">
        <v>7779</v>
      </c>
      <c r="B993" s="22" t="s">
        <v>7781</v>
      </c>
      <c r="C993" s="22" t="s">
        <v>7786</v>
      </c>
      <c r="D993" s="22" t="s">
        <v>7710</v>
      </c>
      <c r="E993" s="22" t="s">
        <v>6271</v>
      </c>
      <c r="F993" s="24" t="s">
        <v>6272</v>
      </c>
      <c r="G993" s="23" t="s">
        <v>32</v>
      </c>
      <c r="H993" s="22" t="s">
        <v>226</v>
      </c>
      <c r="I993" s="22"/>
      <c r="J993" s="22" t="s">
        <v>1518</v>
      </c>
      <c r="K993" s="24"/>
      <c r="L993" s="24"/>
      <c r="M993" s="25" t="s">
        <v>6273</v>
      </c>
      <c r="N993" s="22"/>
      <c r="O993" s="22" t="s">
        <v>6274</v>
      </c>
      <c r="P993" s="22" t="str">
        <f>HYPERLINK("https://ceds.ed.gov/cedselementdetails.aspx?termid=21560")</f>
        <v>https://ceds.ed.gov/cedselementdetails.aspx?termid=21560</v>
      </c>
      <c r="Q993" s="22">
        <v>62236</v>
      </c>
    </row>
    <row r="994" spans="1:17" ht="72" x14ac:dyDescent="0.3">
      <c r="A994" s="22" t="s">
        <v>7779</v>
      </c>
      <c r="B994" s="22" t="s">
        <v>7781</v>
      </c>
      <c r="C994" s="22" t="s">
        <v>7786</v>
      </c>
      <c r="D994" s="22" t="s">
        <v>7710</v>
      </c>
      <c r="E994" s="22" t="s">
        <v>6640</v>
      </c>
      <c r="F994" s="24" t="s">
        <v>6641</v>
      </c>
      <c r="G994" s="26" t="s">
        <v>9135</v>
      </c>
      <c r="H994" s="22" t="s">
        <v>226</v>
      </c>
      <c r="I994" s="22"/>
      <c r="J994" s="22"/>
      <c r="K994" s="24"/>
      <c r="L994" s="24"/>
      <c r="M994" s="25" t="s">
        <v>6642</v>
      </c>
      <c r="N994" s="22"/>
      <c r="O994" s="22" t="s">
        <v>6643</v>
      </c>
      <c r="P994" s="22" t="str">
        <f>HYPERLINK("https://ceds.ed.gov/cedselementdetails.aspx?termid=21239")</f>
        <v>https://ceds.ed.gov/cedselementdetails.aspx?termid=21239</v>
      </c>
      <c r="Q994" s="22">
        <v>58843</v>
      </c>
    </row>
    <row r="995" spans="1:17" ht="100.8" x14ac:dyDescent="0.3">
      <c r="A995" s="22" t="s">
        <v>7779</v>
      </c>
      <c r="B995" s="22" t="s">
        <v>7781</v>
      </c>
      <c r="C995" s="22" t="s">
        <v>7786</v>
      </c>
      <c r="D995" s="22" t="s">
        <v>7710</v>
      </c>
      <c r="E995" s="22" t="s">
        <v>6644</v>
      </c>
      <c r="F995" s="24" t="s">
        <v>6645</v>
      </c>
      <c r="G995" s="23" t="s">
        <v>32</v>
      </c>
      <c r="H995" s="22" t="s">
        <v>214</v>
      </c>
      <c r="I995" s="22"/>
      <c r="J995" s="22" t="s">
        <v>775</v>
      </c>
      <c r="K995" s="24"/>
      <c r="L995" s="24"/>
      <c r="M995" s="25" t="s">
        <v>6646</v>
      </c>
      <c r="N995" s="22"/>
      <c r="O995" s="22" t="s">
        <v>6647</v>
      </c>
      <c r="P995" s="22" t="str">
        <f>HYPERLINK("https://ceds.ed.gov/cedselementdetails.aspx?termid=21470")</f>
        <v>https://ceds.ed.gov/cedselementdetails.aspx?termid=21470</v>
      </c>
      <c r="Q995" s="22">
        <v>62237</v>
      </c>
    </row>
    <row r="996" spans="1:17" ht="28.8" x14ac:dyDescent="0.3">
      <c r="A996" s="22" t="s">
        <v>7779</v>
      </c>
      <c r="B996" s="22" t="s">
        <v>7781</v>
      </c>
      <c r="C996" s="22" t="s">
        <v>7786</v>
      </c>
      <c r="D996" s="22" t="s">
        <v>7710</v>
      </c>
      <c r="E996" s="22" t="s">
        <v>6628</v>
      </c>
      <c r="F996" s="24" t="s">
        <v>6629</v>
      </c>
      <c r="G996" s="23" t="s">
        <v>32</v>
      </c>
      <c r="H996" s="22" t="s">
        <v>214</v>
      </c>
      <c r="I996" s="22"/>
      <c r="J996" s="22" t="s">
        <v>1518</v>
      </c>
      <c r="K996" s="24"/>
      <c r="L996" s="24"/>
      <c r="M996" s="25" t="s">
        <v>6630</v>
      </c>
      <c r="N996" s="22"/>
      <c r="O996" s="22" t="s">
        <v>6631</v>
      </c>
      <c r="P996" s="22" t="str">
        <f>HYPERLINK("https://ceds.ed.gov/cedselementdetails.aspx?termid=21471")</f>
        <v>https://ceds.ed.gov/cedselementdetails.aspx?termid=21471</v>
      </c>
      <c r="Q996" s="22">
        <v>62238</v>
      </c>
    </row>
    <row r="997" spans="1:17" ht="57.6" x14ac:dyDescent="0.3">
      <c r="A997" s="22" t="s">
        <v>7779</v>
      </c>
      <c r="B997" s="22" t="s">
        <v>7781</v>
      </c>
      <c r="C997" s="22" t="s">
        <v>7786</v>
      </c>
      <c r="D997" s="22" t="s">
        <v>7710</v>
      </c>
      <c r="E997" s="22" t="s">
        <v>7074</v>
      </c>
      <c r="F997" s="24" t="s">
        <v>7075</v>
      </c>
      <c r="G997" s="23" t="s">
        <v>32</v>
      </c>
      <c r="H997" s="22" t="s">
        <v>226</v>
      </c>
      <c r="I997" s="22"/>
      <c r="J997" s="22" t="s">
        <v>1518</v>
      </c>
      <c r="K997" s="24"/>
      <c r="L997" s="24"/>
      <c r="M997" s="25" t="s">
        <v>7076</v>
      </c>
      <c r="N997" s="22" t="s">
        <v>7077</v>
      </c>
      <c r="O997" s="22" t="s">
        <v>7078</v>
      </c>
      <c r="P997" s="22" t="str">
        <f>HYPERLINK("https://ceds.ed.gov/cedselementdetails.aspx?termid=21567")</f>
        <v>https://ceds.ed.gov/cedselementdetails.aspx?termid=21567</v>
      </c>
      <c r="Q997" s="22">
        <v>62240</v>
      </c>
    </row>
    <row r="998" spans="1:17" ht="57.6" x14ac:dyDescent="0.3">
      <c r="A998" s="22" t="s">
        <v>7779</v>
      </c>
      <c r="B998" s="22" t="s">
        <v>7781</v>
      </c>
      <c r="C998" s="22" t="s">
        <v>7786</v>
      </c>
      <c r="D998" s="22" t="s">
        <v>7710</v>
      </c>
      <c r="E998" s="22" t="s">
        <v>7069</v>
      </c>
      <c r="F998" s="24" t="s">
        <v>7070</v>
      </c>
      <c r="G998" s="23" t="s">
        <v>32</v>
      </c>
      <c r="H998" s="22" t="s">
        <v>226</v>
      </c>
      <c r="I998" s="22"/>
      <c r="J998" s="22" t="s">
        <v>1518</v>
      </c>
      <c r="K998" s="24"/>
      <c r="L998" s="24"/>
      <c r="M998" s="25" t="s">
        <v>7071</v>
      </c>
      <c r="N998" s="22" t="s">
        <v>7072</v>
      </c>
      <c r="O998" s="22" t="s">
        <v>7073</v>
      </c>
      <c r="P998" s="22" t="str">
        <f>HYPERLINK("https://ceds.ed.gov/cedselementdetails.aspx?termid=21559")</f>
        <v>https://ceds.ed.gov/cedselementdetails.aspx?termid=21559</v>
      </c>
      <c r="Q998" s="22">
        <v>62239</v>
      </c>
    </row>
    <row r="999" spans="1:17" ht="43.2" x14ac:dyDescent="0.3">
      <c r="A999" s="22" t="s">
        <v>7779</v>
      </c>
      <c r="B999" s="22" t="s">
        <v>7781</v>
      </c>
      <c r="C999" s="22" t="s">
        <v>7786</v>
      </c>
      <c r="D999" s="22" t="s">
        <v>7710</v>
      </c>
      <c r="E999" s="22" t="s">
        <v>7064</v>
      </c>
      <c r="F999" s="24" t="s">
        <v>7065</v>
      </c>
      <c r="G999" s="23" t="s">
        <v>32</v>
      </c>
      <c r="H999" s="22" t="s">
        <v>226</v>
      </c>
      <c r="I999" s="22"/>
      <c r="J999" s="22" t="s">
        <v>1518</v>
      </c>
      <c r="K999" s="24"/>
      <c r="L999" s="24"/>
      <c r="M999" s="25" t="s">
        <v>7066</v>
      </c>
      <c r="N999" s="22" t="s">
        <v>7067</v>
      </c>
      <c r="O999" s="22" t="s">
        <v>7068</v>
      </c>
      <c r="P999" s="22" t="str">
        <f>HYPERLINK("https://ceds.ed.gov/cedselementdetails.aspx?termid=21566")</f>
        <v>https://ceds.ed.gov/cedselementdetails.aspx?termid=21566</v>
      </c>
      <c r="Q999" s="22">
        <v>62241</v>
      </c>
    </row>
    <row r="1000" spans="1:17" ht="144" x14ac:dyDescent="0.3">
      <c r="A1000" s="22" t="s">
        <v>7779</v>
      </c>
      <c r="B1000" s="22" t="s">
        <v>7781</v>
      </c>
      <c r="C1000" s="22" t="s">
        <v>7786</v>
      </c>
      <c r="D1000" s="22" t="s">
        <v>7710</v>
      </c>
      <c r="E1000" s="22" t="s">
        <v>7316</v>
      </c>
      <c r="F1000" s="24" t="s">
        <v>7317</v>
      </c>
      <c r="G1000" s="26" t="s">
        <v>9183</v>
      </c>
      <c r="H1000" s="22" t="s">
        <v>214</v>
      </c>
      <c r="I1000" s="22"/>
      <c r="J1000" s="22"/>
      <c r="K1000" s="24"/>
      <c r="L1000" s="24"/>
      <c r="M1000" s="25" t="s">
        <v>7319</v>
      </c>
      <c r="N1000" s="22" t="s">
        <v>7320</v>
      </c>
      <c r="O1000" s="22" t="s">
        <v>7321</v>
      </c>
      <c r="P1000" s="22" t="str">
        <f>HYPERLINK("https://ceds.ed.gov/cedselementdetails.aspx?termid=21477")</f>
        <v>https://ceds.ed.gov/cedselementdetails.aspx?termid=21477</v>
      </c>
      <c r="Q1000" s="22">
        <v>62242</v>
      </c>
    </row>
    <row r="1001" spans="1:17" ht="72" x14ac:dyDescent="0.3">
      <c r="A1001" s="22" t="s">
        <v>7779</v>
      </c>
      <c r="B1001" s="22" t="s">
        <v>7781</v>
      </c>
      <c r="C1001" s="22" t="s">
        <v>7786</v>
      </c>
      <c r="D1001" s="22" t="s">
        <v>7710</v>
      </c>
      <c r="E1001" s="22" t="s">
        <v>3916</v>
      </c>
      <c r="F1001" s="24" t="s">
        <v>8121</v>
      </c>
      <c r="G1001" s="23" t="s">
        <v>32</v>
      </c>
      <c r="H1001" s="22" t="s">
        <v>226</v>
      </c>
      <c r="I1001" s="22" t="s">
        <v>172</v>
      </c>
      <c r="J1001" s="22" t="s">
        <v>3917</v>
      </c>
      <c r="K1001" s="24" t="s">
        <v>8122</v>
      </c>
      <c r="L1001" s="24"/>
      <c r="M1001" s="25" t="s">
        <v>3918</v>
      </c>
      <c r="N1001" s="22"/>
      <c r="O1001" s="22" t="s">
        <v>3919</v>
      </c>
      <c r="P1001" s="22" t="str">
        <f>HYPERLINK("https://ceds.ed.gov/cedselementdetails.aspx?termid=21538")</f>
        <v>https://ceds.ed.gov/cedselementdetails.aspx?termid=21538</v>
      </c>
      <c r="Q1001" s="22">
        <v>62243</v>
      </c>
    </row>
    <row r="1002" spans="1:17" ht="100.8" x14ac:dyDescent="0.3">
      <c r="A1002" s="22" t="s">
        <v>7779</v>
      </c>
      <c r="B1002" s="22" t="s">
        <v>7781</v>
      </c>
      <c r="C1002" s="22" t="s">
        <v>7787</v>
      </c>
      <c r="D1002" s="22" t="s">
        <v>7710</v>
      </c>
      <c r="E1002" s="22" t="s">
        <v>6721</v>
      </c>
      <c r="F1002" s="24" t="s">
        <v>6722</v>
      </c>
      <c r="G1002" s="23" t="s">
        <v>32</v>
      </c>
      <c r="H1002" s="24" t="s">
        <v>1521</v>
      </c>
      <c r="I1002" s="22"/>
      <c r="J1002" s="22" t="s">
        <v>118</v>
      </c>
      <c r="K1002" s="24"/>
      <c r="L1002" s="24"/>
      <c r="M1002" s="25" t="s">
        <v>6723</v>
      </c>
      <c r="N1002" s="22"/>
      <c r="O1002" s="22" t="s">
        <v>6724</v>
      </c>
      <c r="P1002" s="22" t="str">
        <f>HYPERLINK("https://ceds.ed.gov/cedselementdetails.aspx?termid=21251")</f>
        <v>https://ceds.ed.gov/cedselementdetails.aspx?termid=21251</v>
      </c>
      <c r="Q1002" s="22">
        <v>62250</v>
      </c>
    </row>
    <row r="1003" spans="1:17" ht="100.8" x14ac:dyDescent="0.3">
      <c r="A1003" s="22" t="s">
        <v>7779</v>
      </c>
      <c r="B1003" s="22" t="s">
        <v>7781</v>
      </c>
      <c r="C1003" s="22" t="s">
        <v>7787</v>
      </c>
      <c r="D1003" s="22" t="s">
        <v>7710</v>
      </c>
      <c r="E1003" s="22" t="s">
        <v>6738</v>
      </c>
      <c r="F1003" s="24" t="s">
        <v>6739</v>
      </c>
      <c r="G1003" s="23" t="s">
        <v>32</v>
      </c>
      <c r="H1003" s="24" t="s">
        <v>1521</v>
      </c>
      <c r="I1003" s="22"/>
      <c r="J1003" s="22" t="s">
        <v>118</v>
      </c>
      <c r="K1003" s="24"/>
      <c r="L1003" s="24" t="s">
        <v>143</v>
      </c>
      <c r="M1003" s="25" t="s">
        <v>6740</v>
      </c>
      <c r="N1003" s="22"/>
      <c r="O1003" s="22" t="s">
        <v>6741</v>
      </c>
      <c r="P1003" s="22" t="str">
        <f>HYPERLINK("https://ceds.ed.gov/cedselementdetails.aspx?termid=21253")</f>
        <v>https://ceds.ed.gov/cedselementdetails.aspx?termid=21253</v>
      </c>
      <c r="Q1003" s="22">
        <v>62251</v>
      </c>
    </row>
    <row r="1004" spans="1:17" ht="28.8" x14ac:dyDescent="0.3">
      <c r="A1004" s="22" t="s">
        <v>7779</v>
      </c>
      <c r="B1004" s="22" t="s">
        <v>7781</v>
      </c>
      <c r="C1004" s="22" t="s">
        <v>7787</v>
      </c>
      <c r="D1004" s="22" t="s">
        <v>7710</v>
      </c>
      <c r="E1004" s="22" t="s">
        <v>6733</v>
      </c>
      <c r="F1004" s="24" t="s">
        <v>6734</v>
      </c>
      <c r="G1004" s="23" t="s">
        <v>32</v>
      </c>
      <c r="H1004" s="24" t="s">
        <v>1965</v>
      </c>
      <c r="I1004" s="22"/>
      <c r="J1004" s="22" t="s">
        <v>3145</v>
      </c>
      <c r="K1004" s="24"/>
      <c r="L1004" s="24"/>
      <c r="M1004" s="25" t="s">
        <v>6736</v>
      </c>
      <c r="N1004" s="22"/>
      <c r="O1004" s="22" t="s">
        <v>6737</v>
      </c>
      <c r="P1004" s="22" t="str">
        <f>HYPERLINK("https://ceds.ed.gov/cedselementdetails.aspx?termid=21252")</f>
        <v>https://ceds.ed.gov/cedselementdetails.aspx?termid=21252</v>
      </c>
      <c r="Q1004" s="22">
        <v>62252</v>
      </c>
    </row>
    <row r="1005" spans="1:17" ht="172.8" x14ac:dyDescent="0.3">
      <c r="A1005" s="22" t="s">
        <v>7779</v>
      </c>
      <c r="B1005" s="22" t="s">
        <v>7781</v>
      </c>
      <c r="C1005" s="22" t="s">
        <v>7787</v>
      </c>
      <c r="D1005" s="22" t="s">
        <v>7710</v>
      </c>
      <c r="E1005" s="22" t="s">
        <v>6758</v>
      </c>
      <c r="F1005" s="24" t="s">
        <v>6759</v>
      </c>
      <c r="G1005" s="26" t="s">
        <v>9141</v>
      </c>
      <c r="H1005" s="24" t="s">
        <v>1521</v>
      </c>
      <c r="I1005" s="22"/>
      <c r="J1005" s="22"/>
      <c r="K1005" s="24"/>
      <c r="L1005" s="24"/>
      <c r="M1005" s="25" t="s">
        <v>6761</v>
      </c>
      <c r="N1005" s="22"/>
      <c r="O1005" s="22" t="s">
        <v>6762</v>
      </c>
      <c r="P1005" s="22" t="str">
        <f>HYPERLINK("https://ceds.ed.gov/cedselementdetails.aspx?termid=21254")</f>
        <v>https://ceds.ed.gov/cedselementdetails.aspx?termid=21254</v>
      </c>
      <c r="Q1005" s="22">
        <v>62244</v>
      </c>
    </row>
    <row r="1006" spans="1:17" ht="43.2" x14ac:dyDescent="0.3">
      <c r="A1006" s="22" t="s">
        <v>7779</v>
      </c>
      <c r="B1006" s="22" t="s">
        <v>7781</v>
      </c>
      <c r="C1006" s="22" t="s">
        <v>7787</v>
      </c>
      <c r="D1006" s="22" t="s">
        <v>7710</v>
      </c>
      <c r="E1006" s="22" t="s">
        <v>6725</v>
      </c>
      <c r="F1006" s="24" t="s">
        <v>6726</v>
      </c>
      <c r="G1006" s="23" t="s">
        <v>32</v>
      </c>
      <c r="H1006" s="22"/>
      <c r="I1006" s="22"/>
      <c r="J1006" s="22" t="s">
        <v>85</v>
      </c>
      <c r="K1006" s="24"/>
      <c r="L1006" s="24"/>
      <c r="M1006" s="25" t="s">
        <v>6727</v>
      </c>
      <c r="N1006" s="22"/>
      <c r="O1006" s="22" t="s">
        <v>6728</v>
      </c>
      <c r="P1006" s="22" t="str">
        <f>HYPERLINK("https://ceds.ed.gov/cedselementdetails.aspx?termid=22236")</f>
        <v>https://ceds.ed.gov/cedselementdetails.aspx?termid=22236</v>
      </c>
      <c r="Q1006" s="22">
        <v>60904</v>
      </c>
    </row>
    <row r="1007" spans="1:17" x14ac:dyDescent="0.3">
      <c r="A1007" s="22" t="s">
        <v>7779</v>
      </c>
      <c r="B1007" s="22" t="s">
        <v>7781</v>
      </c>
      <c r="C1007" s="22" t="s">
        <v>7787</v>
      </c>
      <c r="D1007" s="22" t="s">
        <v>7710</v>
      </c>
      <c r="E1007" s="22" t="s">
        <v>6729</v>
      </c>
      <c r="F1007" s="24" t="s">
        <v>6730</v>
      </c>
      <c r="G1007" s="23" t="s">
        <v>32</v>
      </c>
      <c r="H1007" s="22"/>
      <c r="I1007" s="22"/>
      <c r="J1007" s="22" t="s">
        <v>328</v>
      </c>
      <c r="K1007" s="24"/>
      <c r="L1007" s="24"/>
      <c r="M1007" s="25" t="s">
        <v>6731</v>
      </c>
      <c r="N1007" s="22"/>
      <c r="O1007" s="22" t="s">
        <v>6732</v>
      </c>
      <c r="P1007" s="22" t="str">
        <f>HYPERLINK("https://ceds.ed.gov/cedselementdetails.aspx?termid=22237")</f>
        <v>https://ceds.ed.gov/cedselementdetails.aspx?termid=22237</v>
      </c>
      <c r="Q1007" s="22">
        <v>60911</v>
      </c>
    </row>
    <row r="1008" spans="1:17" ht="43.2" x14ac:dyDescent="0.3">
      <c r="A1008" s="22" t="s">
        <v>7779</v>
      </c>
      <c r="B1008" s="22" t="s">
        <v>7781</v>
      </c>
      <c r="C1008" s="22" t="s">
        <v>7787</v>
      </c>
      <c r="D1008" s="22" t="s">
        <v>7710</v>
      </c>
      <c r="E1008" s="22" t="s">
        <v>6746</v>
      </c>
      <c r="F1008" s="24" t="s">
        <v>6747</v>
      </c>
      <c r="G1008" s="26" t="s">
        <v>22</v>
      </c>
      <c r="H1008" s="22"/>
      <c r="I1008" s="22"/>
      <c r="J1008" s="22"/>
      <c r="K1008" s="24"/>
      <c r="L1008" s="24"/>
      <c r="M1008" s="25" t="s">
        <v>6748</v>
      </c>
      <c r="N1008" s="22"/>
      <c r="O1008" s="22" t="s">
        <v>6749</v>
      </c>
      <c r="P1008" s="22" t="str">
        <f>HYPERLINK("https://ceds.ed.gov/cedselementdetails.aspx?termid=22238")</f>
        <v>https://ceds.ed.gov/cedselementdetails.aspx?termid=22238</v>
      </c>
      <c r="Q1008" s="22">
        <v>60912</v>
      </c>
    </row>
    <row r="1009" spans="1:17" ht="43.2" x14ac:dyDescent="0.3">
      <c r="A1009" s="22" t="s">
        <v>7779</v>
      </c>
      <c r="B1009" s="22" t="s">
        <v>7781</v>
      </c>
      <c r="C1009" s="22" t="s">
        <v>7787</v>
      </c>
      <c r="D1009" s="22" t="s">
        <v>7710</v>
      </c>
      <c r="E1009" s="22" t="s">
        <v>6750</v>
      </c>
      <c r="F1009" s="24" t="s">
        <v>6751</v>
      </c>
      <c r="G1009" s="26" t="s">
        <v>22</v>
      </c>
      <c r="H1009" s="22"/>
      <c r="I1009" s="22"/>
      <c r="J1009" s="22"/>
      <c r="K1009" s="24"/>
      <c r="L1009" s="24"/>
      <c r="M1009" s="25" t="s">
        <v>6752</v>
      </c>
      <c r="N1009" s="22"/>
      <c r="O1009" s="22" t="s">
        <v>6753</v>
      </c>
      <c r="P1009" s="22" t="str">
        <f>HYPERLINK("https://ceds.ed.gov/cedselementdetails.aspx?termid=22239")</f>
        <v>https://ceds.ed.gov/cedselementdetails.aspx?termid=22239</v>
      </c>
      <c r="Q1009" s="22">
        <v>60913</v>
      </c>
    </row>
    <row r="1010" spans="1:17" ht="43.2" x14ac:dyDescent="0.3">
      <c r="A1010" s="22" t="s">
        <v>7779</v>
      </c>
      <c r="B1010" s="22" t="s">
        <v>7781</v>
      </c>
      <c r="C1010" s="22" t="s">
        <v>7787</v>
      </c>
      <c r="D1010" s="22" t="s">
        <v>7710</v>
      </c>
      <c r="E1010" s="22" t="s">
        <v>6716</v>
      </c>
      <c r="F1010" s="24" t="s">
        <v>6717</v>
      </c>
      <c r="G1010" s="26" t="s">
        <v>22</v>
      </c>
      <c r="H1010" s="22"/>
      <c r="I1010" s="22"/>
      <c r="J1010" s="22"/>
      <c r="K1010" s="24"/>
      <c r="L1010" s="24"/>
      <c r="M1010" s="25" t="s">
        <v>6719</v>
      </c>
      <c r="N1010" s="22"/>
      <c r="O1010" s="22" t="s">
        <v>6720</v>
      </c>
      <c r="P1010" s="22" t="str">
        <f>HYPERLINK("https://ceds.ed.gov/cedselementdetails.aspx?termid=22240")</f>
        <v>https://ceds.ed.gov/cedselementdetails.aspx?termid=22240</v>
      </c>
      <c r="Q1010" s="22">
        <v>60914</v>
      </c>
    </row>
    <row r="1011" spans="1:17" ht="43.2" x14ac:dyDescent="0.3">
      <c r="A1011" s="22" t="s">
        <v>7779</v>
      </c>
      <c r="B1011" s="22" t="s">
        <v>7781</v>
      </c>
      <c r="C1011" s="22" t="s">
        <v>7787</v>
      </c>
      <c r="D1011" s="22" t="s">
        <v>7710</v>
      </c>
      <c r="E1011" s="22" t="s">
        <v>6663</v>
      </c>
      <c r="F1011" s="24" t="s">
        <v>6664</v>
      </c>
      <c r="G1011" s="23" t="s">
        <v>32</v>
      </c>
      <c r="H1011" s="22" t="s">
        <v>2493</v>
      </c>
      <c r="I1011" s="22"/>
      <c r="J1011" s="22" t="s">
        <v>1844</v>
      </c>
      <c r="K1011" s="24"/>
      <c r="L1011" s="24" t="s">
        <v>8311</v>
      </c>
      <c r="M1011" s="25" t="s">
        <v>6666</v>
      </c>
      <c r="N1011" s="22"/>
      <c r="O1011" s="22" t="s">
        <v>6667</v>
      </c>
      <c r="P1011" s="22" t="str">
        <f>HYPERLINK("https://ceds.ed.gov/cedselementdetails.aspx?termid=21243")</f>
        <v>https://ceds.ed.gov/cedselementdetails.aspx?termid=21243</v>
      </c>
      <c r="Q1011" s="22">
        <v>58847</v>
      </c>
    </row>
    <row r="1012" spans="1:17" ht="28.8" x14ac:dyDescent="0.3">
      <c r="A1012" s="22" t="s">
        <v>7779</v>
      </c>
      <c r="B1012" s="22" t="s">
        <v>7781</v>
      </c>
      <c r="C1012" s="22" t="s">
        <v>7787</v>
      </c>
      <c r="D1012" s="22" t="s">
        <v>7710</v>
      </c>
      <c r="E1012" s="22" t="s">
        <v>4046</v>
      </c>
      <c r="F1012" s="24" t="s">
        <v>4047</v>
      </c>
      <c r="G1012" s="23" t="s">
        <v>32</v>
      </c>
      <c r="H1012" s="22"/>
      <c r="I1012" s="22"/>
      <c r="J1012" s="22" t="s">
        <v>118</v>
      </c>
      <c r="K1012" s="24"/>
      <c r="L1012" s="24"/>
      <c r="M1012" s="25" t="s">
        <v>4048</v>
      </c>
      <c r="N1012" s="22"/>
      <c r="O1012" s="22" t="s">
        <v>4049</v>
      </c>
      <c r="P1012" s="22" t="str">
        <f>HYPERLINK("https://ceds.ed.gov/cedselementdetails.aspx?termid=21488")</f>
        <v>https://ceds.ed.gov/cedselementdetails.aspx?termid=21488</v>
      </c>
      <c r="Q1012" s="22">
        <v>58863</v>
      </c>
    </row>
    <row r="1013" spans="1:17" ht="86.4" x14ac:dyDescent="0.3">
      <c r="A1013" s="22" t="s">
        <v>7779</v>
      </c>
      <c r="B1013" s="22" t="s">
        <v>7781</v>
      </c>
      <c r="C1013" s="22" t="s">
        <v>7787</v>
      </c>
      <c r="D1013" s="22" t="s">
        <v>7710</v>
      </c>
      <c r="E1013" s="22" t="s">
        <v>4969</v>
      </c>
      <c r="F1013" s="24" t="s">
        <v>4970</v>
      </c>
      <c r="G1013" s="23" t="s">
        <v>32</v>
      </c>
      <c r="H1013" s="22"/>
      <c r="I1013" s="22"/>
      <c r="J1013" s="22" t="s">
        <v>118</v>
      </c>
      <c r="K1013" s="24"/>
      <c r="L1013" s="24"/>
      <c r="M1013" s="25" t="s">
        <v>4971</v>
      </c>
      <c r="N1013" s="22"/>
      <c r="O1013" s="22" t="s">
        <v>4972</v>
      </c>
      <c r="P1013" s="22" t="str">
        <f>HYPERLINK("https://ceds.ed.gov/cedselementdetails.aspx?termid=21489")</f>
        <v>https://ceds.ed.gov/cedselementdetails.aspx?termid=21489</v>
      </c>
      <c r="Q1013" s="22">
        <v>58864</v>
      </c>
    </row>
    <row r="1014" spans="1:17" ht="115.2" x14ac:dyDescent="0.3">
      <c r="A1014" s="22" t="s">
        <v>7779</v>
      </c>
      <c r="B1014" s="22" t="s">
        <v>7781</v>
      </c>
      <c r="C1014" s="22" t="s">
        <v>7787</v>
      </c>
      <c r="D1014" s="22" t="s">
        <v>7710</v>
      </c>
      <c r="E1014" s="22" t="s">
        <v>3060</v>
      </c>
      <c r="F1014" s="24" t="s">
        <v>3061</v>
      </c>
      <c r="G1014" s="23" t="s">
        <v>32</v>
      </c>
      <c r="H1014" s="22"/>
      <c r="I1014" s="22"/>
      <c r="J1014" s="22" t="s">
        <v>317</v>
      </c>
      <c r="K1014" s="24"/>
      <c r="L1014" s="24"/>
      <c r="M1014" s="25" t="s">
        <v>3063</v>
      </c>
      <c r="N1014" s="22"/>
      <c r="O1014" s="22" t="s">
        <v>3064</v>
      </c>
      <c r="P1014" s="22" t="str">
        <f>HYPERLINK("https://ceds.ed.gov/cedselementdetails.aspx?termid=21487")</f>
        <v>https://ceds.ed.gov/cedselementdetails.aspx?termid=21487</v>
      </c>
      <c r="Q1014" s="22">
        <v>58862</v>
      </c>
    </row>
    <row r="1015" spans="1:17" ht="86.4" x14ac:dyDescent="0.3">
      <c r="A1015" s="22" t="s">
        <v>7779</v>
      </c>
      <c r="B1015" s="22" t="s">
        <v>7781</v>
      </c>
      <c r="C1015" s="22" t="s">
        <v>7787</v>
      </c>
      <c r="D1015" s="22" t="s">
        <v>7710</v>
      </c>
      <c r="E1015" s="22" t="s">
        <v>6668</v>
      </c>
      <c r="F1015" s="24" t="s">
        <v>6669</v>
      </c>
      <c r="G1015" s="23" t="s">
        <v>32</v>
      </c>
      <c r="H1015" s="22" t="s">
        <v>226</v>
      </c>
      <c r="I1015" s="22"/>
      <c r="J1015" s="22" t="s">
        <v>317</v>
      </c>
      <c r="K1015" s="24"/>
      <c r="L1015" s="24"/>
      <c r="M1015" s="25" t="s">
        <v>6670</v>
      </c>
      <c r="N1015" s="22"/>
      <c r="O1015" s="22" t="s">
        <v>6671</v>
      </c>
      <c r="P1015" s="22" t="str">
        <f>HYPERLINK("https://ceds.ed.gov/cedselementdetails.aspx?termid=21244")</f>
        <v>https://ceds.ed.gov/cedselementdetails.aspx?termid=21244</v>
      </c>
      <c r="Q1015" s="22">
        <v>58848</v>
      </c>
    </row>
    <row r="1016" spans="1:17" ht="72" x14ac:dyDescent="0.3">
      <c r="A1016" s="22" t="s">
        <v>7779</v>
      </c>
      <c r="B1016" s="22" t="s">
        <v>7781</v>
      </c>
      <c r="C1016" s="22" t="s">
        <v>7787</v>
      </c>
      <c r="D1016" s="22" t="s">
        <v>7710</v>
      </c>
      <c r="E1016" s="22" t="s">
        <v>4806</v>
      </c>
      <c r="F1016" s="24" t="s">
        <v>4807</v>
      </c>
      <c r="G1016" s="23" t="s">
        <v>32</v>
      </c>
      <c r="H1016" s="22"/>
      <c r="I1016" s="22" t="s">
        <v>172</v>
      </c>
      <c r="J1016" s="22" t="s">
        <v>317</v>
      </c>
      <c r="K1016" s="24" t="s">
        <v>8050</v>
      </c>
      <c r="L1016" s="24"/>
      <c r="M1016" s="25" t="s">
        <v>4808</v>
      </c>
      <c r="N1016" s="22"/>
      <c r="O1016" s="22" t="s">
        <v>4809</v>
      </c>
      <c r="P1016" s="22" t="str">
        <f>HYPERLINK("https://ceds.ed.gov/cedselementdetails.aspx?termid=21490")</f>
        <v>https://ceds.ed.gov/cedselementdetails.aspx?termid=21490</v>
      </c>
      <c r="Q1016" s="22">
        <v>58865</v>
      </c>
    </row>
    <row r="1017" spans="1:17" ht="28.8" x14ac:dyDescent="0.3">
      <c r="A1017" s="22" t="s">
        <v>7779</v>
      </c>
      <c r="B1017" s="22" t="s">
        <v>7781</v>
      </c>
      <c r="C1017" s="22" t="s">
        <v>7787</v>
      </c>
      <c r="D1017" s="22" t="s">
        <v>7710</v>
      </c>
      <c r="E1017" s="22" t="s">
        <v>5501</v>
      </c>
      <c r="F1017" s="24" t="s">
        <v>5502</v>
      </c>
      <c r="G1017" s="23" t="s">
        <v>32</v>
      </c>
      <c r="H1017" s="22"/>
      <c r="I1017" s="22"/>
      <c r="J1017" s="22" t="s">
        <v>317</v>
      </c>
      <c r="K1017" s="24"/>
      <c r="L1017" s="24"/>
      <c r="M1017" s="25" t="s">
        <v>5503</v>
      </c>
      <c r="N1017" s="22"/>
      <c r="O1017" s="22" t="s">
        <v>5504</v>
      </c>
      <c r="P1017" s="22" t="str">
        <f>HYPERLINK("https://ceds.ed.gov/cedselementdetails.aspx?termid=21491")</f>
        <v>https://ceds.ed.gov/cedselementdetails.aspx?termid=21491</v>
      </c>
      <c r="Q1017" s="22">
        <v>58866</v>
      </c>
    </row>
    <row r="1018" spans="1:17" ht="43.2" x14ac:dyDescent="0.3">
      <c r="A1018" s="22" t="s">
        <v>7779</v>
      </c>
      <c r="B1018" s="22" t="s">
        <v>7781</v>
      </c>
      <c r="C1018" s="22" t="s">
        <v>7787</v>
      </c>
      <c r="D1018" s="22" t="s">
        <v>7741</v>
      </c>
      <c r="E1018" s="22" t="s">
        <v>8109</v>
      </c>
      <c r="F1018" s="24" t="s">
        <v>8110</v>
      </c>
      <c r="G1018" s="23" t="s">
        <v>32</v>
      </c>
      <c r="H1018" s="22"/>
      <c r="I1018" s="22" t="s">
        <v>167</v>
      </c>
      <c r="J1018" s="22" t="s">
        <v>1699</v>
      </c>
      <c r="K1018" s="24" t="s">
        <v>7949</v>
      </c>
      <c r="L1018" s="24" t="s">
        <v>8111</v>
      </c>
      <c r="M1018" s="25" t="s">
        <v>8358</v>
      </c>
      <c r="N1018" s="22"/>
      <c r="O1018" s="22" t="s">
        <v>8112</v>
      </c>
      <c r="P1018" s="22" t="str">
        <f>HYPERLINK("https://ceds.ed.gov/cedselementdetails.aspx?termid=22979")</f>
        <v>https://ceds.ed.gov/cedselementdetails.aspx?termid=22979</v>
      </c>
      <c r="Q1018" s="22">
        <v>63908</v>
      </c>
    </row>
    <row r="1019" spans="1:17" ht="115.2" x14ac:dyDescent="0.3">
      <c r="A1019" s="22" t="s">
        <v>7779</v>
      </c>
      <c r="B1019" s="22" t="s">
        <v>7781</v>
      </c>
      <c r="C1019" s="22" t="s">
        <v>7788</v>
      </c>
      <c r="D1019" s="22" t="s">
        <v>7710</v>
      </c>
      <c r="E1019" s="22" t="s">
        <v>7139</v>
      </c>
      <c r="F1019" s="24" t="s">
        <v>7140</v>
      </c>
      <c r="G1019" s="26" t="s">
        <v>22</v>
      </c>
      <c r="H1019" s="22"/>
      <c r="I1019" s="22" t="s">
        <v>172</v>
      </c>
      <c r="J1019" s="22"/>
      <c r="K1019" s="24" t="s">
        <v>7946</v>
      </c>
      <c r="L1019" s="24" t="s">
        <v>8331</v>
      </c>
      <c r="M1019" s="25" t="s">
        <v>7141</v>
      </c>
      <c r="N1019" s="22"/>
      <c r="O1019" s="22" t="s">
        <v>7142</v>
      </c>
      <c r="P1019" s="22" t="str">
        <f>HYPERLINK("https://ceds.ed.gov/cedselementdetails.aspx?termid=22465")</f>
        <v>https://ceds.ed.gov/cedselementdetails.aspx?termid=22465</v>
      </c>
      <c r="Q1019" s="22">
        <v>61434</v>
      </c>
    </row>
    <row r="1020" spans="1:17" ht="115.2" x14ac:dyDescent="0.3">
      <c r="A1020" s="22" t="s">
        <v>7779</v>
      </c>
      <c r="B1020" s="22" t="s">
        <v>7781</v>
      </c>
      <c r="C1020" s="22" t="s">
        <v>7788</v>
      </c>
      <c r="D1020" s="22" t="s">
        <v>7710</v>
      </c>
      <c r="E1020" s="22" t="s">
        <v>7143</v>
      </c>
      <c r="F1020" s="24" t="s">
        <v>7144</v>
      </c>
      <c r="G1020" s="26" t="s">
        <v>8550</v>
      </c>
      <c r="H1020" s="22"/>
      <c r="I1020" s="22" t="s">
        <v>172</v>
      </c>
      <c r="J1020" s="22"/>
      <c r="K1020" s="24" t="s">
        <v>7946</v>
      </c>
      <c r="L1020" s="24" t="s">
        <v>8331</v>
      </c>
      <c r="M1020" s="25" t="s">
        <v>7145</v>
      </c>
      <c r="N1020" s="22"/>
      <c r="O1020" s="22" t="s">
        <v>7146</v>
      </c>
      <c r="P1020" s="22" t="str">
        <f>HYPERLINK("https://ceds.ed.gov/cedselementdetails.aspx?termid=22466")</f>
        <v>https://ceds.ed.gov/cedselementdetails.aspx?termid=22466</v>
      </c>
      <c r="Q1020" s="22">
        <v>61440</v>
      </c>
    </row>
    <row r="1021" spans="1:17" ht="259.2" x14ac:dyDescent="0.3">
      <c r="A1021" s="22" t="s">
        <v>7779</v>
      </c>
      <c r="B1021" s="22" t="s">
        <v>7781</v>
      </c>
      <c r="C1021" s="22" t="s">
        <v>7788</v>
      </c>
      <c r="D1021" s="22" t="s">
        <v>7710</v>
      </c>
      <c r="E1021" s="22" t="s">
        <v>7147</v>
      </c>
      <c r="F1021" s="24" t="s">
        <v>7148</v>
      </c>
      <c r="G1021" s="26" t="s">
        <v>9162</v>
      </c>
      <c r="H1021" s="22"/>
      <c r="I1021" s="22"/>
      <c r="J1021" s="22"/>
      <c r="K1021" s="24"/>
      <c r="L1021" s="24" t="s">
        <v>8331</v>
      </c>
      <c r="M1021" s="25" t="s">
        <v>7149</v>
      </c>
      <c r="N1021" s="22"/>
      <c r="O1021" s="22" t="s">
        <v>7150</v>
      </c>
      <c r="P1021" s="22" t="str">
        <f>HYPERLINK("https://ceds.ed.gov/cedselementdetails.aspx?termid=22467")</f>
        <v>https://ceds.ed.gov/cedselementdetails.aspx?termid=22467</v>
      </c>
      <c r="Q1021" s="22">
        <v>61442</v>
      </c>
    </row>
    <row r="1022" spans="1:17" ht="43.2" x14ac:dyDescent="0.3">
      <c r="A1022" s="22" t="s">
        <v>7779</v>
      </c>
      <c r="B1022" s="22" t="s">
        <v>7789</v>
      </c>
      <c r="C1022" s="22"/>
      <c r="D1022" s="22" t="s">
        <v>7710</v>
      </c>
      <c r="E1022" s="22" t="s">
        <v>5687</v>
      </c>
      <c r="F1022" s="24" t="s">
        <v>5688</v>
      </c>
      <c r="G1022" s="23" t="s">
        <v>32</v>
      </c>
      <c r="H1022" s="22"/>
      <c r="I1022" s="22"/>
      <c r="J1022" s="22" t="s">
        <v>50</v>
      </c>
      <c r="K1022" s="24"/>
      <c r="L1022" s="24"/>
      <c r="M1022" s="25" t="s">
        <v>5689</v>
      </c>
      <c r="N1022" s="22"/>
      <c r="O1022" s="22" t="s">
        <v>5690</v>
      </c>
      <c r="P1022" s="22" t="str">
        <f>HYPERLINK("https://ceds.ed.gov/cedselementdetails.aspx?termid=22644")</f>
        <v>https://ceds.ed.gov/cedselementdetails.aspx?termid=22644</v>
      </c>
      <c r="Q1022" s="22">
        <v>62976</v>
      </c>
    </row>
    <row r="1023" spans="1:17" ht="28.8" x14ac:dyDescent="0.3">
      <c r="A1023" s="22" t="s">
        <v>7779</v>
      </c>
      <c r="B1023" s="22" t="s">
        <v>7789</v>
      </c>
      <c r="C1023" s="22"/>
      <c r="D1023" s="22" t="s">
        <v>7710</v>
      </c>
      <c r="E1023" s="22" t="s">
        <v>5703</v>
      </c>
      <c r="F1023" s="24" t="s">
        <v>5704</v>
      </c>
      <c r="G1023" s="23" t="s">
        <v>32</v>
      </c>
      <c r="H1023" s="22"/>
      <c r="I1023" s="22"/>
      <c r="J1023" s="22" t="s">
        <v>2856</v>
      </c>
      <c r="K1023" s="24"/>
      <c r="L1023" s="24"/>
      <c r="M1023" s="25" t="s">
        <v>5705</v>
      </c>
      <c r="N1023" s="22"/>
      <c r="O1023" s="22" t="s">
        <v>5706</v>
      </c>
      <c r="P1023" s="22" t="str">
        <f>HYPERLINK("https://ceds.ed.gov/cedselementdetails.aspx?termid=22731")</f>
        <v>https://ceds.ed.gov/cedselementdetails.aspx?termid=22731</v>
      </c>
      <c r="Q1023" s="22">
        <v>62983</v>
      </c>
    </row>
    <row r="1024" spans="1:17" ht="172.8" x14ac:dyDescent="0.3">
      <c r="A1024" s="22" t="s">
        <v>7779</v>
      </c>
      <c r="B1024" s="22" t="s">
        <v>7789</v>
      </c>
      <c r="C1024" s="22" t="s">
        <v>7711</v>
      </c>
      <c r="D1024" s="22" t="s">
        <v>7710</v>
      </c>
      <c r="E1024" s="22" t="s">
        <v>5343</v>
      </c>
      <c r="F1024" s="24" t="s">
        <v>5344</v>
      </c>
      <c r="G1024" s="23" t="s">
        <v>32</v>
      </c>
      <c r="H1024" s="24" t="s">
        <v>5342</v>
      </c>
      <c r="I1024" s="22" t="s">
        <v>172</v>
      </c>
      <c r="J1024" s="22" t="s">
        <v>132</v>
      </c>
      <c r="K1024" s="24" t="s">
        <v>7946</v>
      </c>
      <c r="L1024" s="24" t="s">
        <v>8043</v>
      </c>
      <c r="M1024" s="25" t="s">
        <v>5345</v>
      </c>
      <c r="N1024" s="22" t="s">
        <v>5346</v>
      </c>
      <c r="O1024" s="22" t="s">
        <v>5347</v>
      </c>
      <c r="P1024" s="22" t="str">
        <f>HYPERLINK("https://ceds.ed.gov/cedselementdetails.aspx?termid=21153")</f>
        <v>https://ceds.ed.gov/cedselementdetails.aspx?termid=21153</v>
      </c>
      <c r="Q1024" s="22">
        <v>58893</v>
      </c>
    </row>
    <row r="1025" spans="1:17" ht="172.8" x14ac:dyDescent="0.3">
      <c r="A1025" s="22" t="s">
        <v>7779</v>
      </c>
      <c r="B1025" s="22" t="s">
        <v>7789</v>
      </c>
      <c r="C1025" s="22" t="s">
        <v>7711</v>
      </c>
      <c r="D1025" s="22" t="s">
        <v>7710</v>
      </c>
      <c r="E1025" s="22" t="s">
        <v>5337</v>
      </c>
      <c r="F1025" s="24" t="s">
        <v>5338</v>
      </c>
      <c r="G1025" s="26" t="s">
        <v>8472</v>
      </c>
      <c r="H1025" s="24" t="s">
        <v>5342</v>
      </c>
      <c r="I1025" s="22" t="s">
        <v>172</v>
      </c>
      <c r="J1025" s="22"/>
      <c r="K1025" s="24" t="s">
        <v>7946</v>
      </c>
      <c r="L1025" s="24"/>
      <c r="M1025" s="25" t="s">
        <v>5339</v>
      </c>
      <c r="N1025" s="22" t="s">
        <v>5340</v>
      </c>
      <c r="O1025" s="22" t="s">
        <v>5341</v>
      </c>
      <c r="P1025" s="22" t="str">
        <f>HYPERLINK("https://ceds.ed.gov/cedselementdetails.aspx?termid=21159")</f>
        <v>https://ceds.ed.gov/cedselementdetails.aspx?termid=21159</v>
      </c>
      <c r="Q1025" s="22">
        <v>58894</v>
      </c>
    </row>
    <row r="1026" spans="1:17" ht="43.2" x14ac:dyDescent="0.3">
      <c r="A1026" s="22" t="s">
        <v>7779</v>
      </c>
      <c r="B1026" s="22" t="s">
        <v>7789</v>
      </c>
      <c r="C1026" s="22" t="s">
        <v>7711</v>
      </c>
      <c r="D1026" s="22" t="s">
        <v>7710</v>
      </c>
      <c r="E1026" s="22" t="s">
        <v>5695</v>
      </c>
      <c r="F1026" s="24" t="s">
        <v>5696</v>
      </c>
      <c r="G1026" s="23" t="s">
        <v>32</v>
      </c>
      <c r="H1026" s="22" t="s">
        <v>207</v>
      </c>
      <c r="I1026" s="22" t="s">
        <v>172</v>
      </c>
      <c r="J1026" s="22" t="s">
        <v>157</v>
      </c>
      <c r="K1026" s="24" t="s">
        <v>7946</v>
      </c>
      <c r="L1026" s="24"/>
      <c r="M1026" s="25" t="s">
        <v>5697</v>
      </c>
      <c r="N1026" s="22"/>
      <c r="O1026" s="22" t="s">
        <v>5698</v>
      </c>
      <c r="P1026" s="22" t="str">
        <f>HYPERLINK("https://ceds.ed.gov/cedselementdetails.aspx?termid=21204")</f>
        <v>https://ceds.ed.gov/cedselementdetails.aspx?termid=21204</v>
      </c>
      <c r="Q1026" s="22">
        <v>58902</v>
      </c>
    </row>
    <row r="1027" spans="1:17" ht="409.6" x14ac:dyDescent="0.3">
      <c r="A1027" s="22" t="s">
        <v>7779</v>
      </c>
      <c r="B1027" s="22" t="s">
        <v>7789</v>
      </c>
      <c r="C1027" s="22" t="s">
        <v>7711</v>
      </c>
      <c r="D1027" s="22" t="s">
        <v>7710</v>
      </c>
      <c r="E1027" s="22" t="s">
        <v>5715</v>
      </c>
      <c r="F1027" s="24" t="s">
        <v>5716</v>
      </c>
      <c r="G1027" s="26" t="s">
        <v>8493</v>
      </c>
      <c r="H1027" s="22"/>
      <c r="I1027" s="22" t="s">
        <v>172</v>
      </c>
      <c r="J1027" s="22"/>
      <c r="K1027" s="24" t="s">
        <v>8265</v>
      </c>
      <c r="L1027" s="24" t="s">
        <v>5717</v>
      </c>
      <c r="M1027" s="25" t="s">
        <v>5718</v>
      </c>
      <c r="N1027" s="22"/>
      <c r="O1027" s="22" t="s">
        <v>5719</v>
      </c>
      <c r="P1027" s="22" t="str">
        <f>HYPERLINK("https://ceds.ed.gov/cedselementdetails.aspx?termid=22165")</f>
        <v>https://ceds.ed.gov/cedselementdetails.aspx?termid=22165</v>
      </c>
      <c r="Q1027" s="22">
        <v>59817</v>
      </c>
    </row>
    <row r="1028" spans="1:17" ht="86.4" x14ac:dyDescent="0.3">
      <c r="A1028" s="22" t="s">
        <v>7779</v>
      </c>
      <c r="B1028" s="22" t="s">
        <v>7789</v>
      </c>
      <c r="C1028" s="22" t="s">
        <v>7711</v>
      </c>
      <c r="D1028" s="22" t="s">
        <v>7710</v>
      </c>
      <c r="E1028" s="22" t="s">
        <v>5707</v>
      </c>
      <c r="F1028" s="24" t="s">
        <v>5708</v>
      </c>
      <c r="G1028" s="26" t="s">
        <v>8491</v>
      </c>
      <c r="H1028" s="22"/>
      <c r="I1028" s="22" t="s">
        <v>172</v>
      </c>
      <c r="J1028" s="22"/>
      <c r="K1028" s="24" t="s">
        <v>8263</v>
      </c>
      <c r="L1028" s="24" t="s">
        <v>8264</v>
      </c>
      <c r="M1028" s="25" t="s">
        <v>5709</v>
      </c>
      <c r="N1028" s="22"/>
      <c r="O1028" s="22" t="s">
        <v>5710</v>
      </c>
      <c r="P1028" s="22" t="str">
        <f>HYPERLINK("https://ceds.ed.gov/cedselementdetails.aspx?termid=22886")</f>
        <v>https://ceds.ed.gov/cedselementdetails.aspx?termid=22886</v>
      </c>
      <c r="Q1028" s="22">
        <v>63153</v>
      </c>
    </row>
    <row r="1029" spans="1:17" ht="72" x14ac:dyDescent="0.3">
      <c r="A1029" s="22" t="s">
        <v>7779</v>
      </c>
      <c r="B1029" s="22" t="s">
        <v>7789</v>
      </c>
      <c r="C1029" s="22" t="s">
        <v>7712</v>
      </c>
      <c r="D1029" s="22" t="s">
        <v>7710</v>
      </c>
      <c r="E1029" s="22" t="s">
        <v>199</v>
      </c>
      <c r="F1029" s="24" t="s">
        <v>200</v>
      </c>
      <c r="G1029" s="26" t="s">
        <v>8394</v>
      </c>
      <c r="H1029" s="24" t="s">
        <v>64</v>
      </c>
      <c r="I1029" s="22" t="s">
        <v>172</v>
      </c>
      <c r="J1029" s="22" t="s">
        <v>85</v>
      </c>
      <c r="K1029" s="24" t="s">
        <v>7946</v>
      </c>
      <c r="L1029" s="24"/>
      <c r="M1029" s="25" t="s">
        <v>201</v>
      </c>
      <c r="N1029" s="22"/>
      <c r="O1029" s="22" t="s">
        <v>202</v>
      </c>
      <c r="P1029" s="22" t="str">
        <f>HYPERLINK("https://ceds.ed.gov/cedselementdetails.aspx?termid=21644")</f>
        <v>https://ceds.ed.gov/cedselementdetails.aspx?termid=21644</v>
      </c>
      <c r="Q1029" s="22">
        <v>58962</v>
      </c>
    </row>
    <row r="1030" spans="1:17" ht="187.2" x14ac:dyDescent="0.3">
      <c r="A1030" s="22" t="s">
        <v>7779</v>
      </c>
      <c r="B1030" s="22" t="s">
        <v>7789</v>
      </c>
      <c r="C1030" s="22" t="s">
        <v>7712</v>
      </c>
      <c r="D1030" s="22" t="s">
        <v>7710</v>
      </c>
      <c r="E1030" s="22" t="s">
        <v>189</v>
      </c>
      <c r="F1030" s="24" t="s">
        <v>190</v>
      </c>
      <c r="G1030" s="23" t="s">
        <v>32</v>
      </c>
      <c r="H1030" s="24" t="s">
        <v>175</v>
      </c>
      <c r="I1030" s="22" t="s">
        <v>172</v>
      </c>
      <c r="J1030" s="22" t="s">
        <v>191</v>
      </c>
      <c r="K1030" s="24" t="s">
        <v>7946</v>
      </c>
      <c r="L1030" s="24"/>
      <c r="M1030" s="25" t="s">
        <v>192</v>
      </c>
      <c r="N1030" s="22"/>
      <c r="O1030" s="22" t="s">
        <v>193</v>
      </c>
      <c r="P1030" s="22" t="str">
        <f>HYPERLINK("https://ceds.ed.gov/cedselementdetails.aspx?termid=21269")</f>
        <v>https://ceds.ed.gov/cedselementdetails.aspx?termid=21269</v>
      </c>
      <c r="Q1030" s="22">
        <v>58912</v>
      </c>
    </row>
    <row r="1031" spans="1:17" ht="187.2" x14ac:dyDescent="0.3">
      <c r="A1031" s="22" t="s">
        <v>7779</v>
      </c>
      <c r="B1031" s="22" t="s">
        <v>7789</v>
      </c>
      <c r="C1031" s="22" t="s">
        <v>7712</v>
      </c>
      <c r="D1031" s="22" t="s">
        <v>7710</v>
      </c>
      <c r="E1031" s="22" t="s">
        <v>170</v>
      </c>
      <c r="F1031" s="24" t="s">
        <v>171</v>
      </c>
      <c r="G1031" s="23" t="s">
        <v>32</v>
      </c>
      <c r="H1031" s="24" t="s">
        <v>175</v>
      </c>
      <c r="I1031" s="22" t="s">
        <v>172</v>
      </c>
      <c r="J1031" s="22" t="s">
        <v>157</v>
      </c>
      <c r="K1031" s="24" t="s">
        <v>7946</v>
      </c>
      <c r="L1031" s="24"/>
      <c r="M1031" s="25" t="s">
        <v>173</v>
      </c>
      <c r="N1031" s="22"/>
      <c r="O1031" s="22" t="s">
        <v>174</v>
      </c>
      <c r="P1031" s="22" t="str">
        <f>HYPERLINK("https://ceds.ed.gov/cedselementdetails.aspx?termid=21019")</f>
        <v>https://ceds.ed.gov/cedselementdetails.aspx?termid=21019</v>
      </c>
      <c r="Q1031" s="22">
        <v>60146</v>
      </c>
    </row>
    <row r="1032" spans="1:17" ht="187.2" x14ac:dyDescent="0.3">
      <c r="A1032" s="22" t="s">
        <v>7779</v>
      </c>
      <c r="B1032" s="22" t="s">
        <v>7789</v>
      </c>
      <c r="C1032" s="22" t="s">
        <v>7712</v>
      </c>
      <c r="D1032" s="22" t="s">
        <v>7710</v>
      </c>
      <c r="E1032" s="22" t="s">
        <v>176</v>
      </c>
      <c r="F1032" s="24" t="s">
        <v>177</v>
      </c>
      <c r="G1032" s="23" t="s">
        <v>32</v>
      </c>
      <c r="H1032" s="24" t="s">
        <v>175</v>
      </c>
      <c r="I1032" s="22" t="s">
        <v>172</v>
      </c>
      <c r="J1032" s="22" t="s">
        <v>85</v>
      </c>
      <c r="K1032" s="24" t="s">
        <v>7946</v>
      </c>
      <c r="L1032" s="24"/>
      <c r="M1032" s="25" t="s">
        <v>178</v>
      </c>
      <c r="N1032" s="22"/>
      <c r="O1032" s="22" t="s">
        <v>179</v>
      </c>
      <c r="P1032" s="22" t="str">
        <f>HYPERLINK("https://ceds.ed.gov/cedselementdetails.aspx?termid=21040")</f>
        <v>https://ceds.ed.gov/cedselementdetails.aspx?termid=21040</v>
      </c>
      <c r="Q1032" s="22">
        <v>58886</v>
      </c>
    </row>
    <row r="1033" spans="1:17" ht="409.6" x14ac:dyDescent="0.3">
      <c r="A1033" s="22" t="s">
        <v>7779</v>
      </c>
      <c r="B1033" s="22" t="s">
        <v>7789</v>
      </c>
      <c r="C1033" s="22" t="s">
        <v>7712</v>
      </c>
      <c r="D1033" s="22" t="s">
        <v>7710</v>
      </c>
      <c r="E1033" s="22" t="s">
        <v>6941</v>
      </c>
      <c r="F1033" s="24" t="s">
        <v>6942</v>
      </c>
      <c r="G1033" s="26" t="s">
        <v>8533</v>
      </c>
      <c r="H1033" s="24" t="s">
        <v>6945</v>
      </c>
      <c r="I1033" s="22" t="s">
        <v>172</v>
      </c>
      <c r="J1033" s="22"/>
      <c r="K1033" s="24" t="s">
        <v>8327</v>
      </c>
      <c r="L1033" s="24"/>
      <c r="M1033" s="25" t="s">
        <v>6943</v>
      </c>
      <c r="N1033" s="22"/>
      <c r="O1033" s="22" t="s">
        <v>6944</v>
      </c>
      <c r="P1033" s="22" t="str">
        <f>HYPERLINK("https://ceds.ed.gov/cedselementdetails.aspx?termid=21267")</f>
        <v>https://ceds.ed.gov/cedselementdetails.aspx?termid=21267</v>
      </c>
      <c r="Q1033" s="22">
        <v>58911</v>
      </c>
    </row>
    <row r="1034" spans="1:17" ht="187.2" x14ac:dyDescent="0.3">
      <c r="A1034" s="22" t="s">
        <v>7779</v>
      </c>
      <c r="B1034" s="22" t="s">
        <v>7789</v>
      </c>
      <c r="C1034" s="22" t="s">
        <v>7712</v>
      </c>
      <c r="D1034" s="22" t="s">
        <v>7710</v>
      </c>
      <c r="E1034" s="22" t="s">
        <v>184</v>
      </c>
      <c r="F1034" s="24" t="s">
        <v>185</v>
      </c>
      <c r="G1034" s="23" t="s">
        <v>32</v>
      </c>
      <c r="H1034" s="24" t="s">
        <v>175</v>
      </c>
      <c r="I1034" s="22" t="s">
        <v>172</v>
      </c>
      <c r="J1034" s="22" t="s">
        <v>186</v>
      </c>
      <c r="K1034" s="24" t="s">
        <v>7946</v>
      </c>
      <c r="L1034" s="24"/>
      <c r="M1034" s="25" t="s">
        <v>187</v>
      </c>
      <c r="N1034" s="22"/>
      <c r="O1034" s="22" t="s">
        <v>188</v>
      </c>
      <c r="P1034" s="22" t="str">
        <f>HYPERLINK("https://ceds.ed.gov/cedselementdetails.aspx?termid=21214")</f>
        <v>https://ceds.ed.gov/cedselementdetails.aspx?termid=21214</v>
      </c>
      <c r="Q1034" s="22">
        <v>58905</v>
      </c>
    </row>
    <row r="1035" spans="1:17" ht="187.2" x14ac:dyDescent="0.3">
      <c r="A1035" s="22" t="s">
        <v>7779</v>
      </c>
      <c r="B1035" s="22" t="s">
        <v>7789</v>
      </c>
      <c r="C1035" s="22" t="s">
        <v>7712</v>
      </c>
      <c r="D1035" s="22" t="s">
        <v>7710</v>
      </c>
      <c r="E1035" s="22" t="s">
        <v>180</v>
      </c>
      <c r="F1035" s="24" t="s">
        <v>181</v>
      </c>
      <c r="G1035" s="23" t="s">
        <v>32</v>
      </c>
      <c r="H1035" s="24" t="s">
        <v>175</v>
      </c>
      <c r="I1035" s="22" t="s">
        <v>172</v>
      </c>
      <c r="J1035" s="22" t="s">
        <v>85</v>
      </c>
      <c r="K1035" s="24" t="s">
        <v>7946</v>
      </c>
      <c r="L1035" s="24"/>
      <c r="M1035" s="25" t="s">
        <v>182</v>
      </c>
      <c r="N1035" s="22"/>
      <c r="O1035" s="22" t="s">
        <v>183</v>
      </c>
      <c r="P1035" s="22" t="str">
        <f>HYPERLINK("https://ceds.ed.gov/cedselementdetails.aspx?termid=21190")</f>
        <v>https://ceds.ed.gov/cedselementdetails.aspx?termid=21190</v>
      </c>
      <c r="Q1035" s="22">
        <v>58901</v>
      </c>
    </row>
    <row r="1036" spans="1:17" ht="409.6" x14ac:dyDescent="0.3">
      <c r="A1036" s="22" t="s">
        <v>7779</v>
      </c>
      <c r="B1036" s="22" t="s">
        <v>7789</v>
      </c>
      <c r="C1036" s="22" t="s">
        <v>7712</v>
      </c>
      <c r="D1036" s="22" t="s">
        <v>7710</v>
      </c>
      <c r="E1036" s="22" t="s">
        <v>6953</v>
      </c>
      <c r="F1036" s="24" t="s">
        <v>6954</v>
      </c>
      <c r="G1036" s="26" t="s">
        <v>8536</v>
      </c>
      <c r="H1036" s="24" t="s">
        <v>6957</v>
      </c>
      <c r="I1036" s="22" t="s">
        <v>172</v>
      </c>
      <c r="J1036" s="22"/>
      <c r="K1036" s="24" t="s">
        <v>8330</v>
      </c>
      <c r="L1036" s="24"/>
      <c r="M1036" s="25" t="s">
        <v>6955</v>
      </c>
      <c r="N1036" s="22"/>
      <c r="O1036" s="22" t="s">
        <v>6956</v>
      </c>
      <c r="P1036" s="22" t="str">
        <f>HYPERLINK("https://ceds.ed.gov/cedselementdetails.aspx?termid=21414")</f>
        <v>https://ceds.ed.gov/cedselementdetails.aspx?termid=21414</v>
      </c>
      <c r="Q1036" s="22">
        <v>62229</v>
      </c>
    </row>
    <row r="1037" spans="1:17" ht="158.4" x14ac:dyDescent="0.3">
      <c r="A1037" s="22" t="s">
        <v>7779</v>
      </c>
      <c r="B1037" s="22" t="s">
        <v>7789</v>
      </c>
      <c r="C1037" s="22" t="s">
        <v>7712</v>
      </c>
      <c r="D1037" s="22" t="s">
        <v>7710</v>
      </c>
      <c r="E1037" s="22" t="s">
        <v>2536</v>
      </c>
      <c r="F1037" s="24" t="s">
        <v>2537</v>
      </c>
      <c r="G1037" s="23" t="s">
        <v>32</v>
      </c>
      <c r="H1037" s="22"/>
      <c r="I1037" s="22"/>
      <c r="J1037" s="22" t="s">
        <v>2538</v>
      </c>
      <c r="K1037" s="24"/>
      <c r="L1037" s="24"/>
      <c r="M1037" s="25" t="s">
        <v>2539</v>
      </c>
      <c r="N1037" s="22"/>
      <c r="O1037" s="22" t="s">
        <v>2540</v>
      </c>
      <c r="P1037" s="22" t="str">
        <f>HYPERLINK("https://ceds.ed.gov/cedselementdetails.aspx?termid=22176")</f>
        <v>https://ceds.ed.gov/cedselementdetails.aspx?termid=22176</v>
      </c>
      <c r="Q1037" s="22">
        <v>58887</v>
      </c>
    </row>
    <row r="1038" spans="1:17" ht="43.2" x14ac:dyDescent="0.3">
      <c r="A1038" s="22" t="s">
        <v>7779</v>
      </c>
      <c r="B1038" s="22" t="s">
        <v>7789</v>
      </c>
      <c r="C1038" s="22" t="s">
        <v>7712</v>
      </c>
      <c r="D1038" s="22" t="s">
        <v>7710</v>
      </c>
      <c r="E1038" s="22" t="s">
        <v>1798</v>
      </c>
      <c r="F1038" s="24" t="s">
        <v>1799</v>
      </c>
      <c r="G1038" s="23" t="s">
        <v>32</v>
      </c>
      <c r="H1038" s="22"/>
      <c r="I1038" s="22" t="s">
        <v>172</v>
      </c>
      <c r="J1038" s="22" t="s">
        <v>157</v>
      </c>
      <c r="K1038" s="24" t="s">
        <v>7946</v>
      </c>
      <c r="L1038" s="24"/>
      <c r="M1038" s="25" t="s">
        <v>1800</v>
      </c>
      <c r="N1038" s="22"/>
      <c r="O1038" s="22" t="s">
        <v>1801</v>
      </c>
      <c r="P1038" s="22" t="str">
        <f>HYPERLINK("https://ceds.ed.gov/cedselementdetails.aspx?termid=21595")</f>
        <v>https://ceds.ed.gov/cedselementdetails.aspx?termid=21595</v>
      </c>
      <c r="Q1038" s="22">
        <v>62176</v>
      </c>
    </row>
    <row r="1039" spans="1:17" ht="57.6" x14ac:dyDescent="0.3">
      <c r="A1039" s="22" t="s">
        <v>7779</v>
      </c>
      <c r="B1039" s="22" t="s">
        <v>7789</v>
      </c>
      <c r="C1039" s="22" t="s">
        <v>7712</v>
      </c>
      <c r="D1039" s="22" t="s">
        <v>7710</v>
      </c>
      <c r="E1039" s="22" t="s">
        <v>4982</v>
      </c>
      <c r="F1039" s="24" t="s">
        <v>4983</v>
      </c>
      <c r="G1039" s="23" t="s">
        <v>32</v>
      </c>
      <c r="H1039" s="22"/>
      <c r="I1039" s="22"/>
      <c r="J1039" s="22" t="s">
        <v>1165</v>
      </c>
      <c r="K1039" s="24"/>
      <c r="L1039" s="24"/>
      <c r="M1039" s="25" t="s">
        <v>4984</v>
      </c>
      <c r="N1039" s="22"/>
      <c r="O1039" s="22" t="s">
        <v>4982</v>
      </c>
      <c r="P1039" s="22" t="str">
        <f>HYPERLINK("https://ceds.ed.gov/cedselementdetails.aspx?termid=21599")</f>
        <v>https://ceds.ed.gov/cedselementdetails.aspx?termid=21599</v>
      </c>
      <c r="Q1039" s="22">
        <v>62259</v>
      </c>
    </row>
    <row r="1040" spans="1:17" ht="57.6" x14ac:dyDescent="0.3">
      <c r="A1040" s="22" t="s">
        <v>7779</v>
      </c>
      <c r="B1040" s="22" t="s">
        <v>7789</v>
      </c>
      <c r="C1040" s="22" t="s">
        <v>7712</v>
      </c>
      <c r="D1040" s="22" t="s">
        <v>7710</v>
      </c>
      <c r="E1040" s="22" t="s">
        <v>5372</v>
      </c>
      <c r="F1040" s="24" t="s">
        <v>5373</v>
      </c>
      <c r="G1040" s="23" t="s">
        <v>32</v>
      </c>
      <c r="H1040" s="22"/>
      <c r="I1040" s="22"/>
      <c r="J1040" s="22" t="s">
        <v>1165</v>
      </c>
      <c r="K1040" s="24"/>
      <c r="L1040" s="24"/>
      <c r="M1040" s="25" t="s">
        <v>5374</v>
      </c>
      <c r="N1040" s="22"/>
      <c r="O1040" s="22" t="s">
        <v>5372</v>
      </c>
      <c r="P1040" s="22" t="str">
        <f>HYPERLINK("https://ceds.ed.gov/cedselementdetails.aspx?termid=21600")</f>
        <v>https://ceds.ed.gov/cedselementdetails.aspx?termid=21600</v>
      </c>
      <c r="Q1040" s="22">
        <v>62282</v>
      </c>
    </row>
    <row r="1041" spans="1:17" ht="57.6" x14ac:dyDescent="0.3">
      <c r="A1041" s="22" t="s">
        <v>7779</v>
      </c>
      <c r="B1041" s="22" t="s">
        <v>7789</v>
      </c>
      <c r="C1041" s="22" t="s">
        <v>7712</v>
      </c>
      <c r="D1041" s="22" t="s">
        <v>7710</v>
      </c>
      <c r="E1041" s="22" t="s">
        <v>3228</v>
      </c>
      <c r="F1041" s="24" t="s">
        <v>3229</v>
      </c>
      <c r="G1041" s="26" t="s">
        <v>3039</v>
      </c>
      <c r="H1041" s="22"/>
      <c r="I1041" s="22" t="s">
        <v>172</v>
      </c>
      <c r="J1041" s="22"/>
      <c r="K1041" s="24" t="s">
        <v>7946</v>
      </c>
      <c r="L1041" s="24"/>
      <c r="M1041" s="25" t="s">
        <v>3230</v>
      </c>
      <c r="N1041" s="22"/>
      <c r="O1041" s="22" t="s">
        <v>3231</v>
      </c>
      <c r="P1041" s="22" t="str">
        <f>HYPERLINK("https://ceds.ed.gov/cedselementdetails.aspx?termid=22905")</f>
        <v>https://ceds.ed.gov/cedselementdetails.aspx?termid=22905</v>
      </c>
      <c r="Q1041" s="22">
        <v>63351</v>
      </c>
    </row>
    <row r="1042" spans="1:17" ht="72" x14ac:dyDescent="0.3">
      <c r="A1042" s="22" t="s">
        <v>7779</v>
      </c>
      <c r="B1042" s="22" t="s">
        <v>7789</v>
      </c>
      <c r="C1042" s="22" t="s">
        <v>7713</v>
      </c>
      <c r="D1042" s="22" t="s">
        <v>7710</v>
      </c>
      <c r="E1042" s="22" t="s">
        <v>7159</v>
      </c>
      <c r="F1042" s="24" t="s">
        <v>7160</v>
      </c>
      <c r="G1042" s="23" t="s">
        <v>32</v>
      </c>
      <c r="H1042" s="24" t="s">
        <v>64</v>
      </c>
      <c r="I1042" s="22"/>
      <c r="J1042" s="22" t="s">
        <v>7161</v>
      </c>
      <c r="K1042" s="24"/>
      <c r="L1042" s="24"/>
      <c r="M1042" s="25" t="s">
        <v>7162</v>
      </c>
      <c r="N1042" s="22"/>
      <c r="O1042" s="22" t="s">
        <v>7163</v>
      </c>
      <c r="P1042" s="22" t="str">
        <f>HYPERLINK("https://ceds.ed.gov/cedselementdetails.aspx?termid=21279")</f>
        <v>https://ceds.ed.gov/cedselementdetails.aspx?termid=21279</v>
      </c>
      <c r="Q1042" s="22">
        <v>58913</v>
      </c>
    </row>
    <row r="1043" spans="1:17" ht="115.2" x14ac:dyDescent="0.3">
      <c r="A1043" s="22" t="s">
        <v>7779</v>
      </c>
      <c r="B1043" s="22" t="s">
        <v>7789</v>
      </c>
      <c r="C1043" s="22" t="s">
        <v>7713</v>
      </c>
      <c r="D1043" s="22" t="s">
        <v>7710</v>
      </c>
      <c r="E1043" s="22" t="s">
        <v>4776</v>
      </c>
      <c r="F1043" s="24" t="s">
        <v>4777</v>
      </c>
      <c r="G1043" s="26" t="s">
        <v>8967</v>
      </c>
      <c r="H1043" s="22"/>
      <c r="I1043" s="22"/>
      <c r="J1043" s="22"/>
      <c r="K1043" s="24"/>
      <c r="L1043" s="24"/>
      <c r="M1043" s="25" t="s">
        <v>4778</v>
      </c>
      <c r="N1043" s="22"/>
      <c r="O1043" s="22" t="s">
        <v>4779</v>
      </c>
      <c r="P1043" s="22" t="str">
        <f>HYPERLINK("https://ceds.ed.gov/cedselementdetails.aspx?termid=21167")</f>
        <v>https://ceds.ed.gov/cedselementdetails.aspx?termid=21167</v>
      </c>
      <c r="Q1043" s="22">
        <v>58895</v>
      </c>
    </row>
    <row r="1044" spans="1:17" ht="72" x14ac:dyDescent="0.3">
      <c r="A1044" s="22" t="s">
        <v>7779</v>
      </c>
      <c r="B1044" s="22" t="s">
        <v>7789</v>
      </c>
      <c r="C1044" s="22" t="s">
        <v>7713</v>
      </c>
      <c r="D1044" s="22" t="s">
        <v>7710</v>
      </c>
      <c r="E1044" s="22" t="s">
        <v>5965</v>
      </c>
      <c r="F1044" s="24" t="s">
        <v>5966</v>
      </c>
      <c r="G1044" s="26" t="s">
        <v>22</v>
      </c>
      <c r="H1044" s="24" t="s">
        <v>64</v>
      </c>
      <c r="I1044" s="22"/>
      <c r="J1044" s="22"/>
      <c r="K1044" s="24"/>
      <c r="L1044" s="24"/>
      <c r="M1044" s="25" t="s">
        <v>5967</v>
      </c>
      <c r="N1044" s="22"/>
      <c r="O1044" s="22" t="s">
        <v>5968</v>
      </c>
      <c r="P1044" s="22" t="str">
        <f>HYPERLINK("https://ceds.ed.gov/cedselementdetails.aspx?termid=21219")</f>
        <v>https://ceds.ed.gov/cedselementdetails.aspx?termid=21219</v>
      </c>
      <c r="Q1044" s="22">
        <v>58908</v>
      </c>
    </row>
    <row r="1045" spans="1:17" ht="57.6" x14ac:dyDescent="0.3">
      <c r="A1045" s="22" t="s">
        <v>7779</v>
      </c>
      <c r="B1045" s="22" t="s">
        <v>7789</v>
      </c>
      <c r="C1045" s="22" t="s">
        <v>7713</v>
      </c>
      <c r="D1045" s="22" t="s">
        <v>7710</v>
      </c>
      <c r="E1045" s="22" t="s">
        <v>3228</v>
      </c>
      <c r="F1045" s="24" t="s">
        <v>3229</v>
      </c>
      <c r="G1045" s="26" t="s">
        <v>3039</v>
      </c>
      <c r="H1045" s="22"/>
      <c r="I1045" s="22" t="s">
        <v>172</v>
      </c>
      <c r="J1045" s="22"/>
      <c r="K1045" s="24" t="s">
        <v>7946</v>
      </c>
      <c r="L1045" s="24"/>
      <c r="M1045" s="25" t="s">
        <v>3230</v>
      </c>
      <c r="N1045" s="22"/>
      <c r="O1045" s="22" t="s">
        <v>3231</v>
      </c>
      <c r="P1045" s="22" t="str">
        <f>HYPERLINK("https://ceds.ed.gov/cedselementdetails.aspx?termid=22905")</f>
        <v>https://ceds.ed.gov/cedselementdetails.aspx?termid=22905</v>
      </c>
      <c r="Q1045" s="22">
        <v>63354</v>
      </c>
    </row>
    <row r="1046" spans="1:17" ht="57.6" x14ac:dyDescent="0.3">
      <c r="A1046" s="22" t="s">
        <v>7779</v>
      </c>
      <c r="B1046" s="22" t="s">
        <v>7789</v>
      </c>
      <c r="C1046" s="22" t="s">
        <v>7713</v>
      </c>
      <c r="D1046" s="22" t="s">
        <v>7710</v>
      </c>
      <c r="E1046" s="22" t="s">
        <v>7164</v>
      </c>
      <c r="F1046" s="24" t="s">
        <v>7165</v>
      </c>
      <c r="G1046" s="26" t="s">
        <v>9167</v>
      </c>
      <c r="H1046" s="22"/>
      <c r="I1046" s="22"/>
      <c r="J1046" s="22"/>
      <c r="K1046" s="24"/>
      <c r="L1046" s="24"/>
      <c r="M1046" s="25" t="s">
        <v>7166</v>
      </c>
      <c r="N1046" s="22"/>
      <c r="O1046" s="22" t="s">
        <v>7167</v>
      </c>
      <c r="P1046" s="22" t="str">
        <f>HYPERLINK("https://ceds.ed.gov/cedselementdetails.aspx?termid=22911")</f>
        <v>https://ceds.ed.gov/cedselementdetails.aspx?termid=22911</v>
      </c>
      <c r="Q1046" s="22">
        <v>63355</v>
      </c>
    </row>
    <row r="1047" spans="1:17" ht="172.8" x14ac:dyDescent="0.3">
      <c r="A1047" s="22" t="s">
        <v>7779</v>
      </c>
      <c r="B1047" s="22" t="s">
        <v>7789</v>
      </c>
      <c r="C1047" s="22" t="s">
        <v>7721</v>
      </c>
      <c r="D1047" s="22" t="s">
        <v>7710</v>
      </c>
      <c r="E1047" s="22" t="s">
        <v>5369</v>
      </c>
      <c r="F1047" s="24" t="s">
        <v>8249</v>
      </c>
      <c r="G1047" s="26" t="s">
        <v>8476</v>
      </c>
      <c r="H1047" s="22" t="s">
        <v>226</v>
      </c>
      <c r="I1047" s="22" t="s">
        <v>172</v>
      </c>
      <c r="J1047" s="22"/>
      <c r="K1047" s="24" t="s">
        <v>7946</v>
      </c>
      <c r="L1047" s="24" t="s">
        <v>8250</v>
      </c>
      <c r="M1047" s="25" t="s">
        <v>5370</v>
      </c>
      <c r="N1047" s="22"/>
      <c r="O1047" s="22" t="s">
        <v>5371</v>
      </c>
      <c r="P1047" s="22" t="str">
        <f>HYPERLINK("https://ceds.ed.gov/cedselementdetails.aspx?termid=21528")</f>
        <v>https://ceds.ed.gov/cedselementdetails.aspx?termid=21528</v>
      </c>
      <c r="Q1047" s="22">
        <v>58951</v>
      </c>
    </row>
    <row r="1048" spans="1:17" ht="129.6" x14ac:dyDescent="0.3">
      <c r="A1048" s="22" t="s">
        <v>7779</v>
      </c>
      <c r="B1048" s="22" t="s">
        <v>7789</v>
      </c>
      <c r="C1048" s="22" t="s">
        <v>7721</v>
      </c>
      <c r="D1048" s="22" t="s">
        <v>7710</v>
      </c>
      <c r="E1048" s="22" t="s">
        <v>5353</v>
      </c>
      <c r="F1048" s="24" t="s">
        <v>5354</v>
      </c>
      <c r="G1048" s="26" t="s">
        <v>8474</v>
      </c>
      <c r="H1048" s="22" t="s">
        <v>226</v>
      </c>
      <c r="I1048" s="22" t="s">
        <v>172</v>
      </c>
      <c r="J1048" s="22"/>
      <c r="K1048" s="24" t="s">
        <v>7946</v>
      </c>
      <c r="L1048" s="24"/>
      <c r="M1048" s="25" t="s">
        <v>5356</v>
      </c>
      <c r="N1048" s="22" t="s">
        <v>5357</v>
      </c>
      <c r="O1048" s="22" t="s">
        <v>5358</v>
      </c>
      <c r="P1048" s="22" t="str">
        <f>HYPERLINK("https://ceds.ed.gov/cedselementdetails.aspx?termid=21174")</f>
        <v>https://ceds.ed.gov/cedselementdetails.aspx?termid=21174</v>
      </c>
      <c r="Q1048" s="22">
        <v>58898</v>
      </c>
    </row>
    <row r="1049" spans="1:17" ht="28.8" x14ac:dyDescent="0.3">
      <c r="A1049" s="22" t="s">
        <v>7779</v>
      </c>
      <c r="B1049" s="22" t="s">
        <v>7789</v>
      </c>
      <c r="C1049" s="22" t="s">
        <v>7721</v>
      </c>
      <c r="D1049" s="22" t="s">
        <v>7710</v>
      </c>
      <c r="E1049" s="22" t="s">
        <v>5667</v>
      </c>
      <c r="F1049" s="24" t="s">
        <v>5668</v>
      </c>
      <c r="G1049" s="23" t="s">
        <v>32</v>
      </c>
      <c r="H1049" s="22" t="s">
        <v>226</v>
      </c>
      <c r="I1049" s="22" t="s">
        <v>172</v>
      </c>
      <c r="J1049" s="22" t="s">
        <v>118</v>
      </c>
      <c r="K1049" s="24" t="s">
        <v>7946</v>
      </c>
      <c r="L1049" s="24"/>
      <c r="M1049" s="25" t="s">
        <v>5669</v>
      </c>
      <c r="N1049" s="22"/>
      <c r="O1049" s="22" t="s">
        <v>5670</v>
      </c>
      <c r="P1049" s="22" t="str">
        <f>HYPERLINK("https://ceds.ed.gov/cedselementdetails.aspx?termid=21525")</f>
        <v>https://ceds.ed.gov/cedselementdetails.aspx?termid=21525</v>
      </c>
      <c r="Q1049" s="22">
        <v>58950</v>
      </c>
    </row>
    <row r="1050" spans="1:17" ht="28.8" x14ac:dyDescent="0.3">
      <c r="A1050" s="22" t="s">
        <v>7779</v>
      </c>
      <c r="B1050" s="22" t="s">
        <v>7789</v>
      </c>
      <c r="C1050" s="22" t="s">
        <v>7721</v>
      </c>
      <c r="D1050" s="22" t="s">
        <v>7710</v>
      </c>
      <c r="E1050" s="22" t="s">
        <v>5359</v>
      </c>
      <c r="F1050" s="24" t="s">
        <v>8248</v>
      </c>
      <c r="G1050" s="23" t="s">
        <v>32</v>
      </c>
      <c r="H1050" s="22" t="s">
        <v>226</v>
      </c>
      <c r="I1050" s="22"/>
      <c r="J1050" s="22" t="s">
        <v>5360</v>
      </c>
      <c r="K1050" s="24"/>
      <c r="L1050" s="24"/>
      <c r="M1050" s="25" t="s">
        <v>5361</v>
      </c>
      <c r="N1050" s="22" t="s">
        <v>5362</v>
      </c>
      <c r="O1050" s="22" t="s">
        <v>5363</v>
      </c>
      <c r="P1050" s="22" t="str">
        <f>HYPERLINK("https://ceds.ed.gov/cedselementdetails.aspx?termid=21175")</f>
        <v>https://ceds.ed.gov/cedselementdetails.aspx?termid=21175</v>
      </c>
      <c r="Q1050" s="22">
        <v>58899</v>
      </c>
    </row>
    <row r="1051" spans="1:17" ht="115.2" x14ac:dyDescent="0.3">
      <c r="A1051" s="22" t="s">
        <v>7779</v>
      </c>
      <c r="B1051" s="22" t="s">
        <v>7789</v>
      </c>
      <c r="C1051" s="22" t="s">
        <v>7721</v>
      </c>
      <c r="D1051" s="22" t="s">
        <v>7710</v>
      </c>
      <c r="E1051" s="22" t="s">
        <v>1987</v>
      </c>
      <c r="F1051" s="24" t="s">
        <v>1988</v>
      </c>
      <c r="G1051" s="26" t="s">
        <v>22</v>
      </c>
      <c r="H1051" s="24" t="s">
        <v>64</v>
      </c>
      <c r="I1051" s="22"/>
      <c r="J1051" s="22"/>
      <c r="K1051" s="24"/>
      <c r="L1051" s="24" t="s">
        <v>1990</v>
      </c>
      <c r="M1051" s="25" t="s">
        <v>1991</v>
      </c>
      <c r="N1051" s="22"/>
      <c r="O1051" s="22" t="s">
        <v>1992</v>
      </c>
      <c r="P1051" s="22" t="str">
        <f>HYPERLINK("https://ceds.ed.gov/cedselementdetails.aspx?termid=21039")</f>
        <v>https://ceds.ed.gov/cedselementdetails.aspx?termid=21039</v>
      </c>
      <c r="Q1051" s="22">
        <v>58885</v>
      </c>
    </row>
    <row r="1052" spans="1:17" ht="28.8" x14ac:dyDescent="0.3">
      <c r="A1052" s="22" t="s">
        <v>7779</v>
      </c>
      <c r="B1052" s="22" t="s">
        <v>7789</v>
      </c>
      <c r="C1052" s="22" t="s">
        <v>7721</v>
      </c>
      <c r="D1052" s="22" t="s">
        <v>7710</v>
      </c>
      <c r="E1052" s="22" t="s">
        <v>7370</v>
      </c>
      <c r="F1052" s="24" t="s">
        <v>7371</v>
      </c>
      <c r="G1052" s="23" t="s">
        <v>32</v>
      </c>
      <c r="H1052" s="22" t="s">
        <v>226</v>
      </c>
      <c r="I1052" s="22" t="s">
        <v>172</v>
      </c>
      <c r="J1052" s="22" t="s">
        <v>113</v>
      </c>
      <c r="K1052" s="24" t="s">
        <v>7946</v>
      </c>
      <c r="L1052" s="24"/>
      <c r="M1052" s="25" t="s">
        <v>7372</v>
      </c>
      <c r="N1052" s="22"/>
      <c r="O1052" s="22" t="s">
        <v>7373</v>
      </c>
      <c r="P1052" s="22" t="str">
        <f>HYPERLINK("https://ceds.ed.gov/cedselementdetails.aspx?termid=21300")</f>
        <v>https://ceds.ed.gov/cedselementdetails.aspx?termid=21300</v>
      </c>
      <c r="Q1052" s="22">
        <v>58917</v>
      </c>
    </row>
    <row r="1053" spans="1:17" ht="172.8" x14ac:dyDescent="0.3">
      <c r="A1053" s="22" t="s">
        <v>7779</v>
      </c>
      <c r="B1053" s="22" t="s">
        <v>7789</v>
      </c>
      <c r="C1053" s="22" t="s">
        <v>7721</v>
      </c>
      <c r="D1053" s="22" t="s">
        <v>7710</v>
      </c>
      <c r="E1053" s="22" t="s">
        <v>3633</v>
      </c>
      <c r="F1053" s="24" t="s">
        <v>3634</v>
      </c>
      <c r="G1053" s="23" t="s">
        <v>32</v>
      </c>
      <c r="H1053" s="22"/>
      <c r="I1053" s="22" t="s">
        <v>172</v>
      </c>
      <c r="J1053" s="22" t="s">
        <v>132</v>
      </c>
      <c r="K1053" s="24" t="s">
        <v>7946</v>
      </c>
      <c r="L1053" s="24" t="s">
        <v>7945</v>
      </c>
      <c r="M1053" s="25" t="s">
        <v>3635</v>
      </c>
      <c r="N1053" s="22"/>
      <c r="O1053" s="22" t="s">
        <v>3636</v>
      </c>
      <c r="P1053" s="22" t="str">
        <f>HYPERLINK("https://ceds.ed.gov/cedselementdetails.aspx?termid=21495")</f>
        <v>https://ceds.ed.gov/cedselementdetails.aspx?termid=21495</v>
      </c>
      <c r="Q1053" s="22">
        <v>58949</v>
      </c>
    </row>
    <row r="1054" spans="1:17" ht="331.2" x14ac:dyDescent="0.3">
      <c r="A1054" s="22" t="s">
        <v>7779</v>
      </c>
      <c r="B1054" s="22" t="s">
        <v>7789</v>
      </c>
      <c r="C1054" s="22" t="s">
        <v>7721</v>
      </c>
      <c r="D1054" s="22" t="s">
        <v>7710</v>
      </c>
      <c r="E1054" s="22" t="s">
        <v>4199</v>
      </c>
      <c r="F1054" s="24" t="s">
        <v>4200</v>
      </c>
      <c r="G1054" s="26" t="s">
        <v>8458</v>
      </c>
      <c r="H1054" s="22"/>
      <c r="I1054" s="22" t="s">
        <v>172</v>
      </c>
      <c r="J1054" s="22"/>
      <c r="K1054" s="24" t="s">
        <v>8003</v>
      </c>
      <c r="L1054" s="24"/>
      <c r="M1054" s="25" t="s">
        <v>4201</v>
      </c>
      <c r="N1054" s="22"/>
      <c r="O1054" s="22" t="s">
        <v>4202</v>
      </c>
      <c r="P1054" s="22" t="str">
        <f>HYPERLINK("https://ceds.ed.gov/cedselementdetails.aspx?termid=22907")</f>
        <v>https://ceds.ed.gov/cedselementdetails.aspx?termid=22907</v>
      </c>
      <c r="Q1054" s="22">
        <v>63352</v>
      </c>
    </row>
    <row r="1055" spans="1:17" ht="331.2" x14ac:dyDescent="0.3">
      <c r="A1055" s="22" t="s">
        <v>7779</v>
      </c>
      <c r="B1055" s="22" t="s">
        <v>7789</v>
      </c>
      <c r="C1055" s="22" t="s">
        <v>7721</v>
      </c>
      <c r="D1055" s="22" t="s">
        <v>7710</v>
      </c>
      <c r="E1055" s="22" t="s">
        <v>4241</v>
      </c>
      <c r="F1055" s="24" t="s">
        <v>4242</v>
      </c>
      <c r="G1055" s="26" t="s">
        <v>8433</v>
      </c>
      <c r="H1055" s="24" t="s">
        <v>64</v>
      </c>
      <c r="I1055" s="22" t="s">
        <v>172</v>
      </c>
      <c r="J1055" s="22"/>
      <c r="K1055" s="24" t="s">
        <v>8209</v>
      </c>
      <c r="L1055" s="24"/>
      <c r="M1055" s="25" t="s">
        <v>4243</v>
      </c>
      <c r="N1055" s="22"/>
      <c r="O1055" s="22" t="s">
        <v>4244</v>
      </c>
      <c r="P1055" s="22" t="str">
        <f>HYPERLINK("https://ceds.ed.gov/cedselementdetails.aspx?termid=21131")</f>
        <v>https://ceds.ed.gov/cedselementdetails.aspx?termid=21131</v>
      </c>
      <c r="Q1055" s="22">
        <v>63353</v>
      </c>
    </row>
    <row r="1056" spans="1:17" ht="43.2" x14ac:dyDescent="0.3">
      <c r="A1056" s="22" t="s">
        <v>7779</v>
      </c>
      <c r="B1056" s="22" t="s">
        <v>7789</v>
      </c>
      <c r="C1056" s="22" t="s">
        <v>7721</v>
      </c>
      <c r="D1056" s="22" t="s">
        <v>7741</v>
      </c>
      <c r="E1056" s="22" t="s">
        <v>8109</v>
      </c>
      <c r="F1056" s="24" t="s">
        <v>8110</v>
      </c>
      <c r="G1056" s="23" t="s">
        <v>32</v>
      </c>
      <c r="H1056" s="22"/>
      <c r="I1056" s="22" t="s">
        <v>167</v>
      </c>
      <c r="J1056" s="22" t="s">
        <v>1699</v>
      </c>
      <c r="K1056" s="24" t="s">
        <v>7949</v>
      </c>
      <c r="L1056" s="24" t="s">
        <v>8111</v>
      </c>
      <c r="M1056" s="25" t="s">
        <v>8358</v>
      </c>
      <c r="N1056" s="22"/>
      <c r="O1056" s="22" t="s">
        <v>8112</v>
      </c>
      <c r="P1056" s="22" t="str">
        <f>HYPERLINK("https://ceds.ed.gov/cedselementdetails.aspx?termid=22979")</f>
        <v>https://ceds.ed.gov/cedselementdetails.aspx?termid=22979</v>
      </c>
      <c r="Q1056" s="22">
        <v>63916</v>
      </c>
    </row>
    <row r="1057" spans="1:17" ht="43.2" x14ac:dyDescent="0.3">
      <c r="A1057" s="22" t="s">
        <v>7779</v>
      </c>
      <c r="B1057" s="22" t="s">
        <v>7789</v>
      </c>
      <c r="C1057" s="22" t="s">
        <v>7785</v>
      </c>
      <c r="D1057" s="22" t="s">
        <v>7710</v>
      </c>
      <c r="E1057" s="22" t="s">
        <v>6663</v>
      </c>
      <c r="F1057" s="24" t="s">
        <v>6664</v>
      </c>
      <c r="G1057" s="23" t="s">
        <v>32</v>
      </c>
      <c r="H1057" s="22" t="s">
        <v>2493</v>
      </c>
      <c r="I1057" s="22"/>
      <c r="J1057" s="22" t="s">
        <v>1844</v>
      </c>
      <c r="K1057" s="24"/>
      <c r="L1057" s="24" t="s">
        <v>8311</v>
      </c>
      <c r="M1057" s="25" t="s">
        <v>6666</v>
      </c>
      <c r="N1057" s="22"/>
      <c r="O1057" s="22" t="s">
        <v>6667</v>
      </c>
      <c r="P1057" s="22" t="str">
        <f>HYPERLINK("https://ceds.ed.gov/cedselementdetails.aspx?termid=21243")</f>
        <v>https://ceds.ed.gov/cedselementdetails.aspx?termid=21243</v>
      </c>
      <c r="Q1057" s="22">
        <v>62171</v>
      </c>
    </row>
    <row r="1058" spans="1:17" ht="72" x14ac:dyDescent="0.3">
      <c r="A1058" s="22" t="s">
        <v>7779</v>
      </c>
      <c r="B1058" s="22" t="s">
        <v>7789</v>
      </c>
      <c r="C1058" s="22" t="s">
        <v>7785</v>
      </c>
      <c r="D1058" s="22" t="s">
        <v>7710</v>
      </c>
      <c r="E1058" s="22" t="s">
        <v>220</v>
      </c>
      <c r="F1058" s="24" t="s">
        <v>221</v>
      </c>
      <c r="G1058" s="26" t="s">
        <v>8579</v>
      </c>
      <c r="H1058" s="22" t="s">
        <v>226</v>
      </c>
      <c r="I1058" s="22"/>
      <c r="J1058" s="22"/>
      <c r="K1058" s="24"/>
      <c r="L1058" s="24"/>
      <c r="M1058" s="25" t="s">
        <v>223</v>
      </c>
      <c r="N1058" s="22" t="s">
        <v>224</v>
      </c>
      <c r="O1058" s="22" t="s">
        <v>225</v>
      </c>
      <c r="P1058" s="22" t="str">
        <f>HYPERLINK("https://ceds.ed.gov/cedselementdetails.aspx?termid=21011")</f>
        <v>https://ceds.ed.gov/cedselementdetails.aspx?termid=21011</v>
      </c>
      <c r="Q1058" s="22">
        <v>58883</v>
      </c>
    </row>
    <row r="1059" spans="1:17" ht="28.8" x14ac:dyDescent="0.3">
      <c r="A1059" s="22" t="s">
        <v>7779</v>
      </c>
      <c r="B1059" s="22" t="s">
        <v>7789</v>
      </c>
      <c r="C1059" s="22" t="s">
        <v>7785</v>
      </c>
      <c r="D1059" s="22" t="s">
        <v>7710</v>
      </c>
      <c r="E1059" s="22" t="s">
        <v>215</v>
      </c>
      <c r="F1059" s="24" t="s">
        <v>216</v>
      </c>
      <c r="G1059" s="23" t="s">
        <v>32</v>
      </c>
      <c r="H1059" s="22" t="s">
        <v>214</v>
      </c>
      <c r="I1059" s="22"/>
      <c r="J1059" s="22" t="s">
        <v>118</v>
      </c>
      <c r="K1059" s="24"/>
      <c r="L1059" s="24"/>
      <c r="M1059" s="25" t="s">
        <v>217</v>
      </c>
      <c r="N1059" s="22" t="s">
        <v>218</v>
      </c>
      <c r="O1059" s="22" t="s">
        <v>219</v>
      </c>
      <c r="P1059" s="22" t="str">
        <f>HYPERLINK("https://ceds.ed.gov/cedselementdetails.aspx?termid=21434")</f>
        <v>https://ceds.ed.gov/cedselementdetails.aspx?termid=21434</v>
      </c>
      <c r="Q1059" s="22">
        <v>58920</v>
      </c>
    </row>
    <row r="1060" spans="1:17" ht="43.2" x14ac:dyDescent="0.3">
      <c r="A1060" s="22" t="s">
        <v>7779</v>
      </c>
      <c r="B1060" s="22" t="s">
        <v>7789</v>
      </c>
      <c r="C1060" s="22" t="s">
        <v>7785</v>
      </c>
      <c r="D1060" s="22" t="s">
        <v>7710</v>
      </c>
      <c r="E1060" s="22" t="s">
        <v>208</v>
      </c>
      <c r="F1060" s="24" t="s">
        <v>209</v>
      </c>
      <c r="G1060" s="26" t="s">
        <v>22</v>
      </c>
      <c r="H1060" s="22" t="s">
        <v>214</v>
      </c>
      <c r="I1060" s="22"/>
      <c r="J1060" s="22"/>
      <c r="K1060" s="24"/>
      <c r="L1060" s="24"/>
      <c r="M1060" s="25" t="s">
        <v>211</v>
      </c>
      <c r="N1060" s="22" t="s">
        <v>212</v>
      </c>
      <c r="O1060" s="22" t="s">
        <v>213</v>
      </c>
      <c r="P1060" s="22" t="str">
        <f>HYPERLINK("https://ceds.ed.gov/cedselementdetails.aspx?termid=21433")</f>
        <v>https://ceds.ed.gov/cedselementdetails.aspx?termid=21433</v>
      </c>
      <c r="Q1060" s="22">
        <v>58919</v>
      </c>
    </row>
    <row r="1061" spans="1:17" ht="43.2" x14ac:dyDescent="0.3">
      <c r="A1061" s="22" t="s">
        <v>7779</v>
      </c>
      <c r="B1061" s="22" t="s">
        <v>7789</v>
      </c>
      <c r="C1061" s="22" t="s">
        <v>7785</v>
      </c>
      <c r="D1061" s="22" t="s">
        <v>7710</v>
      </c>
      <c r="E1061" s="22" t="s">
        <v>391</v>
      </c>
      <c r="F1061" s="24" t="s">
        <v>392</v>
      </c>
      <c r="G1061" s="26" t="s">
        <v>22</v>
      </c>
      <c r="H1061" s="22" t="s">
        <v>214</v>
      </c>
      <c r="I1061" s="22"/>
      <c r="J1061" s="22"/>
      <c r="K1061" s="24"/>
      <c r="L1061" s="24"/>
      <c r="M1061" s="25" t="s">
        <v>393</v>
      </c>
      <c r="N1061" s="22" t="s">
        <v>394</v>
      </c>
      <c r="O1061" s="22" t="s">
        <v>395</v>
      </c>
      <c r="P1061" s="22" t="str">
        <f>HYPERLINK("https://ceds.ed.gov/cedselementdetails.aspx?termid=21432")</f>
        <v>https://ceds.ed.gov/cedselementdetails.aspx?termid=21432</v>
      </c>
      <c r="Q1061" s="22">
        <v>58918</v>
      </c>
    </row>
    <row r="1062" spans="1:17" ht="57.6" x14ac:dyDescent="0.3">
      <c r="A1062" s="22" t="s">
        <v>7779</v>
      </c>
      <c r="B1062" s="22" t="s">
        <v>7789</v>
      </c>
      <c r="C1062" s="22" t="s">
        <v>7785</v>
      </c>
      <c r="D1062" s="22" t="s">
        <v>7710</v>
      </c>
      <c r="E1062" s="22" t="s">
        <v>340</v>
      </c>
      <c r="F1062" s="24" t="s">
        <v>341</v>
      </c>
      <c r="G1062" s="26" t="s">
        <v>22</v>
      </c>
      <c r="H1062" s="22" t="s">
        <v>226</v>
      </c>
      <c r="I1062" s="22"/>
      <c r="J1062" s="22"/>
      <c r="K1062" s="24"/>
      <c r="L1062" s="24"/>
      <c r="M1062" s="25" t="s">
        <v>342</v>
      </c>
      <c r="N1062" s="22" t="s">
        <v>343</v>
      </c>
      <c r="O1062" s="22" t="s">
        <v>344</v>
      </c>
      <c r="P1062" s="22" t="str">
        <f>HYPERLINK("https://ceds.ed.gov/cedselementdetails.aspx?termid=21014")</f>
        <v>https://ceds.ed.gov/cedselementdetails.aspx?termid=21014</v>
      </c>
      <c r="Q1062" s="22">
        <v>58884</v>
      </c>
    </row>
    <row r="1063" spans="1:17" ht="115.2" x14ac:dyDescent="0.3">
      <c r="A1063" s="22" t="s">
        <v>7779</v>
      </c>
      <c r="B1063" s="22" t="s">
        <v>7789</v>
      </c>
      <c r="C1063" s="22" t="s">
        <v>7785</v>
      </c>
      <c r="D1063" s="22" t="s">
        <v>7710</v>
      </c>
      <c r="E1063" s="22" t="s">
        <v>6144</v>
      </c>
      <c r="F1063" s="24" t="s">
        <v>6145</v>
      </c>
      <c r="G1063" s="26" t="s">
        <v>9105</v>
      </c>
      <c r="H1063" s="22" t="s">
        <v>226</v>
      </c>
      <c r="I1063" s="22"/>
      <c r="J1063" s="22"/>
      <c r="K1063" s="24"/>
      <c r="L1063" s="24"/>
      <c r="M1063" s="25" t="s">
        <v>6146</v>
      </c>
      <c r="N1063" s="22"/>
      <c r="O1063" s="22" t="s">
        <v>6147</v>
      </c>
      <c r="P1063" s="22" t="str">
        <f>HYPERLINK("https://ceds.ed.gov/cedselementdetails.aspx?termid=21221")</f>
        <v>https://ceds.ed.gov/cedselementdetails.aspx?termid=21221</v>
      </c>
      <c r="Q1063" s="22">
        <v>58909</v>
      </c>
    </row>
    <row r="1064" spans="1:17" ht="115.2" x14ac:dyDescent="0.3">
      <c r="A1064" s="22" t="s">
        <v>7779</v>
      </c>
      <c r="B1064" s="22" t="s">
        <v>7789</v>
      </c>
      <c r="C1064" s="22" t="s">
        <v>7785</v>
      </c>
      <c r="D1064" s="22" t="s">
        <v>7710</v>
      </c>
      <c r="E1064" s="22" t="s">
        <v>6148</v>
      </c>
      <c r="F1064" s="24" t="s">
        <v>6149</v>
      </c>
      <c r="G1064" s="26" t="s">
        <v>9105</v>
      </c>
      <c r="H1064" s="22" t="s">
        <v>226</v>
      </c>
      <c r="I1064" s="22"/>
      <c r="J1064" s="22"/>
      <c r="K1064" s="24"/>
      <c r="L1064" s="24"/>
      <c r="M1064" s="25" t="s">
        <v>6150</v>
      </c>
      <c r="N1064" s="22"/>
      <c r="O1064" s="22" t="s">
        <v>6151</v>
      </c>
      <c r="P1064" s="22" t="str">
        <f>HYPERLINK("https://ceds.ed.gov/cedselementdetails.aspx?termid=21544")</f>
        <v>https://ceds.ed.gov/cedselementdetails.aspx?termid=21544</v>
      </c>
      <c r="Q1064" s="22">
        <v>58954</v>
      </c>
    </row>
    <row r="1065" spans="1:17" ht="86.4" x14ac:dyDescent="0.3">
      <c r="A1065" s="22" t="s">
        <v>7779</v>
      </c>
      <c r="B1065" s="22" t="s">
        <v>7789</v>
      </c>
      <c r="C1065" s="22" t="s">
        <v>7785</v>
      </c>
      <c r="D1065" s="22" t="s">
        <v>7710</v>
      </c>
      <c r="E1065" s="22" t="s">
        <v>5785</v>
      </c>
      <c r="F1065" s="24" t="s">
        <v>5786</v>
      </c>
      <c r="G1065" s="26" t="s">
        <v>9061</v>
      </c>
      <c r="H1065" s="22" t="s">
        <v>226</v>
      </c>
      <c r="I1065" s="22"/>
      <c r="J1065" s="22"/>
      <c r="K1065" s="24"/>
      <c r="L1065" s="24"/>
      <c r="M1065" s="25" t="s">
        <v>5787</v>
      </c>
      <c r="N1065" s="22"/>
      <c r="O1065" s="22" t="s">
        <v>5788</v>
      </c>
      <c r="P1065" s="22" t="str">
        <f>HYPERLINK("https://ceds.ed.gov/cedselementdetails.aspx?termid=21208")</f>
        <v>https://ceds.ed.gov/cedselementdetails.aspx?termid=21208</v>
      </c>
      <c r="Q1065" s="22">
        <v>58903</v>
      </c>
    </row>
    <row r="1066" spans="1:17" ht="86.4" x14ac:dyDescent="0.3">
      <c r="A1066" s="22" t="s">
        <v>7779</v>
      </c>
      <c r="B1066" s="22" t="s">
        <v>7789</v>
      </c>
      <c r="C1066" s="22" t="s">
        <v>7785</v>
      </c>
      <c r="D1066" s="22" t="s">
        <v>7710</v>
      </c>
      <c r="E1066" s="22" t="s">
        <v>5789</v>
      </c>
      <c r="F1066" s="24" t="s">
        <v>5790</v>
      </c>
      <c r="G1066" s="26" t="s">
        <v>9061</v>
      </c>
      <c r="H1066" s="22" t="s">
        <v>226</v>
      </c>
      <c r="I1066" s="22"/>
      <c r="J1066" s="22"/>
      <c r="K1066" s="24"/>
      <c r="L1066" s="24"/>
      <c r="M1066" s="25" t="s">
        <v>5791</v>
      </c>
      <c r="N1066" s="22"/>
      <c r="O1066" s="22" t="s">
        <v>5792</v>
      </c>
      <c r="P1066" s="22" t="str">
        <f>HYPERLINK("https://ceds.ed.gov/cedselementdetails.aspx?termid=21209")</f>
        <v>https://ceds.ed.gov/cedselementdetails.aspx?termid=21209</v>
      </c>
      <c r="Q1066" s="22">
        <v>58904</v>
      </c>
    </row>
    <row r="1067" spans="1:17" x14ac:dyDescent="0.3">
      <c r="A1067" s="22" t="s">
        <v>7779</v>
      </c>
      <c r="B1067" s="22" t="s">
        <v>7789</v>
      </c>
      <c r="C1067" s="22" t="s">
        <v>7785</v>
      </c>
      <c r="D1067" s="22" t="s">
        <v>7710</v>
      </c>
      <c r="E1067" s="22" t="s">
        <v>99</v>
      </c>
      <c r="F1067" s="24" t="s">
        <v>100</v>
      </c>
      <c r="G1067" s="23" t="s">
        <v>32</v>
      </c>
      <c r="H1067" s="22"/>
      <c r="I1067" s="22"/>
      <c r="J1067" s="22" t="s">
        <v>55</v>
      </c>
      <c r="K1067" s="24"/>
      <c r="L1067" s="24"/>
      <c r="M1067" s="25" t="s">
        <v>102</v>
      </c>
      <c r="N1067" s="22"/>
      <c r="O1067" s="22" t="s">
        <v>103</v>
      </c>
      <c r="P1067" s="22" t="str">
        <f>HYPERLINK("https://ceds.ed.gov/cedselementdetails.aspx?termid=21005")</f>
        <v>https://ceds.ed.gov/cedselementdetails.aspx?termid=21005</v>
      </c>
      <c r="Q1067" s="22">
        <v>58882</v>
      </c>
    </row>
    <row r="1068" spans="1:17" ht="86.4" x14ac:dyDescent="0.3">
      <c r="A1068" s="22" t="s">
        <v>7779</v>
      </c>
      <c r="B1068" s="22" t="s">
        <v>7789</v>
      </c>
      <c r="C1068" s="22" t="s">
        <v>7785</v>
      </c>
      <c r="D1068" s="22" t="s">
        <v>7710</v>
      </c>
      <c r="E1068" s="22" t="s">
        <v>3472</v>
      </c>
      <c r="F1068" s="24" t="s">
        <v>8105</v>
      </c>
      <c r="G1068" s="26" t="s">
        <v>8841</v>
      </c>
      <c r="H1068" s="22" t="s">
        <v>226</v>
      </c>
      <c r="I1068" s="22"/>
      <c r="J1068" s="22"/>
      <c r="K1068" s="24"/>
      <c r="L1068" s="24"/>
      <c r="M1068" s="25" t="s">
        <v>3473</v>
      </c>
      <c r="N1068" s="22"/>
      <c r="O1068" s="22" t="s">
        <v>3474</v>
      </c>
      <c r="P1068" s="22" t="str">
        <f>HYPERLINK("https://ceds.ed.gov/cedselementdetails.aspx?termid=21091")</f>
        <v>https://ceds.ed.gov/cedselementdetails.aspx?termid=21091</v>
      </c>
      <c r="Q1068" s="22">
        <v>58889</v>
      </c>
    </row>
    <row r="1069" spans="1:17" ht="86.4" x14ac:dyDescent="0.3">
      <c r="A1069" s="22" t="s">
        <v>7779</v>
      </c>
      <c r="B1069" s="22" t="s">
        <v>7789</v>
      </c>
      <c r="C1069" s="22" t="s">
        <v>7785</v>
      </c>
      <c r="D1069" s="22" t="s">
        <v>7710</v>
      </c>
      <c r="E1069" s="22" t="s">
        <v>4265</v>
      </c>
      <c r="F1069" s="24" t="s">
        <v>4266</v>
      </c>
      <c r="G1069" s="26" t="s">
        <v>8915</v>
      </c>
      <c r="H1069" s="22" t="s">
        <v>226</v>
      </c>
      <c r="I1069" s="22"/>
      <c r="J1069" s="22"/>
      <c r="K1069" s="24"/>
      <c r="L1069" s="24"/>
      <c r="M1069" s="25" t="s">
        <v>4267</v>
      </c>
      <c r="N1069" s="22"/>
      <c r="O1069" s="22" t="s">
        <v>4268</v>
      </c>
      <c r="P1069" s="22" t="str">
        <f>HYPERLINK("https://ceds.ed.gov/cedselementdetails.aspx?termid=21134")</f>
        <v>https://ceds.ed.gov/cedselementdetails.aspx?termid=21134</v>
      </c>
      <c r="Q1069" s="22">
        <v>58890</v>
      </c>
    </row>
    <row r="1070" spans="1:17" ht="100.8" x14ac:dyDescent="0.3">
      <c r="A1070" s="22" t="s">
        <v>7779</v>
      </c>
      <c r="B1070" s="22" t="s">
        <v>7789</v>
      </c>
      <c r="C1070" s="22" t="s">
        <v>7785</v>
      </c>
      <c r="D1070" s="22" t="s">
        <v>7710</v>
      </c>
      <c r="E1070" s="22" t="s">
        <v>4314</v>
      </c>
      <c r="F1070" s="24" t="s">
        <v>4315</v>
      </c>
      <c r="G1070" s="26" t="s">
        <v>8920</v>
      </c>
      <c r="H1070" s="22" t="s">
        <v>226</v>
      </c>
      <c r="I1070" s="22"/>
      <c r="J1070" s="22"/>
      <c r="K1070" s="24"/>
      <c r="L1070" s="24"/>
      <c r="M1070" s="25" t="s">
        <v>4316</v>
      </c>
      <c r="N1070" s="22"/>
      <c r="O1070" s="22" t="s">
        <v>4317</v>
      </c>
      <c r="P1070" s="22" t="str">
        <f>HYPERLINK("https://ceds.ed.gov/cedselementdetails.aspx?termid=21140")</f>
        <v>https://ceds.ed.gov/cedselementdetails.aspx?termid=21140</v>
      </c>
      <c r="Q1070" s="22">
        <v>58892</v>
      </c>
    </row>
    <row r="1071" spans="1:17" ht="72" x14ac:dyDescent="0.3">
      <c r="A1071" s="22" t="s">
        <v>7779</v>
      </c>
      <c r="B1071" s="22" t="s">
        <v>7789</v>
      </c>
      <c r="C1071" s="22" t="s">
        <v>7785</v>
      </c>
      <c r="D1071" s="22" t="s">
        <v>7710</v>
      </c>
      <c r="E1071" s="22" t="s">
        <v>5348</v>
      </c>
      <c r="F1071" s="24" t="s">
        <v>5349</v>
      </c>
      <c r="G1071" s="26" t="s">
        <v>9020</v>
      </c>
      <c r="H1071" s="22" t="s">
        <v>226</v>
      </c>
      <c r="I1071" s="22"/>
      <c r="J1071" s="22"/>
      <c r="K1071" s="24"/>
      <c r="L1071" s="24"/>
      <c r="M1071" s="25" t="s">
        <v>5350</v>
      </c>
      <c r="N1071" s="22" t="s">
        <v>5351</v>
      </c>
      <c r="O1071" s="22" t="s">
        <v>5352</v>
      </c>
      <c r="P1071" s="22" t="str">
        <f>HYPERLINK("https://ceds.ed.gov/cedselementdetails.aspx?termid=21173")</f>
        <v>https://ceds.ed.gov/cedselementdetails.aspx?termid=21173</v>
      </c>
      <c r="Q1071" s="22">
        <v>58897</v>
      </c>
    </row>
    <row r="1072" spans="1:17" ht="100.8" x14ac:dyDescent="0.3">
      <c r="A1072" s="22" t="s">
        <v>7779</v>
      </c>
      <c r="B1072" s="22" t="s">
        <v>7789</v>
      </c>
      <c r="C1072" s="22" t="s">
        <v>7785</v>
      </c>
      <c r="D1072" s="22" t="s">
        <v>7710</v>
      </c>
      <c r="E1072" s="22" t="s">
        <v>6275</v>
      </c>
      <c r="F1072" s="24" t="s">
        <v>6276</v>
      </c>
      <c r="G1072" s="26" t="s">
        <v>9117</v>
      </c>
      <c r="H1072" s="22" t="s">
        <v>226</v>
      </c>
      <c r="I1072" s="22"/>
      <c r="J1072" s="22"/>
      <c r="K1072" s="24"/>
      <c r="L1072" s="24"/>
      <c r="M1072" s="25" t="s">
        <v>6277</v>
      </c>
      <c r="N1072" s="22"/>
      <c r="O1072" s="22" t="s">
        <v>6278</v>
      </c>
      <c r="P1072" s="22" t="str">
        <f>HYPERLINK("https://ceds.ed.gov/cedselementdetails.aspx?termid=21227")</f>
        <v>https://ceds.ed.gov/cedselementdetails.aspx?termid=21227</v>
      </c>
      <c r="Q1072" s="22">
        <v>58910</v>
      </c>
    </row>
    <row r="1073" spans="1:17" ht="100.8" x14ac:dyDescent="0.3">
      <c r="A1073" s="22" t="s">
        <v>7779</v>
      </c>
      <c r="B1073" s="22" t="s">
        <v>7789</v>
      </c>
      <c r="C1073" s="22" t="s">
        <v>7785</v>
      </c>
      <c r="D1073" s="22" t="s">
        <v>7710</v>
      </c>
      <c r="E1073" s="22" t="s">
        <v>7257</v>
      </c>
      <c r="F1073" s="24" t="s">
        <v>7258</v>
      </c>
      <c r="G1073" s="26" t="s">
        <v>9176</v>
      </c>
      <c r="H1073" s="22" t="s">
        <v>214</v>
      </c>
      <c r="I1073" s="22"/>
      <c r="J1073" s="22"/>
      <c r="K1073" s="24"/>
      <c r="L1073" s="24"/>
      <c r="M1073" s="25" t="s">
        <v>7259</v>
      </c>
      <c r="N1073" s="22"/>
      <c r="O1073" s="22" t="s">
        <v>7260</v>
      </c>
      <c r="P1073" s="22" t="str">
        <f>HYPERLINK("https://ceds.ed.gov/cedselementdetails.aspx?termid=21478")</f>
        <v>https://ceds.ed.gov/cedselementdetails.aspx?termid=21478</v>
      </c>
      <c r="Q1073" s="22">
        <v>58946</v>
      </c>
    </row>
    <row r="1074" spans="1:17" ht="43.2" x14ac:dyDescent="0.3">
      <c r="A1074" s="22" t="s">
        <v>7779</v>
      </c>
      <c r="B1074" s="22" t="s">
        <v>7789</v>
      </c>
      <c r="C1074" s="22" t="s">
        <v>7730</v>
      </c>
      <c r="D1074" s="22" t="s">
        <v>7710</v>
      </c>
      <c r="E1074" s="22" t="s">
        <v>4066</v>
      </c>
      <c r="F1074" s="24" t="s">
        <v>8202</v>
      </c>
      <c r="G1074" s="23" t="s">
        <v>32</v>
      </c>
      <c r="H1074" s="22"/>
      <c r="I1074" s="22" t="s">
        <v>172</v>
      </c>
      <c r="J1074" s="22" t="s">
        <v>1844</v>
      </c>
      <c r="K1074" s="24" t="s">
        <v>8159</v>
      </c>
      <c r="L1074" s="24"/>
      <c r="M1074" s="25" t="s">
        <v>4067</v>
      </c>
      <c r="N1074" s="22"/>
      <c r="O1074" s="22" t="s">
        <v>4068</v>
      </c>
      <c r="P1074" s="22" t="str">
        <f>HYPERLINK("https://ceds.ed.gov/cedselementdetails.aspx?termid=22620")</f>
        <v>https://ceds.ed.gov/cedselementdetails.aspx?termid=22620</v>
      </c>
      <c r="Q1074" s="22">
        <v>62306</v>
      </c>
    </row>
    <row r="1075" spans="1:17" ht="28.8" x14ac:dyDescent="0.3">
      <c r="A1075" s="22" t="s">
        <v>7779</v>
      </c>
      <c r="B1075" s="22" t="s">
        <v>7789</v>
      </c>
      <c r="C1075" s="22" t="s">
        <v>7730</v>
      </c>
      <c r="D1075" s="22" t="s">
        <v>7710</v>
      </c>
      <c r="E1075" s="22" t="s">
        <v>4058</v>
      </c>
      <c r="F1075" s="24" t="s">
        <v>4059</v>
      </c>
      <c r="G1075" s="23" t="s">
        <v>32</v>
      </c>
      <c r="H1075" s="22"/>
      <c r="I1075" s="22" t="s">
        <v>172</v>
      </c>
      <c r="J1075" s="22" t="s">
        <v>118</v>
      </c>
      <c r="K1075" s="24" t="s">
        <v>7946</v>
      </c>
      <c r="L1075" s="24"/>
      <c r="M1075" s="25" t="s">
        <v>4060</v>
      </c>
      <c r="N1075" s="22"/>
      <c r="O1075" s="22" t="s">
        <v>4061</v>
      </c>
      <c r="P1075" s="22" t="str">
        <f>HYPERLINK("https://ceds.ed.gov/cedselementdetails.aspx?termid=22623")</f>
        <v>https://ceds.ed.gov/cedselementdetails.aspx?termid=22623</v>
      </c>
      <c r="Q1075" s="22">
        <v>62316</v>
      </c>
    </row>
    <row r="1076" spans="1:17" ht="57.6" x14ac:dyDescent="0.3">
      <c r="A1076" s="22" t="s">
        <v>7779</v>
      </c>
      <c r="B1076" s="22" t="s">
        <v>7789</v>
      </c>
      <c r="C1076" s="22" t="s">
        <v>7730</v>
      </c>
      <c r="D1076" s="22" t="s">
        <v>7710</v>
      </c>
      <c r="E1076" s="22" t="s">
        <v>4062</v>
      </c>
      <c r="F1076" s="24" t="s">
        <v>4063</v>
      </c>
      <c r="G1076" s="23" t="s">
        <v>32</v>
      </c>
      <c r="H1076" s="22"/>
      <c r="I1076" s="22" t="s">
        <v>172</v>
      </c>
      <c r="J1076" s="22" t="s">
        <v>118</v>
      </c>
      <c r="K1076" s="24" t="s">
        <v>7946</v>
      </c>
      <c r="L1076" s="24" t="s">
        <v>143</v>
      </c>
      <c r="M1076" s="25" t="s">
        <v>4064</v>
      </c>
      <c r="N1076" s="22"/>
      <c r="O1076" s="22" t="s">
        <v>4065</v>
      </c>
      <c r="P1076" s="22" t="str">
        <f>HYPERLINK("https://ceds.ed.gov/cedselementdetails.aspx?termid=22624")</f>
        <v>https://ceds.ed.gov/cedselementdetails.aspx?termid=22624</v>
      </c>
      <c r="Q1076" s="22">
        <v>62320</v>
      </c>
    </row>
    <row r="1077" spans="1:17" ht="86.4" x14ac:dyDescent="0.3">
      <c r="A1077" s="22" t="s">
        <v>7779</v>
      </c>
      <c r="B1077" s="22" t="s">
        <v>7789</v>
      </c>
      <c r="C1077" s="22" t="s">
        <v>7730</v>
      </c>
      <c r="D1077" s="22" t="s">
        <v>7710</v>
      </c>
      <c r="E1077" s="22" t="s">
        <v>3951</v>
      </c>
      <c r="F1077" s="24" t="s">
        <v>8153</v>
      </c>
      <c r="G1077" s="23" t="s">
        <v>32</v>
      </c>
      <c r="H1077" s="22"/>
      <c r="I1077" s="22" t="s">
        <v>172</v>
      </c>
      <c r="J1077" s="22" t="s">
        <v>85</v>
      </c>
      <c r="K1077" s="24" t="s">
        <v>7946</v>
      </c>
      <c r="L1077" s="24"/>
      <c r="M1077" s="25" t="s">
        <v>3952</v>
      </c>
      <c r="N1077" s="22"/>
      <c r="O1077" s="22" t="s">
        <v>3953</v>
      </c>
      <c r="P1077" s="22" t="str">
        <f>HYPERLINK("https://ceds.ed.gov/cedselementdetails.aspx?termid=22530")</f>
        <v>https://ceds.ed.gov/cedselementdetails.aspx?termid=22530</v>
      </c>
      <c r="Q1077" s="22">
        <v>61842</v>
      </c>
    </row>
    <row r="1078" spans="1:17" ht="43.2" x14ac:dyDescent="0.3">
      <c r="A1078" s="22" t="s">
        <v>7779</v>
      </c>
      <c r="B1078" s="22" t="s">
        <v>7789</v>
      </c>
      <c r="C1078" s="22" t="s">
        <v>7730</v>
      </c>
      <c r="D1078" s="22" t="s">
        <v>7710</v>
      </c>
      <c r="E1078" s="22" t="s">
        <v>3948</v>
      </c>
      <c r="F1078" s="24" t="s">
        <v>8152</v>
      </c>
      <c r="G1078" s="23" t="s">
        <v>32</v>
      </c>
      <c r="H1078" s="22"/>
      <c r="I1078" s="22" t="s">
        <v>172</v>
      </c>
      <c r="J1078" s="22" t="s">
        <v>780</v>
      </c>
      <c r="K1078" s="24" t="s">
        <v>8135</v>
      </c>
      <c r="L1078" s="24"/>
      <c r="M1078" s="25" t="s">
        <v>3949</v>
      </c>
      <c r="N1078" s="22"/>
      <c r="O1078" s="22" t="s">
        <v>3950</v>
      </c>
      <c r="P1078" s="22" t="str">
        <f>HYPERLINK("https://ceds.ed.gov/cedselementdetails.aspx?termid=22315")</f>
        <v>https://ceds.ed.gov/cedselementdetails.aspx?termid=22315</v>
      </c>
      <c r="Q1078" s="22">
        <v>61179</v>
      </c>
    </row>
    <row r="1079" spans="1:17" ht="43.2" x14ac:dyDescent="0.3">
      <c r="A1079" s="22" t="s">
        <v>7779</v>
      </c>
      <c r="B1079" s="22" t="s">
        <v>7789</v>
      </c>
      <c r="C1079" s="22" t="s">
        <v>7730</v>
      </c>
      <c r="D1079" s="22" t="s">
        <v>7710</v>
      </c>
      <c r="E1079" s="22" t="s">
        <v>3938</v>
      </c>
      <c r="F1079" s="24" t="s">
        <v>8134</v>
      </c>
      <c r="G1079" s="23" t="s">
        <v>32</v>
      </c>
      <c r="H1079" s="22"/>
      <c r="I1079" s="22" t="s">
        <v>172</v>
      </c>
      <c r="J1079" s="22" t="s">
        <v>113</v>
      </c>
      <c r="K1079" s="24" t="s">
        <v>8135</v>
      </c>
      <c r="L1079" s="24"/>
      <c r="M1079" s="25" t="s">
        <v>3939</v>
      </c>
      <c r="N1079" s="22"/>
      <c r="O1079" s="22" t="s">
        <v>3940</v>
      </c>
      <c r="P1079" s="22" t="str">
        <f>HYPERLINK("https://ceds.ed.gov/cedselementdetails.aspx?termid=22313")</f>
        <v>https://ceds.ed.gov/cedselementdetails.aspx?termid=22313</v>
      </c>
      <c r="Q1079" s="22">
        <v>61168</v>
      </c>
    </row>
    <row r="1080" spans="1:17" ht="86.4" x14ac:dyDescent="0.3">
      <c r="A1080" s="22" t="s">
        <v>7779</v>
      </c>
      <c r="B1080" s="22" t="s">
        <v>7789</v>
      </c>
      <c r="C1080" s="22" t="s">
        <v>7730</v>
      </c>
      <c r="D1080" s="22" t="s">
        <v>7710</v>
      </c>
      <c r="E1080" s="22" t="s">
        <v>3934</v>
      </c>
      <c r="F1080" s="24" t="s">
        <v>3935</v>
      </c>
      <c r="G1080" s="26" t="s">
        <v>8439</v>
      </c>
      <c r="H1080" s="22"/>
      <c r="I1080" s="22" t="s">
        <v>172</v>
      </c>
      <c r="J1080" s="22"/>
      <c r="K1080" s="24" t="s">
        <v>7946</v>
      </c>
      <c r="L1080" s="24"/>
      <c r="M1080" s="25" t="s">
        <v>3936</v>
      </c>
      <c r="N1080" s="22"/>
      <c r="O1080" s="22" t="s">
        <v>3937</v>
      </c>
      <c r="P1080" s="22" t="str">
        <f>HYPERLINK("https://ceds.ed.gov/cedselementdetails.aspx?termid=22312")</f>
        <v>https://ceds.ed.gov/cedselementdetails.aspx?termid=22312</v>
      </c>
      <c r="Q1080" s="22">
        <v>61164</v>
      </c>
    </row>
    <row r="1081" spans="1:17" ht="409.6" x14ac:dyDescent="0.3">
      <c r="A1081" s="22" t="s">
        <v>7779</v>
      </c>
      <c r="B1081" s="22" t="s">
        <v>7789</v>
      </c>
      <c r="C1081" s="22" t="s">
        <v>7730</v>
      </c>
      <c r="D1081" s="22" t="s">
        <v>7710</v>
      </c>
      <c r="E1081" s="22" t="s">
        <v>8161</v>
      </c>
      <c r="F1081" s="24" t="s">
        <v>8162</v>
      </c>
      <c r="G1081" s="26" t="s">
        <v>8445</v>
      </c>
      <c r="H1081" s="22"/>
      <c r="I1081" s="22" t="s">
        <v>172</v>
      </c>
      <c r="J1081" s="22"/>
      <c r="K1081" s="24" t="s">
        <v>8137</v>
      </c>
      <c r="L1081" s="24" t="s">
        <v>8163</v>
      </c>
      <c r="M1081" s="25" t="s">
        <v>3947</v>
      </c>
      <c r="N1081" s="22"/>
      <c r="O1081" s="22" t="s">
        <v>8164</v>
      </c>
      <c r="P1081" s="22" t="str">
        <f>HYPERLINK("https://ceds.ed.gov/cedselementdetails.aspx?termid=22440")</f>
        <v>https://ceds.ed.gov/cedselementdetails.aspx?termid=22440</v>
      </c>
      <c r="Q1081" s="22">
        <v>61855</v>
      </c>
    </row>
    <row r="1082" spans="1:17" ht="409.6" x14ac:dyDescent="0.3">
      <c r="A1082" s="22" t="s">
        <v>7779</v>
      </c>
      <c r="B1082" s="22" t="s">
        <v>7789</v>
      </c>
      <c r="C1082" s="22" t="s">
        <v>7730</v>
      </c>
      <c r="D1082" s="22" t="s">
        <v>7710</v>
      </c>
      <c r="E1082" s="22" t="s">
        <v>8173</v>
      </c>
      <c r="F1082" s="24" t="s">
        <v>8174</v>
      </c>
      <c r="G1082" s="26" t="s">
        <v>8447</v>
      </c>
      <c r="H1082" s="22"/>
      <c r="I1082" s="22" t="s">
        <v>172</v>
      </c>
      <c r="J1082" s="22"/>
      <c r="K1082" s="24" t="s">
        <v>8175</v>
      </c>
      <c r="L1082" s="24" t="s">
        <v>8176</v>
      </c>
      <c r="M1082" s="25" t="s">
        <v>4017</v>
      </c>
      <c r="N1082" s="22"/>
      <c r="O1082" s="22" t="s">
        <v>8177</v>
      </c>
      <c r="P1082" s="22" t="str">
        <f>HYPERLINK("https://ceds.ed.gov/cedselementdetails.aspx?termid=22321")</f>
        <v>https://ceds.ed.gov/cedselementdetails.aspx?termid=22321</v>
      </c>
      <c r="Q1082" s="22">
        <v>61201</v>
      </c>
    </row>
    <row r="1083" spans="1:17" ht="409.6" x14ac:dyDescent="0.3">
      <c r="A1083" s="22" t="s">
        <v>7779</v>
      </c>
      <c r="B1083" s="22" t="s">
        <v>7789</v>
      </c>
      <c r="C1083" s="22" t="s">
        <v>7730</v>
      </c>
      <c r="D1083" s="22" t="s">
        <v>7710</v>
      </c>
      <c r="E1083" s="22" t="s">
        <v>8191</v>
      </c>
      <c r="F1083" s="24" t="s">
        <v>8192</v>
      </c>
      <c r="G1083" s="26" t="s">
        <v>8449</v>
      </c>
      <c r="H1083" s="22"/>
      <c r="I1083" s="22" t="s">
        <v>172</v>
      </c>
      <c r="J1083" s="22"/>
      <c r="K1083" s="24" t="s">
        <v>8137</v>
      </c>
      <c r="L1083" s="24" t="s">
        <v>8193</v>
      </c>
      <c r="M1083" s="25" t="s">
        <v>4020</v>
      </c>
      <c r="N1083" s="22"/>
      <c r="O1083" s="22" t="s">
        <v>8194</v>
      </c>
      <c r="P1083" s="22" t="str">
        <f>HYPERLINK("https://ceds.ed.gov/cedselementdetails.aspx?termid=22322")</f>
        <v>https://ceds.ed.gov/cedselementdetails.aspx?termid=22322</v>
      </c>
      <c r="Q1083" s="22">
        <v>61205</v>
      </c>
    </row>
    <row r="1084" spans="1:17" ht="187.2" x14ac:dyDescent="0.3">
      <c r="A1084" s="22" t="s">
        <v>7779</v>
      </c>
      <c r="B1084" s="22" t="s">
        <v>7789</v>
      </c>
      <c r="C1084" s="22" t="s">
        <v>7730</v>
      </c>
      <c r="D1084" s="22" t="s">
        <v>7710</v>
      </c>
      <c r="E1084" s="22" t="s">
        <v>8178</v>
      </c>
      <c r="F1084" s="24" t="s">
        <v>4018</v>
      </c>
      <c r="G1084" s="26" t="s">
        <v>8448</v>
      </c>
      <c r="H1084" s="22"/>
      <c r="I1084" s="22" t="s">
        <v>172</v>
      </c>
      <c r="J1084" s="22"/>
      <c r="K1084" s="24" t="s">
        <v>8179</v>
      </c>
      <c r="L1084" s="24" t="s">
        <v>8180</v>
      </c>
      <c r="M1084" s="25" t="s">
        <v>4019</v>
      </c>
      <c r="N1084" s="22"/>
      <c r="O1084" s="22" t="s">
        <v>8181</v>
      </c>
      <c r="P1084" s="22" t="str">
        <f>HYPERLINK("https://ceds.ed.gov/cedselementdetails.aspx?termid=22531")</f>
        <v>https://ceds.ed.gov/cedselementdetails.aspx?termid=22531</v>
      </c>
      <c r="Q1084" s="22">
        <v>61847</v>
      </c>
    </row>
    <row r="1085" spans="1:17" ht="259.2" x14ac:dyDescent="0.3">
      <c r="A1085" s="22" t="s">
        <v>7779</v>
      </c>
      <c r="B1085" s="22" t="s">
        <v>7789</v>
      </c>
      <c r="C1085" s="22" t="s">
        <v>7730</v>
      </c>
      <c r="D1085" s="22" t="s">
        <v>7710</v>
      </c>
      <c r="E1085" s="22" t="s">
        <v>8195</v>
      </c>
      <c r="F1085" s="24" t="s">
        <v>8196</v>
      </c>
      <c r="G1085" s="23" t="s">
        <v>32</v>
      </c>
      <c r="H1085" s="22"/>
      <c r="I1085" s="22" t="s">
        <v>172</v>
      </c>
      <c r="J1085" s="22" t="s">
        <v>148</v>
      </c>
      <c r="K1085" s="24" t="s">
        <v>8197</v>
      </c>
      <c r="L1085" s="24" t="s">
        <v>8198</v>
      </c>
      <c r="M1085" s="25" t="s">
        <v>4021</v>
      </c>
      <c r="N1085" s="22"/>
      <c r="O1085" s="22" t="s">
        <v>8199</v>
      </c>
      <c r="P1085" s="22" t="str">
        <f>HYPERLINK("https://ceds.ed.gov/cedselementdetails.aspx?termid=22532")</f>
        <v>https://ceds.ed.gov/cedselementdetails.aspx?termid=22532</v>
      </c>
      <c r="Q1085" s="22">
        <v>61851</v>
      </c>
    </row>
    <row r="1086" spans="1:17" ht="409.6" x14ac:dyDescent="0.3">
      <c r="A1086" s="22" t="s">
        <v>7779</v>
      </c>
      <c r="B1086" s="22" t="s">
        <v>7789</v>
      </c>
      <c r="C1086" s="22" t="s">
        <v>7730</v>
      </c>
      <c r="D1086" s="22" t="s">
        <v>7710</v>
      </c>
      <c r="E1086" s="22" t="s">
        <v>8127</v>
      </c>
      <c r="F1086" s="24" t="s">
        <v>3941</v>
      </c>
      <c r="G1086" s="26" t="s">
        <v>8438</v>
      </c>
      <c r="H1086" s="22"/>
      <c r="I1086" s="22" t="s">
        <v>172</v>
      </c>
      <c r="J1086" s="22"/>
      <c r="K1086" s="24" t="s">
        <v>8128</v>
      </c>
      <c r="L1086" s="24" t="s">
        <v>8129</v>
      </c>
      <c r="M1086" s="25" t="s">
        <v>3943</v>
      </c>
      <c r="N1086" s="22"/>
      <c r="O1086" s="22" t="s">
        <v>8130</v>
      </c>
      <c r="P1086" s="22" t="str">
        <f>HYPERLINK("https://ceds.ed.gov/cedselementdetails.aspx?termid=22320")</f>
        <v>https://ceds.ed.gov/cedselementdetails.aspx?termid=22320</v>
      </c>
      <c r="Q1086" s="22">
        <v>61197</v>
      </c>
    </row>
    <row r="1087" spans="1:17" ht="43.2" x14ac:dyDescent="0.3">
      <c r="A1087" s="22" t="s">
        <v>7779</v>
      </c>
      <c r="B1087" s="22" t="s">
        <v>7789</v>
      </c>
      <c r="C1087" s="22" t="s">
        <v>7730</v>
      </c>
      <c r="D1087" s="22" t="s">
        <v>7710</v>
      </c>
      <c r="E1087" s="22" t="s">
        <v>3968</v>
      </c>
      <c r="F1087" s="24" t="s">
        <v>3969</v>
      </c>
      <c r="G1087" s="23" t="s">
        <v>32</v>
      </c>
      <c r="H1087" s="22"/>
      <c r="I1087" s="22" t="s">
        <v>172</v>
      </c>
      <c r="J1087" s="22" t="s">
        <v>1518</v>
      </c>
      <c r="K1087" s="24" t="s">
        <v>7946</v>
      </c>
      <c r="L1087" s="24"/>
      <c r="M1087" s="25" t="s">
        <v>3970</v>
      </c>
      <c r="N1087" s="22"/>
      <c r="O1087" s="22" t="s">
        <v>3971</v>
      </c>
      <c r="P1087" s="22" t="str">
        <f>HYPERLINK("https://ceds.ed.gov/cedselementdetails.aspx?termid=22318")</f>
        <v>https://ceds.ed.gov/cedselementdetails.aspx?termid=22318</v>
      </c>
      <c r="Q1087" s="22">
        <v>61192</v>
      </c>
    </row>
    <row r="1088" spans="1:17" ht="57.6" x14ac:dyDescent="0.3">
      <c r="A1088" s="22" t="s">
        <v>7779</v>
      </c>
      <c r="B1088" s="22" t="s">
        <v>7789</v>
      </c>
      <c r="C1088" s="22" t="s">
        <v>7730</v>
      </c>
      <c r="D1088" s="22" t="s">
        <v>7710</v>
      </c>
      <c r="E1088" s="22" t="s">
        <v>3972</v>
      </c>
      <c r="F1088" s="24" t="s">
        <v>3973</v>
      </c>
      <c r="G1088" s="23" t="s">
        <v>32</v>
      </c>
      <c r="H1088" s="22"/>
      <c r="I1088" s="22" t="s">
        <v>172</v>
      </c>
      <c r="J1088" s="22" t="s">
        <v>1518</v>
      </c>
      <c r="K1088" s="24" t="s">
        <v>7946</v>
      </c>
      <c r="L1088" s="24" t="s">
        <v>3974</v>
      </c>
      <c r="M1088" s="25" t="s">
        <v>3975</v>
      </c>
      <c r="N1088" s="22"/>
      <c r="O1088" s="22" t="s">
        <v>3976</v>
      </c>
      <c r="P1088" s="22" t="str">
        <f>HYPERLINK("https://ceds.ed.gov/cedselementdetails.aspx?termid=22625")</f>
        <v>https://ceds.ed.gov/cedselementdetails.aspx?termid=22625</v>
      </c>
      <c r="Q1088" s="22">
        <v>62324</v>
      </c>
    </row>
    <row r="1089" spans="1:17" ht="43.2" x14ac:dyDescent="0.3">
      <c r="A1089" s="22" t="s">
        <v>7779</v>
      </c>
      <c r="B1089" s="22" t="s">
        <v>7789</v>
      </c>
      <c r="C1089" s="22" t="s">
        <v>7730</v>
      </c>
      <c r="D1089" s="22" t="s">
        <v>7710</v>
      </c>
      <c r="E1089" s="22" t="s">
        <v>3964</v>
      </c>
      <c r="F1089" s="24" t="s">
        <v>3965</v>
      </c>
      <c r="G1089" s="23" t="s">
        <v>32</v>
      </c>
      <c r="H1089" s="22"/>
      <c r="I1089" s="22" t="s">
        <v>172</v>
      </c>
      <c r="J1089" s="22" t="s">
        <v>1518</v>
      </c>
      <c r="K1089" s="24" t="s">
        <v>7946</v>
      </c>
      <c r="L1089" s="24"/>
      <c r="M1089" s="25" t="s">
        <v>3966</v>
      </c>
      <c r="N1089" s="22"/>
      <c r="O1089" s="22" t="s">
        <v>3967</v>
      </c>
      <c r="P1089" s="22" t="str">
        <f>HYPERLINK("https://ceds.ed.gov/cedselementdetails.aspx?termid=22317")</f>
        <v>https://ceds.ed.gov/cedselementdetails.aspx?termid=22317</v>
      </c>
      <c r="Q1089" s="22">
        <v>61188</v>
      </c>
    </row>
    <row r="1090" spans="1:17" ht="129.6" x14ac:dyDescent="0.3">
      <c r="A1090" s="22" t="s">
        <v>7779</v>
      </c>
      <c r="B1090" s="22" t="s">
        <v>7789</v>
      </c>
      <c r="C1090" s="22" t="s">
        <v>7730</v>
      </c>
      <c r="D1090" s="22" t="s">
        <v>7710</v>
      </c>
      <c r="E1090" s="22" t="s">
        <v>3977</v>
      </c>
      <c r="F1090" s="24" t="s">
        <v>3978</v>
      </c>
      <c r="G1090" s="23" t="s">
        <v>32</v>
      </c>
      <c r="H1090" s="22"/>
      <c r="I1090" s="22" t="s">
        <v>172</v>
      </c>
      <c r="J1090" s="22" t="s">
        <v>1518</v>
      </c>
      <c r="K1090" s="24" t="s">
        <v>7946</v>
      </c>
      <c r="L1090" s="24" t="s">
        <v>3979</v>
      </c>
      <c r="M1090" s="25" t="s">
        <v>3980</v>
      </c>
      <c r="N1090" s="22"/>
      <c r="O1090" s="22" t="s">
        <v>3981</v>
      </c>
      <c r="P1090" s="22" t="str">
        <f>HYPERLINK("https://ceds.ed.gov/cedselementdetails.aspx?termid=22628")</f>
        <v>https://ceds.ed.gov/cedselementdetails.aspx?termid=22628</v>
      </c>
      <c r="Q1090" s="22">
        <v>62336</v>
      </c>
    </row>
    <row r="1091" spans="1:17" ht="28.8" x14ac:dyDescent="0.3">
      <c r="A1091" s="22" t="s">
        <v>7779</v>
      </c>
      <c r="B1091" s="22" t="s">
        <v>7789</v>
      </c>
      <c r="C1091" s="22" t="s">
        <v>7730</v>
      </c>
      <c r="D1091" s="22" t="s">
        <v>7710</v>
      </c>
      <c r="E1091" s="22" t="s">
        <v>3960</v>
      </c>
      <c r="F1091" s="24" t="s">
        <v>3961</v>
      </c>
      <c r="G1091" s="23" t="s">
        <v>32</v>
      </c>
      <c r="H1091" s="22"/>
      <c r="I1091" s="22" t="s">
        <v>172</v>
      </c>
      <c r="J1091" s="22" t="s">
        <v>118</v>
      </c>
      <c r="K1091" s="24" t="s">
        <v>7946</v>
      </c>
      <c r="L1091" s="24"/>
      <c r="M1091" s="25" t="s">
        <v>3962</v>
      </c>
      <c r="N1091" s="22"/>
      <c r="O1091" s="22" t="s">
        <v>3963</v>
      </c>
      <c r="P1091" s="22" t="str">
        <f>HYPERLINK("https://ceds.ed.gov/cedselementdetails.aspx?termid=22629")</f>
        <v>https://ceds.ed.gov/cedselementdetails.aspx?termid=22629</v>
      </c>
      <c r="Q1091" s="22">
        <v>62340</v>
      </c>
    </row>
    <row r="1092" spans="1:17" ht="144" x14ac:dyDescent="0.3">
      <c r="A1092" s="22" t="s">
        <v>7779</v>
      </c>
      <c r="B1092" s="22" t="s">
        <v>7789</v>
      </c>
      <c r="C1092" s="22" t="s">
        <v>7730</v>
      </c>
      <c r="D1092" s="22" t="s">
        <v>7710</v>
      </c>
      <c r="E1092" s="22" t="s">
        <v>8136</v>
      </c>
      <c r="F1092" s="24" t="s">
        <v>3944</v>
      </c>
      <c r="G1092" s="26" t="s">
        <v>8441</v>
      </c>
      <c r="H1092" s="22"/>
      <c r="I1092" s="22" t="s">
        <v>172</v>
      </c>
      <c r="J1092" s="22"/>
      <c r="K1092" s="24" t="s">
        <v>8137</v>
      </c>
      <c r="L1092" s="24" t="s">
        <v>8138</v>
      </c>
      <c r="M1092" s="25" t="s">
        <v>3945</v>
      </c>
      <c r="N1092" s="22"/>
      <c r="O1092" s="22" t="s">
        <v>8139</v>
      </c>
      <c r="P1092" s="22" t="str">
        <f>HYPERLINK("https://ceds.ed.gov/cedselementdetails.aspx?termid=22314")</f>
        <v>https://ceds.ed.gov/cedselementdetails.aspx?termid=22314</v>
      </c>
      <c r="Q1092" s="22">
        <v>61175</v>
      </c>
    </row>
    <row r="1093" spans="1:17" ht="43.2" x14ac:dyDescent="0.3">
      <c r="A1093" s="22" t="s">
        <v>7779</v>
      </c>
      <c r="B1093" s="22" t="s">
        <v>7789</v>
      </c>
      <c r="C1093" s="22" t="s">
        <v>7730</v>
      </c>
      <c r="D1093" s="22" t="s">
        <v>7710</v>
      </c>
      <c r="E1093" s="22" t="s">
        <v>3954</v>
      </c>
      <c r="F1093" s="24" t="s">
        <v>8158</v>
      </c>
      <c r="G1093" s="23" t="s">
        <v>32</v>
      </c>
      <c r="H1093" s="22"/>
      <c r="I1093" s="22" t="s">
        <v>172</v>
      </c>
      <c r="J1093" s="22" t="s">
        <v>780</v>
      </c>
      <c r="K1093" s="24" t="s">
        <v>8159</v>
      </c>
      <c r="L1093" s="24"/>
      <c r="M1093" s="25" t="s">
        <v>3955</v>
      </c>
      <c r="N1093" s="22"/>
      <c r="O1093" s="22" t="s">
        <v>3956</v>
      </c>
      <c r="P1093" s="22" t="str">
        <f>HYPERLINK("https://ceds.ed.gov/cedselementdetails.aspx?termid=22626")</f>
        <v>https://ceds.ed.gov/cedselementdetails.aspx?termid=22626</v>
      </c>
      <c r="Q1093" s="22">
        <v>62328</v>
      </c>
    </row>
    <row r="1094" spans="1:17" ht="43.2" x14ac:dyDescent="0.3">
      <c r="A1094" s="22" t="s">
        <v>7779</v>
      </c>
      <c r="B1094" s="22" t="s">
        <v>7789</v>
      </c>
      <c r="C1094" s="22" t="s">
        <v>7730</v>
      </c>
      <c r="D1094" s="22" t="s">
        <v>7710</v>
      </c>
      <c r="E1094" s="22" t="s">
        <v>3957</v>
      </c>
      <c r="F1094" s="24" t="s">
        <v>8160</v>
      </c>
      <c r="G1094" s="23" t="s">
        <v>32</v>
      </c>
      <c r="H1094" s="22"/>
      <c r="I1094" s="22" t="s">
        <v>172</v>
      </c>
      <c r="J1094" s="22" t="s">
        <v>85</v>
      </c>
      <c r="K1094" s="24" t="s">
        <v>8159</v>
      </c>
      <c r="L1094" s="24"/>
      <c r="M1094" s="25" t="s">
        <v>3958</v>
      </c>
      <c r="N1094" s="22"/>
      <c r="O1094" s="22" t="s">
        <v>3959</v>
      </c>
      <c r="P1094" s="22" t="str">
        <f>HYPERLINK("https://ceds.ed.gov/cedselementdetails.aspx?termid=22627")</f>
        <v>https://ceds.ed.gov/cedselementdetails.aspx?termid=22627</v>
      </c>
      <c r="Q1094" s="22">
        <v>62332</v>
      </c>
    </row>
    <row r="1095" spans="1:17" ht="144" x14ac:dyDescent="0.3">
      <c r="A1095" s="22" t="s">
        <v>7779</v>
      </c>
      <c r="B1095" s="22" t="s">
        <v>7789</v>
      </c>
      <c r="C1095" s="22" t="s">
        <v>7730</v>
      </c>
      <c r="D1095" s="22" t="s">
        <v>7710</v>
      </c>
      <c r="E1095" s="22" t="s">
        <v>8154</v>
      </c>
      <c r="F1095" s="24" t="s">
        <v>8155</v>
      </c>
      <c r="G1095" s="26" t="s">
        <v>8444</v>
      </c>
      <c r="H1095" s="22"/>
      <c r="I1095" s="22" t="s">
        <v>172</v>
      </c>
      <c r="J1095" s="22"/>
      <c r="K1095" s="24" t="s">
        <v>8137</v>
      </c>
      <c r="L1095" s="24" t="s">
        <v>8156</v>
      </c>
      <c r="M1095" s="25" t="s">
        <v>3946</v>
      </c>
      <c r="N1095" s="22"/>
      <c r="O1095" s="22" t="s">
        <v>8157</v>
      </c>
      <c r="P1095" s="22" t="str">
        <f>HYPERLINK("https://ceds.ed.gov/cedselementdetails.aspx?termid=22316")</f>
        <v>https://ceds.ed.gov/cedselementdetails.aspx?termid=22316</v>
      </c>
      <c r="Q1095" s="22">
        <v>61183</v>
      </c>
    </row>
    <row r="1096" spans="1:17" ht="28.8" x14ac:dyDescent="0.3">
      <c r="A1096" s="22" t="s">
        <v>7779</v>
      </c>
      <c r="B1096" s="22" t="s">
        <v>7789</v>
      </c>
      <c r="C1096" s="22" t="s">
        <v>7730</v>
      </c>
      <c r="D1096" s="22" t="s">
        <v>7710</v>
      </c>
      <c r="E1096" s="22" t="s">
        <v>4634</v>
      </c>
      <c r="F1096" s="24" t="s">
        <v>4635</v>
      </c>
      <c r="G1096" s="23" t="s">
        <v>32</v>
      </c>
      <c r="H1096" s="22"/>
      <c r="I1096" s="22"/>
      <c r="J1096" s="22" t="s">
        <v>1518</v>
      </c>
      <c r="K1096" s="24"/>
      <c r="L1096" s="24"/>
      <c r="M1096" s="25" t="s">
        <v>4637</v>
      </c>
      <c r="N1096" s="22"/>
      <c r="O1096" s="22" t="s">
        <v>4638</v>
      </c>
      <c r="P1096" s="22" t="str">
        <f>HYPERLINK("https://ceds.ed.gov/cedselementdetails.aspx?termid=22874")</f>
        <v>https://ceds.ed.gov/cedselementdetails.aspx?termid=22874</v>
      </c>
      <c r="Q1096" s="22">
        <v>63150</v>
      </c>
    </row>
    <row r="1097" spans="1:17" ht="43.2" x14ac:dyDescent="0.3">
      <c r="A1097" s="22" t="s">
        <v>7779</v>
      </c>
      <c r="B1097" s="22" t="s">
        <v>7789</v>
      </c>
      <c r="C1097" s="22" t="s">
        <v>7730</v>
      </c>
      <c r="D1097" s="22" t="s">
        <v>7710</v>
      </c>
      <c r="E1097" s="22" t="s">
        <v>4830</v>
      </c>
      <c r="F1097" s="24" t="s">
        <v>4831</v>
      </c>
      <c r="G1097" s="23" t="s">
        <v>32</v>
      </c>
      <c r="H1097" s="22"/>
      <c r="I1097" s="22"/>
      <c r="J1097" s="22" t="s">
        <v>1518</v>
      </c>
      <c r="K1097" s="24"/>
      <c r="L1097" s="24"/>
      <c r="M1097" s="25" t="s">
        <v>4832</v>
      </c>
      <c r="N1097" s="22"/>
      <c r="O1097" s="22" t="s">
        <v>4833</v>
      </c>
      <c r="P1097" s="22" t="str">
        <f>HYPERLINK("https://ceds.ed.gov/cedselementdetails.aspx?termid=22875")</f>
        <v>https://ceds.ed.gov/cedselementdetails.aspx?termid=22875</v>
      </c>
      <c r="Q1097" s="22">
        <v>63151</v>
      </c>
    </row>
    <row r="1098" spans="1:17" ht="28.8" x14ac:dyDescent="0.3">
      <c r="A1098" s="22" t="s">
        <v>7779</v>
      </c>
      <c r="B1098" s="22" t="s">
        <v>7789</v>
      </c>
      <c r="C1098" s="22" t="s">
        <v>7730</v>
      </c>
      <c r="D1098" s="22" t="s">
        <v>7710</v>
      </c>
      <c r="E1098" s="22" t="s">
        <v>6266</v>
      </c>
      <c r="F1098" s="24" t="s">
        <v>6267</v>
      </c>
      <c r="G1098" s="23" t="s">
        <v>32</v>
      </c>
      <c r="H1098" s="22"/>
      <c r="I1098" s="22"/>
      <c r="J1098" s="22" t="s">
        <v>6268</v>
      </c>
      <c r="K1098" s="24"/>
      <c r="L1098" s="24"/>
      <c r="M1098" s="25" t="s">
        <v>6269</v>
      </c>
      <c r="N1098" s="22"/>
      <c r="O1098" s="22" t="s">
        <v>6270</v>
      </c>
      <c r="P1098" s="22" t="str">
        <f>HYPERLINK("https://ceds.ed.gov/cedselementdetails.aspx?termid=22876")</f>
        <v>https://ceds.ed.gov/cedselementdetails.aspx?termid=22876</v>
      </c>
      <c r="Q1098" s="22">
        <v>63152</v>
      </c>
    </row>
    <row r="1099" spans="1:17" ht="57.6" x14ac:dyDescent="0.3">
      <c r="A1099" s="22" t="s">
        <v>7779</v>
      </c>
      <c r="B1099" s="22" t="s">
        <v>7789</v>
      </c>
      <c r="C1099" s="22" t="s">
        <v>7730</v>
      </c>
      <c r="D1099" s="22" t="s">
        <v>7741</v>
      </c>
      <c r="E1099" s="22" t="s">
        <v>8123</v>
      </c>
      <c r="F1099" s="24" t="s">
        <v>8124</v>
      </c>
      <c r="G1099" s="26" t="s">
        <v>8379</v>
      </c>
      <c r="H1099" s="22"/>
      <c r="I1099" s="22" t="s">
        <v>167</v>
      </c>
      <c r="J1099" s="22" t="s">
        <v>2</v>
      </c>
      <c r="K1099" s="24" t="s">
        <v>7949</v>
      </c>
      <c r="L1099" s="24"/>
      <c r="M1099" s="25" t="s">
        <v>8359</v>
      </c>
      <c r="N1099" s="22"/>
      <c r="O1099" s="22" t="s">
        <v>8125</v>
      </c>
      <c r="P1099" s="22" t="str">
        <f>HYPERLINK("https://ceds.ed.gov/cedselementdetails.aspx?termid=22980")</f>
        <v>https://ceds.ed.gov/cedselementdetails.aspx?termid=22980</v>
      </c>
      <c r="Q1099" s="22">
        <v>63917</v>
      </c>
    </row>
    <row r="1100" spans="1:17" ht="43.2" x14ac:dyDescent="0.3">
      <c r="A1100" s="22" t="s">
        <v>7779</v>
      </c>
      <c r="B1100" s="22" t="s">
        <v>7789</v>
      </c>
      <c r="C1100" s="22" t="s">
        <v>7730</v>
      </c>
      <c r="D1100" s="22" t="s">
        <v>7741</v>
      </c>
      <c r="E1100" s="22" t="s">
        <v>8131</v>
      </c>
      <c r="F1100" s="24" t="s">
        <v>8132</v>
      </c>
      <c r="G1100" s="26" t="s">
        <v>8380</v>
      </c>
      <c r="H1100" s="22"/>
      <c r="I1100" s="22" t="s">
        <v>167</v>
      </c>
      <c r="J1100" s="22" t="s">
        <v>2</v>
      </c>
      <c r="K1100" s="24" t="s">
        <v>7949</v>
      </c>
      <c r="L1100" s="24"/>
      <c r="M1100" s="25" t="s">
        <v>8360</v>
      </c>
      <c r="N1100" s="22"/>
      <c r="O1100" s="22" t="s">
        <v>8133</v>
      </c>
      <c r="P1100" s="22" t="str">
        <f>HYPERLINK("https://ceds.ed.gov/cedselementdetails.aspx?termid=22981")</f>
        <v>https://ceds.ed.gov/cedselementdetails.aspx?termid=22981</v>
      </c>
      <c r="Q1100" s="22">
        <v>63918</v>
      </c>
    </row>
    <row r="1101" spans="1:17" ht="144" x14ac:dyDescent="0.3">
      <c r="A1101" s="22" t="s">
        <v>7779</v>
      </c>
      <c r="B1101" s="22" t="s">
        <v>7789</v>
      </c>
      <c r="C1101" s="22" t="s">
        <v>7730</v>
      </c>
      <c r="D1101" s="22" t="s">
        <v>7741</v>
      </c>
      <c r="E1101" s="22" t="s">
        <v>8140</v>
      </c>
      <c r="F1101" s="24" t="s">
        <v>8141</v>
      </c>
      <c r="G1101" s="26" t="s">
        <v>8379</v>
      </c>
      <c r="H1101" s="22"/>
      <c r="I1101" s="22" t="s">
        <v>167</v>
      </c>
      <c r="J1101" s="22" t="s">
        <v>2</v>
      </c>
      <c r="K1101" s="24" t="s">
        <v>7949</v>
      </c>
      <c r="L1101" s="24"/>
      <c r="M1101" s="25" t="s">
        <v>8361</v>
      </c>
      <c r="N1101" s="22"/>
      <c r="O1101" s="22" t="s">
        <v>8142</v>
      </c>
      <c r="P1101" s="22" t="str">
        <f>HYPERLINK("https://ceds.ed.gov/cedselementdetails.aspx?termid=22982")</f>
        <v>https://ceds.ed.gov/cedselementdetails.aspx?termid=22982</v>
      </c>
      <c r="Q1101" s="22">
        <v>63919</v>
      </c>
    </row>
    <row r="1102" spans="1:17" ht="100.8" x14ac:dyDescent="0.3">
      <c r="A1102" s="22" t="s">
        <v>7779</v>
      </c>
      <c r="B1102" s="22" t="s">
        <v>7789</v>
      </c>
      <c r="C1102" s="22" t="s">
        <v>7730</v>
      </c>
      <c r="D1102" s="22" t="s">
        <v>7741</v>
      </c>
      <c r="E1102" s="22" t="s">
        <v>8143</v>
      </c>
      <c r="F1102" s="24" t="s">
        <v>8144</v>
      </c>
      <c r="G1102" s="26" t="s">
        <v>8379</v>
      </c>
      <c r="H1102" s="22"/>
      <c r="I1102" s="22" t="s">
        <v>167</v>
      </c>
      <c r="J1102" s="22" t="s">
        <v>2</v>
      </c>
      <c r="K1102" s="24" t="s">
        <v>7949</v>
      </c>
      <c r="L1102" s="24"/>
      <c r="M1102" s="25" t="s">
        <v>8362</v>
      </c>
      <c r="N1102" s="22"/>
      <c r="O1102" s="22" t="s">
        <v>8145</v>
      </c>
      <c r="P1102" s="22" t="str">
        <f>HYPERLINK("https://ceds.ed.gov/cedselementdetails.aspx?termid=22983")</f>
        <v>https://ceds.ed.gov/cedselementdetails.aspx?termid=22983</v>
      </c>
      <c r="Q1102" s="22">
        <v>63920</v>
      </c>
    </row>
    <row r="1103" spans="1:17" ht="57.6" x14ac:dyDescent="0.3">
      <c r="A1103" s="22" t="s">
        <v>7779</v>
      </c>
      <c r="B1103" s="22" t="s">
        <v>7789</v>
      </c>
      <c r="C1103" s="22" t="s">
        <v>7730</v>
      </c>
      <c r="D1103" s="22" t="s">
        <v>7741</v>
      </c>
      <c r="E1103" s="22" t="s">
        <v>8146</v>
      </c>
      <c r="F1103" s="24" t="s">
        <v>8147</v>
      </c>
      <c r="G1103" s="26" t="s">
        <v>8379</v>
      </c>
      <c r="H1103" s="22"/>
      <c r="I1103" s="22" t="s">
        <v>167</v>
      </c>
      <c r="J1103" s="22" t="s">
        <v>2</v>
      </c>
      <c r="K1103" s="24" t="s">
        <v>7949</v>
      </c>
      <c r="L1103" s="24"/>
      <c r="M1103" s="25" t="s">
        <v>8363</v>
      </c>
      <c r="N1103" s="22"/>
      <c r="O1103" s="22" t="s">
        <v>8148</v>
      </c>
      <c r="P1103" s="22" t="str">
        <f>HYPERLINK("https://ceds.ed.gov/cedselementdetails.aspx?termid=22984")</f>
        <v>https://ceds.ed.gov/cedselementdetails.aspx?termid=22984</v>
      </c>
      <c r="Q1103" s="22">
        <v>63921</v>
      </c>
    </row>
    <row r="1104" spans="1:17" ht="28.8" x14ac:dyDescent="0.3">
      <c r="A1104" s="22" t="s">
        <v>7779</v>
      </c>
      <c r="B1104" s="22" t="s">
        <v>7789</v>
      </c>
      <c r="C1104" s="22" t="s">
        <v>7730</v>
      </c>
      <c r="D1104" s="22" t="s">
        <v>7741</v>
      </c>
      <c r="E1104" s="22" t="s">
        <v>8149</v>
      </c>
      <c r="F1104" s="24" t="s">
        <v>8150</v>
      </c>
      <c r="G1104" s="26" t="s">
        <v>8379</v>
      </c>
      <c r="H1104" s="22"/>
      <c r="I1104" s="22" t="s">
        <v>167</v>
      </c>
      <c r="J1104" s="22" t="s">
        <v>2</v>
      </c>
      <c r="K1104" s="24" t="s">
        <v>7949</v>
      </c>
      <c r="L1104" s="24"/>
      <c r="M1104" s="25" t="s">
        <v>8364</v>
      </c>
      <c r="N1104" s="22"/>
      <c r="O1104" s="22" t="s">
        <v>8151</v>
      </c>
      <c r="P1104" s="22" t="str">
        <f>HYPERLINK("https://ceds.ed.gov/cedselementdetails.aspx?termid=22985")</f>
        <v>https://ceds.ed.gov/cedselementdetails.aspx?termid=22985</v>
      </c>
      <c r="Q1104" s="22">
        <v>63922</v>
      </c>
    </row>
    <row r="1105" spans="1:17" ht="43.2" x14ac:dyDescent="0.3">
      <c r="A1105" s="22" t="s">
        <v>7779</v>
      </c>
      <c r="B1105" s="22" t="s">
        <v>7789</v>
      </c>
      <c r="C1105" s="22" t="s">
        <v>7730</v>
      </c>
      <c r="D1105" s="22" t="s">
        <v>7741</v>
      </c>
      <c r="E1105" s="22" t="s">
        <v>8182</v>
      </c>
      <c r="F1105" s="24" t="s">
        <v>8183</v>
      </c>
      <c r="G1105" s="26" t="s">
        <v>8379</v>
      </c>
      <c r="H1105" s="22"/>
      <c r="I1105" s="22" t="s">
        <v>167</v>
      </c>
      <c r="J1105" s="22" t="s">
        <v>2</v>
      </c>
      <c r="K1105" s="24" t="s">
        <v>7949</v>
      </c>
      <c r="L1105" s="24"/>
      <c r="M1105" s="25" t="s">
        <v>8365</v>
      </c>
      <c r="N1105" s="22"/>
      <c r="O1105" s="22" t="s">
        <v>8184</v>
      </c>
      <c r="P1105" s="22" t="str">
        <f>HYPERLINK("https://ceds.ed.gov/cedselementdetails.aspx?termid=22986")</f>
        <v>https://ceds.ed.gov/cedselementdetails.aspx?termid=22986</v>
      </c>
      <c r="Q1105" s="22">
        <v>63923</v>
      </c>
    </row>
    <row r="1106" spans="1:17" ht="43.2" x14ac:dyDescent="0.3">
      <c r="A1106" s="22" t="s">
        <v>7779</v>
      </c>
      <c r="B1106" s="22" t="s">
        <v>7789</v>
      </c>
      <c r="C1106" s="22" t="s">
        <v>7730</v>
      </c>
      <c r="D1106" s="22" t="s">
        <v>7741</v>
      </c>
      <c r="E1106" s="22" t="s">
        <v>8185</v>
      </c>
      <c r="F1106" s="24" t="s">
        <v>8186</v>
      </c>
      <c r="G1106" s="26" t="s">
        <v>8379</v>
      </c>
      <c r="H1106" s="22"/>
      <c r="I1106" s="22" t="s">
        <v>167</v>
      </c>
      <c r="J1106" s="22" t="s">
        <v>2</v>
      </c>
      <c r="K1106" s="24" t="s">
        <v>7949</v>
      </c>
      <c r="L1106" s="24"/>
      <c r="M1106" s="25" t="s">
        <v>8366</v>
      </c>
      <c r="N1106" s="22"/>
      <c r="O1106" s="22" t="s">
        <v>8187</v>
      </c>
      <c r="P1106" s="22" t="str">
        <f>HYPERLINK("https://ceds.ed.gov/cedselementdetails.aspx?termid=22987")</f>
        <v>https://ceds.ed.gov/cedselementdetails.aspx?termid=22987</v>
      </c>
      <c r="Q1106" s="22">
        <v>63924</v>
      </c>
    </row>
    <row r="1107" spans="1:17" ht="43.2" x14ac:dyDescent="0.3">
      <c r="A1107" s="22" t="s">
        <v>7779</v>
      </c>
      <c r="B1107" s="22" t="s">
        <v>7789</v>
      </c>
      <c r="C1107" s="22" t="s">
        <v>7730</v>
      </c>
      <c r="D1107" s="22" t="s">
        <v>7741</v>
      </c>
      <c r="E1107" s="22" t="s">
        <v>8188</v>
      </c>
      <c r="F1107" s="24" t="s">
        <v>8189</v>
      </c>
      <c r="G1107" s="26" t="s">
        <v>8379</v>
      </c>
      <c r="H1107" s="22"/>
      <c r="I1107" s="22" t="s">
        <v>167</v>
      </c>
      <c r="J1107" s="22" t="s">
        <v>2</v>
      </c>
      <c r="K1107" s="24" t="s">
        <v>7949</v>
      </c>
      <c r="L1107" s="24"/>
      <c r="M1107" s="25" t="s">
        <v>8367</v>
      </c>
      <c r="N1107" s="22"/>
      <c r="O1107" s="22" t="s">
        <v>8190</v>
      </c>
      <c r="P1107" s="22" t="str">
        <f>HYPERLINK("https://ceds.ed.gov/cedselementdetails.aspx?termid=22988")</f>
        <v>https://ceds.ed.gov/cedselementdetails.aspx?termid=22988</v>
      </c>
      <c r="Q1107" s="22">
        <v>63925</v>
      </c>
    </row>
    <row r="1108" spans="1:17" ht="115.2" x14ac:dyDescent="0.3">
      <c r="A1108" s="22" t="s">
        <v>7779</v>
      </c>
      <c r="B1108" s="22" t="s">
        <v>7789</v>
      </c>
      <c r="C1108" s="22" t="s">
        <v>7786</v>
      </c>
      <c r="D1108" s="22" t="s">
        <v>7710</v>
      </c>
      <c r="E1108" s="22" t="s">
        <v>3920</v>
      </c>
      <c r="F1108" s="24" t="s">
        <v>3921</v>
      </c>
      <c r="G1108" s="23" t="s">
        <v>32</v>
      </c>
      <c r="H1108" s="22" t="s">
        <v>226</v>
      </c>
      <c r="I1108" s="22"/>
      <c r="J1108" s="22" t="s">
        <v>1518</v>
      </c>
      <c r="K1108" s="24"/>
      <c r="L1108" s="24"/>
      <c r="M1108" s="25" t="s">
        <v>3923</v>
      </c>
      <c r="N1108" s="22"/>
      <c r="O1108" s="22" t="s">
        <v>3924</v>
      </c>
      <c r="P1108" s="22" t="str">
        <f>HYPERLINK("https://ceds.ed.gov/cedselementdetails.aspx?termid=21540")</f>
        <v>https://ceds.ed.gov/cedselementdetails.aspx?termid=21540</v>
      </c>
      <c r="Q1108" s="22">
        <v>58953</v>
      </c>
    </row>
    <row r="1109" spans="1:17" ht="43.2" x14ac:dyDescent="0.3">
      <c r="A1109" s="22" t="s">
        <v>7779</v>
      </c>
      <c r="B1109" s="22" t="s">
        <v>7789</v>
      </c>
      <c r="C1109" s="22" t="s">
        <v>7786</v>
      </c>
      <c r="D1109" s="22" t="s">
        <v>7710</v>
      </c>
      <c r="E1109" s="22" t="s">
        <v>4105</v>
      </c>
      <c r="F1109" s="24" t="s">
        <v>4106</v>
      </c>
      <c r="G1109" s="23" t="s">
        <v>32</v>
      </c>
      <c r="H1109" s="22" t="s">
        <v>214</v>
      </c>
      <c r="I1109" s="22"/>
      <c r="J1109" s="22" t="s">
        <v>1518</v>
      </c>
      <c r="K1109" s="24"/>
      <c r="L1109" s="24"/>
      <c r="M1109" s="25" t="s">
        <v>4108</v>
      </c>
      <c r="N1109" s="22"/>
      <c r="O1109" s="22" t="s">
        <v>4109</v>
      </c>
      <c r="P1109" s="22" t="str">
        <f>HYPERLINK("https://ceds.ed.gov/cedselementdetails.aspx?termid=21442")</f>
        <v>https://ceds.ed.gov/cedselementdetails.aspx?termid=21442</v>
      </c>
      <c r="Q1109" s="22">
        <v>58925</v>
      </c>
    </row>
    <row r="1110" spans="1:17" ht="28.8" x14ac:dyDescent="0.3">
      <c r="A1110" s="22" t="s">
        <v>7779</v>
      </c>
      <c r="B1110" s="22" t="s">
        <v>7789</v>
      </c>
      <c r="C1110" s="22" t="s">
        <v>7786</v>
      </c>
      <c r="D1110" s="22" t="s">
        <v>7710</v>
      </c>
      <c r="E1110" s="22" t="s">
        <v>4763</v>
      </c>
      <c r="F1110" s="24" t="s">
        <v>4764</v>
      </c>
      <c r="G1110" s="23" t="s">
        <v>32</v>
      </c>
      <c r="H1110" s="22" t="s">
        <v>214</v>
      </c>
      <c r="I1110" s="22"/>
      <c r="J1110" s="22" t="s">
        <v>1518</v>
      </c>
      <c r="K1110" s="24"/>
      <c r="L1110" s="24"/>
      <c r="M1110" s="25" t="s">
        <v>4765</v>
      </c>
      <c r="N1110" s="22"/>
      <c r="O1110" s="22" t="s">
        <v>4766</v>
      </c>
      <c r="P1110" s="22" t="str">
        <f>HYPERLINK("https://ceds.ed.gov/cedselementdetails.aspx?termid=21454")</f>
        <v>https://ceds.ed.gov/cedselementdetails.aspx?termid=21454</v>
      </c>
      <c r="Q1110" s="22">
        <v>58931</v>
      </c>
    </row>
    <row r="1111" spans="1:17" ht="28.8" x14ac:dyDescent="0.3">
      <c r="A1111" s="22" t="s">
        <v>7779</v>
      </c>
      <c r="B1111" s="22" t="s">
        <v>7789</v>
      </c>
      <c r="C1111" s="22" t="s">
        <v>7786</v>
      </c>
      <c r="D1111" s="22" t="s">
        <v>7710</v>
      </c>
      <c r="E1111" s="22" t="s">
        <v>4755</v>
      </c>
      <c r="F1111" s="24" t="s">
        <v>4756</v>
      </c>
      <c r="G1111" s="23" t="s">
        <v>32</v>
      </c>
      <c r="H1111" s="22" t="s">
        <v>214</v>
      </c>
      <c r="I1111" s="22"/>
      <c r="J1111" s="22" t="s">
        <v>1518</v>
      </c>
      <c r="K1111" s="24"/>
      <c r="L1111" s="24"/>
      <c r="M1111" s="25" t="s">
        <v>4757</v>
      </c>
      <c r="N1111" s="22"/>
      <c r="O1111" s="22" t="s">
        <v>4758</v>
      </c>
      <c r="P1111" s="22" t="str">
        <f>HYPERLINK("https://ceds.ed.gov/cedselementdetails.aspx?termid=21451")</f>
        <v>https://ceds.ed.gov/cedselementdetails.aspx?termid=21451</v>
      </c>
      <c r="Q1111" s="22">
        <v>58928</v>
      </c>
    </row>
    <row r="1112" spans="1:17" ht="43.2" x14ac:dyDescent="0.3">
      <c r="A1112" s="22" t="s">
        <v>7779</v>
      </c>
      <c r="B1112" s="22" t="s">
        <v>7789</v>
      </c>
      <c r="C1112" s="22" t="s">
        <v>7786</v>
      </c>
      <c r="D1112" s="22" t="s">
        <v>7710</v>
      </c>
      <c r="E1112" s="22" t="s">
        <v>4759</v>
      </c>
      <c r="F1112" s="24" t="s">
        <v>4760</v>
      </c>
      <c r="G1112" s="23" t="s">
        <v>32</v>
      </c>
      <c r="H1112" s="22" t="s">
        <v>214</v>
      </c>
      <c r="I1112" s="22"/>
      <c r="J1112" s="22" t="s">
        <v>1518</v>
      </c>
      <c r="K1112" s="24"/>
      <c r="L1112" s="24"/>
      <c r="M1112" s="25" t="s">
        <v>4761</v>
      </c>
      <c r="N1112" s="22"/>
      <c r="O1112" s="22" t="s">
        <v>4762</v>
      </c>
      <c r="P1112" s="22" t="str">
        <f>HYPERLINK("https://ceds.ed.gov/cedselementdetails.aspx?termid=21452")</f>
        <v>https://ceds.ed.gov/cedselementdetails.aspx?termid=21452</v>
      </c>
      <c r="Q1112" s="22">
        <v>58929</v>
      </c>
    </row>
    <row r="1113" spans="1:17" ht="57.6" x14ac:dyDescent="0.3">
      <c r="A1113" s="22" t="s">
        <v>7779</v>
      </c>
      <c r="B1113" s="22" t="s">
        <v>7789</v>
      </c>
      <c r="C1113" s="22" t="s">
        <v>7786</v>
      </c>
      <c r="D1113" s="22" t="s">
        <v>7710</v>
      </c>
      <c r="E1113" s="22" t="s">
        <v>5364</v>
      </c>
      <c r="F1113" s="24" t="s">
        <v>5365</v>
      </c>
      <c r="G1113" s="26" t="s">
        <v>22</v>
      </c>
      <c r="H1113" s="22" t="s">
        <v>214</v>
      </c>
      <c r="I1113" s="22"/>
      <c r="J1113" s="22"/>
      <c r="K1113" s="24"/>
      <c r="L1113" s="24"/>
      <c r="M1113" s="25" t="s">
        <v>5366</v>
      </c>
      <c r="N1113" s="22" t="s">
        <v>5367</v>
      </c>
      <c r="O1113" s="22" t="s">
        <v>5368</v>
      </c>
      <c r="P1113" s="22" t="str">
        <f>HYPERLINK("https://ceds.ed.gov/cedselementdetails.aspx?termid=21436")</f>
        <v>https://ceds.ed.gov/cedselementdetails.aspx?termid=21436</v>
      </c>
      <c r="Q1113" s="22">
        <v>58921</v>
      </c>
    </row>
    <row r="1114" spans="1:17" ht="57.6" x14ac:dyDescent="0.3">
      <c r="A1114" s="22" t="s">
        <v>7779</v>
      </c>
      <c r="B1114" s="22" t="s">
        <v>7789</v>
      </c>
      <c r="C1114" s="22" t="s">
        <v>7786</v>
      </c>
      <c r="D1114" s="22" t="s">
        <v>7710</v>
      </c>
      <c r="E1114" s="22" t="s">
        <v>5331</v>
      </c>
      <c r="F1114" s="24" t="s">
        <v>5332</v>
      </c>
      <c r="G1114" s="26" t="s">
        <v>9019</v>
      </c>
      <c r="H1114" s="22" t="s">
        <v>214</v>
      </c>
      <c r="I1114" s="22"/>
      <c r="J1114" s="22"/>
      <c r="K1114" s="24"/>
      <c r="L1114" s="24"/>
      <c r="M1114" s="25" t="s">
        <v>5334</v>
      </c>
      <c r="N1114" s="22" t="s">
        <v>5335</v>
      </c>
      <c r="O1114" s="22" t="s">
        <v>5336</v>
      </c>
      <c r="P1114" s="22" t="str">
        <f>HYPERLINK("https://ceds.ed.gov/cedselementdetails.aspx?termid=21441")</f>
        <v>https://ceds.ed.gov/cedselementdetails.aspx?termid=21441</v>
      </c>
      <c r="Q1114" s="22">
        <v>58924</v>
      </c>
    </row>
    <row r="1115" spans="1:17" ht="57.6" x14ac:dyDescent="0.3">
      <c r="A1115" s="22" t="s">
        <v>7779</v>
      </c>
      <c r="B1115" s="22" t="s">
        <v>7789</v>
      </c>
      <c r="C1115" s="22" t="s">
        <v>7786</v>
      </c>
      <c r="D1115" s="22" t="s">
        <v>7710</v>
      </c>
      <c r="E1115" s="22" t="s">
        <v>6271</v>
      </c>
      <c r="F1115" s="24" t="s">
        <v>6272</v>
      </c>
      <c r="G1115" s="23" t="s">
        <v>32</v>
      </c>
      <c r="H1115" s="22" t="s">
        <v>226</v>
      </c>
      <c r="I1115" s="22"/>
      <c r="J1115" s="22" t="s">
        <v>1518</v>
      </c>
      <c r="K1115" s="24"/>
      <c r="L1115" s="24"/>
      <c r="M1115" s="25" t="s">
        <v>6273</v>
      </c>
      <c r="N1115" s="22"/>
      <c r="O1115" s="22" t="s">
        <v>6274</v>
      </c>
      <c r="P1115" s="22" t="str">
        <f>HYPERLINK("https://ceds.ed.gov/cedselementdetails.aspx?termid=21560")</f>
        <v>https://ceds.ed.gov/cedselementdetails.aspx?termid=21560</v>
      </c>
      <c r="Q1115" s="22">
        <v>58958</v>
      </c>
    </row>
    <row r="1116" spans="1:17" ht="100.8" x14ac:dyDescent="0.3">
      <c r="A1116" s="22" t="s">
        <v>7779</v>
      </c>
      <c r="B1116" s="22" t="s">
        <v>7789</v>
      </c>
      <c r="C1116" s="22" t="s">
        <v>7786</v>
      </c>
      <c r="D1116" s="22" t="s">
        <v>7710</v>
      </c>
      <c r="E1116" s="22" t="s">
        <v>6644</v>
      </c>
      <c r="F1116" s="24" t="s">
        <v>6645</v>
      </c>
      <c r="G1116" s="23" t="s">
        <v>32</v>
      </c>
      <c r="H1116" s="22" t="s">
        <v>214</v>
      </c>
      <c r="I1116" s="22"/>
      <c r="J1116" s="22" t="s">
        <v>775</v>
      </c>
      <c r="K1116" s="24"/>
      <c r="L1116" s="24"/>
      <c r="M1116" s="25" t="s">
        <v>6646</v>
      </c>
      <c r="N1116" s="22"/>
      <c r="O1116" s="22" t="s">
        <v>6647</v>
      </c>
      <c r="P1116" s="22" t="str">
        <f>HYPERLINK("https://ceds.ed.gov/cedselementdetails.aspx?termid=21470")</f>
        <v>https://ceds.ed.gov/cedselementdetails.aspx?termid=21470</v>
      </c>
      <c r="Q1116" s="22">
        <v>58941</v>
      </c>
    </row>
    <row r="1117" spans="1:17" ht="28.8" x14ac:dyDescent="0.3">
      <c r="A1117" s="22" t="s">
        <v>7779</v>
      </c>
      <c r="B1117" s="22" t="s">
        <v>7789</v>
      </c>
      <c r="C1117" s="22" t="s">
        <v>7786</v>
      </c>
      <c r="D1117" s="22" t="s">
        <v>7710</v>
      </c>
      <c r="E1117" s="22" t="s">
        <v>6628</v>
      </c>
      <c r="F1117" s="24" t="s">
        <v>6629</v>
      </c>
      <c r="G1117" s="23" t="s">
        <v>32</v>
      </c>
      <c r="H1117" s="22" t="s">
        <v>214</v>
      </c>
      <c r="I1117" s="22"/>
      <c r="J1117" s="22" t="s">
        <v>1518</v>
      </c>
      <c r="K1117" s="24"/>
      <c r="L1117" s="24"/>
      <c r="M1117" s="25" t="s">
        <v>6630</v>
      </c>
      <c r="N1117" s="22"/>
      <c r="O1117" s="22" t="s">
        <v>6631</v>
      </c>
      <c r="P1117" s="22" t="str">
        <f>HYPERLINK("https://ceds.ed.gov/cedselementdetails.aspx?termid=21471")</f>
        <v>https://ceds.ed.gov/cedselementdetails.aspx?termid=21471</v>
      </c>
      <c r="Q1117" s="22">
        <v>58942</v>
      </c>
    </row>
    <row r="1118" spans="1:17" ht="57.6" x14ac:dyDescent="0.3">
      <c r="A1118" s="22" t="s">
        <v>7779</v>
      </c>
      <c r="B1118" s="22" t="s">
        <v>7789</v>
      </c>
      <c r="C1118" s="22" t="s">
        <v>7786</v>
      </c>
      <c r="D1118" s="22" t="s">
        <v>7710</v>
      </c>
      <c r="E1118" s="22" t="s">
        <v>7069</v>
      </c>
      <c r="F1118" s="24" t="s">
        <v>7070</v>
      </c>
      <c r="G1118" s="23" t="s">
        <v>32</v>
      </c>
      <c r="H1118" s="22" t="s">
        <v>226</v>
      </c>
      <c r="I1118" s="22"/>
      <c r="J1118" s="22" t="s">
        <v>1518</v>
      </c>
      <c r="K1118" s="24"/>
      <c r="L1118" s="24"/>
      <c r="M1118" s="25" t="s">
        <v>7071</v>
      </c>
      <c r="N1118" s="22" t="s">
        <v>7072</v>
      </c>
      <c r="O1118" s="22" t="s">
        <v>7073</v>
      </c>
      <c r="P1118" s="22" t="str">
        <f>HYPERLINK("https://ceds.ed.gov/cedselementdetails.aspx?termid=21559")</f>
        <v>https://ceds.ed.gov/cedselementdetails.aspx?termid=21559</v>
      </c>
      <c r="Q1118" s="22">
        <v>58957</v>
      </c>
    </row>
    <row r="1119" spans="1:17" ht="57.6" x14ac:dyDescent="0.3">
      <c r="A1119" s="22" t="s">
        <v>7779</v>
      </c>
      <c r="B1119" s="22" t="s">
        <v>7789</v>
      </c>
      <c r="C1119" s="22" t="s">
        <v>7786</v>
      </c>
      <c r="D1119" s="22" t="s">
        <v>7710</v>
      </c>
      <c r="E1119" s="22" t="s">
        <v>7074</v>
      </c>
      <c r="F1119" s="24" t="s">
        <v>7075</v>
      </c>
      <c r="G1119" s="23" t="s">
        <v>32</v>
      </c>
      <c r="H1119" s="22" t="s">
        <v>226</v>
      </c>
      <c r="I1119" s="22"/>
      <c r="J1119" s="22" t="s">
        <v>1518</v>
      </c>
      <c r="K1119" s="24"/>
      <c r="L1119" s="24"/>
      <c r="M1119" s="25" t="s">
        <v>7076</v>
      </c>
      <c r="N1119" s="22" t="s">
        <v>7077</v>
      </c>
      <c r="O1119" s="22" t="s">
        <v>7078</v>
      </c>
      <c r="P1119" s="22" t="str">
        <f>HYPERLINK("https://ceds.ed.gov/cedselementdetails.aspx?termid=21567")</f>
        <v>https://ceds.ed.gov/cedselementdetails.aspx?termid=21567</v>
      </c>
      <c r="Q1119" s="22">
        <v>58960</v>
      </c>
    </row>
    <row r="1120" spans="1:17" ht="43.2" x14ac:dyDescent="0.3">
      <c r="A1120" s="22" t="s">
        <v>7779</v>
      </c>
      <c r="B1120" s="22" t="s">
        <v>7789</v>
      </c>
      <c r="C1120" s="22" t="s">
        <v>7786</v>
      </c>
      <c r="D1120" s="22" t="s">
        <v>7710</v>
      </c>
      <c r="E1120" s="22" t="s">
        <v>7064</v>
      </c>
      <c r="F1120" s="24" t="s">
        <v>7065</v>
      </c>
      <c r="G1120" s="23" t="s">
        <v>32</v>
      </c>
      <c r="H1120" s="22" t="s">
        <v>226</v>
      </c>
      <c r="I1120" s="22"/>
      <c r="J1120" s="22" t="s">
        <v>1518</v>
      </c>
      <c r="K1120" s="24"/>
      <c r="L1120" s="24"/>
      <c r="M1120" s="25" t="s">
        <v>7066</v>
      </c>
      <c r="N1120" s="22" t="s">
        <v>7067</v>
      </c>
      <c r="O1120" s="22" t="s">
        <v>7068</v>
      </c>
      <c r="P1120" s="22" t="str">
        <f>HYPERLINK("https://ceds.ed.gov/cedselementdetails.aspx?termid=21566")</f>
        <v>https://ceds.ed.gov/cedselementdetails.aspx?termid=21566</v>
      </c>
      <c r="Q1120" s="22">
        <v>58959</v>
      </c>
    </row>
    <row r="1121" spans="1:17" ht="144" x14ac:dyDescent="0.3">
      <c r="A1121" s="22" t="s">
        <v>7779</v>
      </c>
      <c r="B1121" s="22" t="s">
        <v>7789</v>
      </c>
      <c r="C1121" s="22" t="s">
        <v>7786</v>
      </c>
      <c r="D1121" s="22" t="s">
        <v>7710</v>
      </c>
      <c r="E1121" s="22" t="s">
        <v>7316</v>
      </c>
      <c r="F1121" s="24" t="s">
        <v>7317</v>
      </c>
      <c r="G1121" s="26" t="s">
        <v>9183</v>
      </c>
      <c r="H1121" s="22" t="s">
        <v>214</v>
      </c>
      <c r="I1121" s="22"/>
      <c r="J1121" s="22"/>
      <c r="K1121" s="24"/>
      <c r="L1121" s="24"/>
      <c r="M1121" s="25" t="s">
        <v>7319</v>
      </c>
      <c r="N1121" s="22" t="s">
        <v>7320</v>
      </c>
      <c r="O1121" s="22" t="s">
        <v>7321</v>
      </c>
      <c r="P1121" s="22" t="str">
        <f>HYPERLINK("https://ceds.ed.gov/cedselementdetails.aspx?termid=21477")</f>
        <v>https://ceds.ed.gov/cedselementdetails.aspx?termid=21477</v>
      </c>
      <c r="Q1121" s="22">
        <v>58945</v>
      </c>
    </row>
    <row r="1122" spans="1:17" ht="72" x14ac:dyDescent="0.3">
      <c r="A1122" s="22" t="s">
        <v>7779</v>
      </c>
      <c r="B1122" s="22" t="s">
        <v>7789</v>
      </c>
      <c r="C1122" s="22" t="s">
        <v>7786</v>
      </c>
      <c r="D1122" s="22" t="s">
        <v>7710</v>
      </c>
      <c r="E1122" s="22" t="s">
        <v>3916</v>
      </c>
      <c r="F1122" s="24" t="s">
        <v>8121</v>
      </c>
      <c r="G1122" s="23" t="s">
        <v>32</v>
      </c>
      <c r="H1122" s="22" t="s">
        <v>226</v>
      </c>
      <c r="I1122" s="22" t="s">
        <v>172</v>
      </c>
      <c r="J1122" s="22" t="s">
        <v>3917</v>
      </c>
      <c r="K1122" s="24" t="s">
        <v>8122</v>
      </c>
      <c r="L1122" s="24"/>
      <c r="M1122" s="25" t="s">
        <v>3918</v>
      </c>
      <c r="N1122" s="22"/>
      <c r="O1122" s="22" t="s">
        <v>3919</v>
      </c>
      <c r="P1122" s="22" t="str">
        <f>HYPERLINK("https://ceds.ed.gov/cedselementdetails.aspx?termid=21538")</f>
        <v>https://ceds.ed.gov/cedselementdetails.aspx?termid=21538</v>
      </c>
      <c r="Q1122" s="22">
        <v>61708</v>
      </c>
    </row>
    <row r="1123" spans="1:17" ht="115.2" x14ac:dyDescent="0.3">
      <c r="A1123" s="22" t="s">
        <v>7779</v>
      </c>
      <c r="B1123" s="22" t="s">
        <v>7789</v>
      </c>
      <c r="C1123" s="22" t="s">
        <v>7790</v>
      </c>
      <c r="D1123" s="22" t="s">
        <v>7710</v>
      </c>
      <c r="E1123" s="22" t="s">
        <v>1534</v>
      </c>
      <c r="F1123" s="24" t="s">
        <v>1535</v>
      </c>
      <c r="G1123" s="26" t="s">
        <v>8653</v>
      </c>
      <c r="H1123" s="22" t="s">
        <v>214</v>
      </c>
      <c r="I1123" s="22"/>
      <c r="J1123" s="22"/>
      <c r="K1123" s="24"/>
      <c r="L1123" s="24"/>
      <c r="M1123" s="25" t="s">
        <v>1537</v>
      </c>
      <c r="N1123" s="22"/>
      <c r="O1123" s="22" t="s">
        <v>1538</v>
      </c>
      <c r="P1123" s="22" t="str">
        <f>HYPERLINK("https://ceds.ed.gov/cedselementdetails.aspx?termid=21439")</f>
        <v>https://ceds.ed.gov/cedselementdetails.aspx?termid=21439</v>
      </c>
      <c r="Q1123" s="22">
        <v>58923</v>
      </c>
    </row>
    <row r="1124" spans="1:17" ht="72" x14ac:dyDescent="0.3">
      <c r="A1124" s="22" t="s">
        <v>7779</v>
      </c>
      <c r="B1124" s="22" t="s">
        <v>7789</v>
      </c>
      <c r="C1124" s="22" t="s">
        <v>7790</v>
      </c>
      <c r="D1124" s="22" t="s">
        <v>7710</v>
      </c>
      <c r="E1124" s="22" t="s">
        <v>3113</v>
      </c>
      <c r="F1124" s="24" t="s">
        <v>3114</v>
      </c>
      <c r="G1124" s="26" t="s">
        <v>22</v>
      </c>
      <c r="H1124" s="22" t="s">
        <v>25</v>
      </c>
      <c r="I1124" s="22"/>
      <c r="J1124" s="22"/>
      <c r="K1124" s="24"/>
      <c r="L1124" s="24"/>
      <c r="M1124" s="25" t="s">
        <v>3115</v>
      </c>
      <c r="N1124" s="22"/>
      <c r="O1124" s="22" t="s">
        <v>3116</v>
      </c>
      <c r="P1124" s="22" t="str">
        <f>HYPERLINK("https://ceds.ed.gov/cedselementdetails.aspx?termid=21080")</f>
        <v>https://ceds.ed.gov/cedselementdetails.aspx?termid=21080</v>
      </c>
      <c r="Q1124" s="22">
        <v>58888</v>
      </c>
    </row>
    <row r="1125" spans="1:17" ht="57.6" x14ac:dyDescent="0.3">
      <c r="A1125" s="22" t="s">
        <v>7779</v>
      </c>
      <c r="B1125" s="22" t="s">
        <v>7789</v>
      </c>
      <c r="C1125" s="22" t="s">
        <v>7790</v>
      </c>
      <c r="D1125" s="22" t="s">
        <v>7710</v>
      </c>
      <c r="E1125" s="22" t="s">
        <v>4269</v>
      </c>
      <c r="F1125" s="24" t="s">
        <v>4270</v>
      </c>
      <c r="G1125" s="26" t="s">
        <v>22</v>
      </c>
      <c r="H1125" s="22" t="s">
        <v>25</v>
      </c>
      <c r="I1125" s="22"/>
      <c r="J1125" s="22"/>
      <c r="K1125" s="24"/>
      <c r="L1125" s="24"/>
      <c r="M1125" s="25" t="s">
        <v>4271</v>
      </c>
      <c r="N1125" s="22"/>
      <c r="O1125" s="22" t="s">
        <v>4272</v>
      </c>
      <c r="P1125" s="22" t="str">
        <f>HYPERLINK("https://ceds.ed.gov/cedselementdetails.aspx?termid=21135")</f>
        <v>https://ceds.ed.gov/cedselementdetails.aspx?termid=21135</v>
      </c>
      <c r="Q1125" s="22">
        <v>58891</v>
      </c>
    </row>
    <row r="1126" spans="1:17" ht="86.4" x14ac:dyDescent="0.3">
      <c r="A1126" s="22" t="s">
        <v>7779</v>
      </c>
      <c r="B1126" s="22" t="s">
        <v>7789</v>
      </c>
      <c r="C1126" s="22" t="s">
        <v>7790</v>
      </c>
      <c r="D1126" s="22" t="s">
        <v>7710</v>
      </c>
      <c r="E1126" s="22" t="s">
        <v>4834</v>
      </c>
      <c r="F1126" s="24" t="s">
        <v>4835</v>
      </c>
      <c r="G1126" s="26" t="s">
        <v>8972</v>
      </c>
      <c r="H1126" s="22" t="s">
        <v>226</v>
      </c>
      <c r="I1126" s="22"/>
      <c r="J1126" s="22"/>
      <c r="K1126" s="24"/>
      <c r="L1126" s="24"/>
      <c r="M1126" s="25" t="s">
        <v>4836</v>
      </c>
      <c r="N1126" s="22"/>
      <c r="O1126" s="22" t="s">
        <v>4837</v>
      </c>
      <c r="P1126" s="22" t="str">
        <f>HYPERLINK("https://ceds.ed.gov/cedselementdetails.aspx?termid=21170")</f>
        <v>https://ceds.ed.gov/cedselementdetails.aspx?termid=21170</v>
      </c>
      <c r="Q1126" s="22">
        <v>58896</v>
      </c>
    </row>
    <row r="1127" spans="1:17" ht="86.4" x14ac:dyDescent="0.3">
      <c r="A1127" s="22" t="s">
        <v>7779</v>
      </c>
      <c r="B1127" s="22" t="s">
        <v>7789</v>
      </c>
      <c r="C1127" s="22" t="s">
        <v>7790</v>
      </c>
      <c r="D1127" s="22" t="s">
        <v>7710</v>
      </c>
      <c r="E1127" s="22" t="s">
        <v>6530</v>
      </c>
      <c r="F1127" s="24" t="s">
        <v>6531</v>
      </c>
      <c r="G1127" s="26" t="s">
        <v>8599</v>
      </c>
      <c r="H1127" s="22" t="s">
        <v>226</v>
      </c>
      <c r="I1127" s="22"/>
      <c r="J1127" s="22"/>
      <c r="K1127" s="24"/>
      <c r="L1127" s="24"/>
      <c r="M1127" s="25" t="s">
        <v>6532</v>
      </c>
      <c r="N1127" s="22" t="s">
        <v>6533</v>
      </c>
      <c r="O1127" s="22" t="s">
        <v>6534</v>
      </c>
      <c r="P1127" s="22" t="str">
        <f>HYPERLINK("https://ceds.ed.gov/cedselementdetails.aspx?termid=21552")</f>
        <v>https://ceds.ed.gov/cedselementdetails.aspx?termid=21552</v>
      </c>
      <c r="Q1127" s="22">
        <v>58956</v>
      </c>
    </row>
    <row r="1128" spans="1:17" ht="100.8" x14ac:dyDescent="0.3">
      <c r="A1128" s="22" t="s">
        <v>7779</v>
      </c>
      <c r="B1128" s="22" t="s">
        <v>7789</v>
      </c>
      <c r="C1128" s="22" t="s">
        <v>7790</v>
      </c>
      <c r="D1128" s="22" t="s">
        <v>7710</v>
      </c>
      <c r="E1128" s="22" t="s">
        <v>6966</v>
      </c>
      <c r="F1128" s="24" t="s">
        <v>6967</v>
      </c>
      <c r="G1128" s="23" t="s">
        <v>32</v>
      </c>
      <c r="H1128" s="22" t="s">
        <v>214</v>
      </c>
      <c r="I1128" s="22"/>
      <c r="J1128" s="22" t="s">
        <v>775</v>
      </c>
      <c r="K1128" s="24"/>
      <c r="L1128" s="24"/>
      <c r="M1128" s="25" t="s">
        <v>6968</v>
      </c>
      <c r="N1128" s="22"/>
      <c r="O1128" s="22" t="s">
        <v>6969</v>
      </c>
      <c r="P1128" s="22" t="str">
        <f>HYPERLINK("https://ceds.ed.gov/cedselementdetails.aspx?termid=21444")</f>
        <v>https://ceds.ed.gov/cedselementdetails.aspx?termid=21444</v>
      </c>
      <c r="Q1128" s="22">
        <v>58927</v>
      </c>
    </row>
    <row r="1129" spans="1:17" ht="57.6" x14ac:dyDescent="0.3">
      <c r="A1129" s="22" t="s">
        <v>7779</v>
      </c>
      <c r="B1129" s="22" t="s">
        <v>7789</v>
      </c>
      <c r="C1129" s="22" t="s">
        <v>7790</v>
      </c>
      <c r="D1129" s="22" t="s">
        <v>7710</v>
      </c>
      <c r="E1129" s="22" t="s">
        <v>6970</v>
      </c>
      <c r="F1129" s="24" t="s">
        <v>6971</v>
      </c>
      <c r="G1129" s="23" t="s">
        <v>32</v>
      </c>
      <c r="H1129" s="24" t="s">
        <v>6974</v>
      </c>
      <c r="I1129" s="22"/>
      <c r="J1129" s="22" t="s">
        <v>775</v>
      </c>
      <c r="K1129" s="24"/>
      <c r="L1129" s="24"/>
      <c r="M1129" s="25" t="s">
        <v>6972</v>
      </c>
      <c r="N1129" s="22"/>
      <c r="O1129" s="22" t="s">
        <v>6973</v>
      </c>
      <c r="P1129" s="22" t="str">
        <f>HYPERLINK("https://ceds.ed.gov/cedselementdetails.aspx?termid=21443")</f>
        <v>https://ceds.ed.gov/cedselementdetails.aspx?termid=21443</v>
      </c>
      <c r="Q1129" s="22">
        <v>58926</v>
      </c>
    </row>
    <row r="1130" spans="1:17" ht="43.2" x14ac:dyDescent="0.3">
      <c r="A1130" s="22" t="s">
        <v>7779</v>
      </c>
      <c r="B1130" s="22" t="s">
        <v>7789</v>
      </c>
      <c r="C1130" s="22" t="s">
        <v>7790</v>
      </c>
      <c r="D1130" s="22" t="s">
        <v>7710</v>
      </c>
      <c r="E1130" s="22" t="s">
        <v>7176</v>
      </c>
      <c r="F1130" s="24" t="s">
        <v>7177</v>
      </c>
      <c r="G1130" s="26" t="s">
        <v>22</v>
      </c>
      <c r="H1130" s="22" t="s">
        <v>214</v>
      </c>
      <c r="I1130" s="22"/>
      <c r="J1130" s="22"/>
      <c r="K1130" s="24"/>
      <c r="L1130" s="24"/>
      <c r="M1130" s="25" t="s">
        <v>7178</v>
      </c>
      <c r="N1130" s="22"/>
      <c r="O1130" s="22" t="s">
        <v>7179</v>
      </c>
      <c r="P1130" s="22" t="str">
        <f>HYPERLINK("https://ceds.ed.gov/cedselementdetails.aspx?termid=21473")</f>
        <v>https://ceds.ed.gov/cedselementdetails.aspx?termid=21473</v>
      </c>
      <c r="Q1130" s="22">
        <v>58943</v>
      </c>
    </row>
    <row r="1131" spans="1:17" ht="72" x14ac:dyDescent="0.3">
      <c r="A1131" s="22" t="s">
        <v>7779</v>
      </c>
      <c r="B1131" s="22" t="s">
        <v>7789</v>
      </c>
      <c r="C1131" s="22" t="s">
        <v>7790</v>
      </c>
      <c r="D1131" s="22" t="s">
        <v>7710</v>
      </c>
      <c r="E1131" s="22" t="s">
        <v>4855</v>
      </c>
      <c r="F1131" s="24" t="s">
        <v>8227</v>
      </c>
      <c r="G1131" s="23" t="s">
        <v>32</v>
      </c>
      <c r="H1131" s="22"/>
      <c r="I1131" s="22"/>
      <c r="J1131" s="22" t="s">
        <v>317</v>
      </c>
      <c r="K1131" s="24"/>
      <c r="L1131" s="24"/>
      <c r="M1131" s="25" t="s">
        <v>4856</v>
      </c>
      <c r="N1131" s="22"/>
      <c r="O1131" s="22" t="s">
        <v>4857</v>
      </c>
      <c r="P1131" s="22" t="str">
        <f>HYPERLINK("https://ceds.ed.gov/cedselementdetails.aspx?termid=21660")</f>
        <v>https://ceds.ed.gov/cedselementdetails.aspx?termid=21660</v>
      </c>
      <c r="Q1131" s="22">
        <v>58963</v>
      </c>
    </row>
    <row r="1132" spans="1:17" ht="72" x14ac:dyDescent="0.3">
      <c r="A1132" s="22" t="s">
        <v>7779</v>
      </c>
      <c r="B1132" s="22" t="s">
        <v>7789</v>
      </c>
      <c r="C1132" s="22" t="s">
        <v>7790</v>
      </c>
      <c r="D1132" s="22" t="s">
        <v>7710</v>
      </c>
      <c r="E1132" s="22" t="s">
        <v>4852</v>
      </c>
      <c r="F1132" s="24" t="s">
        <v>8226</v>
      </c>
      <c r="G1132" s="23" t="s">
        <v>32</v>
      </c>
      <c r="H1132" s="22"/>
      <c r="I1132" s="22"/>
      <c r="J1132" s="22" t="s">
        <v>317</v>
      </c>
      <c r="K1132" s="24"/>
      <c r="L1132" s="24"/>
      <c r="M1132" s="25" t="s">
        <v>4853</v>
      </c>
      <c r="N1132" s="22"/>
      <c r="O1132" s="22" t="s">
        <v>4854</v>
      </c>
      <c r="P1132" s="22" t="str">
        <f>HYPERLINK("https://ceds.ed.gov/cedselementdetails.aspx?termid=21661")</f>
        <v>https://ceds.ed.gov/cedselementdetails.aspx?termid=21661</v>
      </c>
      <c r="Q1132" s="22">
        <v>58964</v>
      </c>
    </row>
    <row r="1133" spans="1:17" ht="86.4" x14ac:dyDescent="0.3">
      <c r="A1133" s="22" t="s">
        <v>7779</v>
      </c>
      <c r="B1133" s="22" t="s">
        <v>7789</v>
      </c>
      <c r="C1133" s="22" t="s">
        <v>7790</v>
      </c>
      <c r="D1133" s="22" t="s">
        <v>7710</v>
      </c>
      <c r="E1133" s="22" t="s">
        <v>4861</v>
      </c>
      <c r="F1133" s="24" t="s">
        <v>8229</v>
      </c>
      <c r="G1133" s="23" t="s">
        <v>32</v>
      </c>
      <c r="H1133" s="22"/>
      <c r="I1133" s="22"/>
      <c r="J1133" s="22" t="s">
        <v>317</v>
      </c>
      <c r="K1133" s="24"/>
      <c r="L1133" s="24"/>
      <c r="M1133" s="25" t="s">
        <v>4862</v>
      </c>
      <c r="N1133" s="22"/>
      <c r="O1133" s="22" t="s">
        <v>4863</v>
      </c>
      <c r="P1133" s="22" t="str">
        <f>HYPERLINK("https://ceds.ed.gov/cedselementdetails.aspx?termid=21662")</f>
        <v>https://ceds.ed.gov/cedselementdetails.aspx?termid=21662</v>
      </c>
      <c r="Q1133" s="22">
        <v>58965</v>
      </c>
    </row>
    <row r="1134" spans="1:17" ht="86.4" x14ac:dyDescent="0.3">
      <c r="A1134" s="22" t="s">
        <v>7779</v>
      </c>
      <c r="B1134" s="22" t="s">
        <v>7789</v>
      </c>
      <c r="C1134" s="22" t="s">
        <v>7790</v>
      </c>
      <c r="D1134" s="22" t="s">
        <v>7710</v>
      </c>
      <c r="E1134" s="22" t="s">
        <v>4858</v>
      </c>
      <c r="F1134" s="24" t="s">
        <v>8228</v>
      </c>
      <c r="G1134" s="23" t="s">
        <v>32</v>
      </c>
      <c r="H1134" s="22"/>
      <c r="I1134" s="22"/>
      <c r="J1134" s="22" t="s">
        <v>317</v>
      </c>
      <c r="K1134" s="24"/>
      <c r="L1134" s="24"/>
      <c r="M1134" s="25" t="s">
        <v>4859</v>
      </c>
      <c r="N1134" s="22"/>
      <c r="O1134" s="22" t="s">
        <v>4860</v>
      </c>
      <c r="P1134" s="22" t="str">
        <f>HYPERLINK("https://ceds.ed.gov/cedselementdetails.aspx?termid=21663")</f>
        <v>https://ceds.ed.gov/cedselementdetails.aspx?termid=21663</v>
      </c>
      <c r="Q1134" s="22">
        <v>58966</v>
      </c>
    </row>
    <row r="1135" spans="1:17" ht="57.6" x14ac:dyDescent="0.3">
      <c r="A1135" s="22" t="s">
        <v>7779</v>
      </c>
      <c r="B1135" s="22" t="s">
        <v>7789</v>
      </c>
      <c r="C1135" s="22" t="s">
        <v>7790</v>
      </c>
      <c r="D1135" s="22" t="s">
        <v>7710</v>
      </c>
      <c r="E1135" s="22" t="s">
        <v>4849</v>
      </c>
      <c r="F1135" s="24" t="s">
        <v>8225</v>
      </c>
      <c r="G1135" s="23" t="s">
        <v>32</v>
      </c>
      <c r="H1135" s="22"/>
      <c r="I1135" s="22"/>
      <c r="J1135" s="22" t="s">
        <v>317</v>
      </c>
      <c r="K1135" s="24"/>
      <c r="L1135" s="24"/>
      <c r="M1135" s="25" t="s">
        <v>4850</v>
      </c>
      <c r="N1135" s="22"/>
      <c r="O1135" s="22" t="s">
        <v>4851</v>
      </c>
      <c r="P1135" s="22" t="str">
        <f>HYPERLINK("https://ceds.ed.gov/cedselementdetails.aspx?termid=21664")</f>
        <v>https://ceds.ed.gov/cedselementdetails.aspx?termid=21664</v>
      </c>
      <c r="Q1135" s="22">
        <v>58967</v>
      </c>
    </row>
    <row r="1136" spans="1:17" ht="57.6" x14ac:dyDescent="0.3">
      <c r="A1136" s="22" t="s">
        <v>7779</v>
      </c>
      <c r="B1136" s="22" t="s">
        <v>7789</v>
      </c>
      <c r="C1136" s="22" t="s">
        <v>7790</v>
      </c>
      <c r="D1136" s="22" t="s">
        <v>7710</v>
      </c>
      <c r="E1136" s="22" t="s">
        <v>4846</v>
      </c>
      <c r="F1136" s="24" t="s">
        <v>8224</v>
      </c>
      <c r="G1136" s="23" t="s">
        <v>32</v>
      </c>
      <c r="H1136" s="22"/>
      <c r="I1136" s="22"/>
      <c r="J1136" s="22" t="s">
        <v>317</v>
      </c>
      <c r="K1136" s="24"/>
      <c r="L1136" s="24"/>
      <c r="M1136" s="25" t="s">
        <v>4847</v>
      </c>
      <c r="N1136" s="22"/>
      <c r="O1136" s="22" t="s">
        <v>4848</v>
      </c>
      <c r="P1136" s="22" t="str">
        <f>HYPERLINK("https://ceds.ed.gov/cedselementdetails.aspx?termid=21665")</f>
        <v>https://ceds.ed.gov/cedselementdetails.aspx?termid=21665</v>
      </c>
      <c r="Q1136" s="22">
        <v>58968</v>
      </c>
    </row>
    <row r="1137" spans="1:17" ht="43.2" x14ac:dyDescent="0.3">
      <c r="A1137" s="22" t="s">
        <v>7779</v>
      </c>
      <c r="B1137" s="22" t="s">
        <v>7789</v>
      </c>
      <c r="C1137" s="22" t="s">
        <v>7791</v>
      </c>
      <c r="D1137" s="22" t="s">
        <v>7710</v>
      </c>
      <c r="E1137" s="22" t="s">
        <v>6539</v>
      </c>
      <c r="F1137" s="24" t="s">
        <v>6540</v>
      </c>
      <c r="G1137" s="23" t="s">
        <v>32</v>
      </c>
      <c r="H1137" s="22" t="s">
        <v>214</v>
      </c>
      <c r="I1137" s="22"/>
      <c r="J1137" s="22" t="s">
        <v>157</v>
      </c>
      <c r="K1137" s="24"/>
      <c r="L1137" s="24"/>
      <c r="M1137" s="25" t="s">
        <v>6542</v>
      </c>
      <c r="N1137" s="22"/>
      <c r="O1137" s="22" t="s">
        <v>6543</v>
      </c>
      <c r="P1137" s="22" t="str">
        <f>HYPERLINK("https://ceds.ed.gov/cedselementdetails.aspx?termid=21468")</f>
        <v>https://ceds.ed.gov/cedselementdetails.aspx?termid=21468</v>
      </c>
      <c r="Q1137" s="22">
        <v>58939</v>
      </c>
    </row>
    <row r="1138" spans="1:17" ht="28.8" x14ac:dyDescent="0.3">
      <c r="A1138" s="22" t="s">
        <v>7779</v>
      </c>
      <c r="B1138" s="22" t="s">
        <v>7789</v>
      </c>
      <c r="C1138" s="22" t="s">
        <v>7791</v>
      </c>
      <c r="D1138" s="22" t="s">
        <v>7710</v>
      </c>
      <c r="E1138" s="22" t="s">
        <v>6544</v>
      </c>
      <c r="F1138" s="24" t="s">
        <v>6545</v>
      </c>
      <c r="G1138" s="23" t="s">
        <v>32</v>
      </c>
      <c r="H1138" s="22" t="s">
        <v>214</v>
      </c>
      <c r="I1138" s="22"/>
      <c r="J1138" s="22" t="s">
        <v>1165</v>
      </c>
      <c r="K1138" s="24"/>
      <c r="L1138" s="24"/>
      <c r="M1138" s="25" t="s">
        <v>6546</v>
      </c>
      <c r="N1138" s="22"/>
      <c r="O1138" s="22" t="s">
        <v>6547</v>
      </c>
      <c r="P1138" s="22" t="str">
        <f>HYPERLINK("https://ceds.ed.gov/cedselementdetails.aspx?termid=21469")</f>
        <v>https://ceds.ed.gov/cedselementdetails.aspx?termid=21469</v>
      </c>
      <c r="Q1138" s="22">
        <v>58940</v>
      </c>
    </row>
    <row r="1139" spans="1:17" ht="43.2" x14ac:dyDescent="0.3">
      <c r="A1139" s="22" t="s">
        <v>7779</v>
      </c>
      <c r="B1139" s="22" t="s">
        <v>7789</v>
      </c>
      <c r="C1139" s="22" t="s">
        <v>7791</v>
      </c>
      <c r="D1139" s="22" t="s">
        <v>7710</v>
      </c>
      <c r="E1139" s="22" t="s">
        <v>6548</v>
      </c>
      <c r="F1139" s="24" t="s">
        <v>8300</v>
      </c>
      <c r="G1139" s="23" t="s">
        <v>32</v>
      </c>
      <c r="H1139" s="22" t="s">
        <v>214</v>
      </c>
      <c r="I1139" s="22"/>
      <c r="J1139" s="22" t="s">
        <v>157</v>
      </c>
      <c r="K1139" s="24"/>
      <c r="L1139" s="24"/>
      <c r="M1139" s="25" t="s">
        <v>6549</v>
      </c>
      <c r="N1139" s="22"/>
      <c r="O1139" s="22" t="s">
        <v>6550</v>
      </c>
      <c r="P1139" s="22" t="str">
        <f>HYPERLINK("https://ceds.ed.gov/cedselementdetails.aspx?termid=21463")</f>
        <v>https://ceds.ed.gov/cedselementdetails.aspx?termid=21463</v>
      </c>
      <c r="Q1139" s="22">
        <v>58935</v>
      </c>
    </row>
    <row r="1140" spans="1:17" ht="43.2" x14ac:dyDescent="0.3">
      <c r="A1140" s="22" t="s">
        <v>7779</v>
      </c>
      <c r="B1140" s="22" t="s">
        <v>7789</v>
      </c>
      <c r="C1140" s="22" t="s">
        <v>7791</v>
      </c>
      <c r="D1140" s="22" t="s">
        <v>7710</v>
      </c>
      <c r="E1140" s="22" t="s">
        <v>6551</v>
      </c>
      <c r="F1140" s="24" t="s">
        <v>6552</v>
      </c>
      <c r="G1140" s="23" t="s">
        <v>32</v>
      </c>
      <c r="H1140" s="22" t="s">
        <v>214</v>
      </c>
      <c r="I1140" s="22"/>
      <c r="J1140" s="22" t="s">
        <v>157</v>
      </c>
      <c r="K1140" s="24"/>
      <c r="L1140" s="24"/>
      <c r="M1140" s="25" t="s">
        <v>6553</v>
      </c>
      <c r="N1140" s="22"/>
      <c r="O1140" s="22" t="s">
        <v>6554</v>
      </c>
      <c r="P1140" s="22" t="str">
        <f>HYPERLINK("https://ceds.ed.gov/cedselementdetails.aspx?termid=21461")</f>
        <v>https://ceds.ed.gov/cedselementdetails.aspx?termid=21461</v>
      </c>
      <c r="Q1140" s="22">
        <v>58933</v>
      </c>
    </row>
    <row r="1141" spans="1:17" ht="57.6" x14ac:dyDescent="0.3">
      <c r="A1141" s="22" t="s">
        <v>7779</v>
      </c>
      <c r="B1141" s="22" t="s">
        <v>7789</v>
      </c>
      <c r="C1141" s="22" t="s">
        <v>7791</v>
      </c>
      <c r="D1141" s="22" t="s">
        <v>7710</v>
      </c>
      <c r="E1141" s="22" t="s">
        <v>6555</v>
      </c>
      <c r="F1141" s="24" t="s">
        <v>6556</v>
      </c>
      <c r="G1141" s="23" t="s">
        <v>32</v>
      </c>
      <c r="H1141" s="22" t="s">
        <v>214</v>
      </c>
      <c r="I1141" s="22"/>
      <c r="J1141" s="22" t="s">
        <v>780</v>
      </c>
      <c r="K1141" s="24"/>
      <c r="L1141" s="24"/>
      <c r="M1141" s="25" t="s">
        <v>6557</v>
      </c>
      <c r="N1141" s="22"/>
      <c r="O1141" s="22" t="s">
        <v>6558</v>
      </c>
      <c r="P1141" s="22" t="str">
        <f>HYPERLINK("https://ceds.ed.gov/cedselementdetails.aspx?termid=21462")</f>
        <v>https://ceds.ed.gov/cedselementdetails.aspx?termid=21462</v>
      </c>
      <c r="Q1141" s="22">
        <v>58934</v>
      </c>
    </row>
    <row r="1142" spans="1:17" ht="43.2" x14ac:dyDescent="0.3">
      <c r="A1142" s="22" t="s">
        <v>7779</v>
      </c>
      <c r="B1142" s="22" t="s">
        <v>7789</v>
      </c>
      <c r="C1142" s="22" t="s">
        <v>7791</v>
      </c>
      <c r="D1142" s="22" t="s">
        <v>7710</v>
      </c>
      <c r="E1142" s="22" t="s">
        <v>6559</v>
      </c>
      <c r="F1142" s="24" t="s">
        <v>8301</v>
      </c>
      <c r="G1142" s="23" t="s">
        <v>32</v>
      </c>
      <c r="H1142" s="22" t="s">
        <v>214</v>
      </c>
      <c r="I1142" s="22"/>
      <c r="J1142" s="22" t="s">
        <v>1165</v>
      </c>
      <c r="K1142" s="24"/>
      <c r="L1142" s="24"/>
      <c r="M1142" s="25" t="s">
        <v>6560</v>
      </c>
      <c r="N1142" s="22"/>
      <c r="O1142" s="22" t="s">
        <v>6561</v>
      </c>
      <c r="P1142" s="22" t="str">
        <f>HYPERLINK("https://ceds.ed.gov/cedselementdetails.aspx?termid=21466")</f>
        <v>https://ceds.ed.gov/cedselementdetails.aspx?termid=21466</v>
      </c>
      <c r="Q1142" s="22">
        <v>58938</v>
      </c>
    </row>
    <row r="1143" spans="1:17" ht="57.6" x14ac:dyDescent="0.3">
      <c r="A1143" s="22" t="s">
        <v>7779</v>
      </c>
      <c r="B1143" s="22" t="s">
        <v>7789</v>
      </c>
      <c r="C1143" s="22" t="s">
        <v>7791</v>
      </c>
      <c r="D1143" s="22" t="s">
        <v>7710</v>
      </c>
      <c r="E1143" s="22" t="s">
        <v>6562</v>
      </c>
      <c r="F1143" s="24" t="s">
        <v>8302</v>
      </c>
      <c r="G1143" s="23" t="s">
        <v>32</v>
      </c>
      <c r="H1143" s="22" t="s">
        <v>214</v>
      </c>
      <c r="I1143" s="22"/>
      <c r="J1143" s="22" t="s">
        <v>1165</v>
      </c>
      <c r="K1143" s="24"/>
      <c r="L1143" s="24"/>
      <c r="M1143" s="25" t="s">
        <v>6563</v>
      </c>
      <c r="N1143" s="22"/>
      <c r="O1143" s="22" t="s">
        <v>6564</v>
      </c>
      <c r="P1143" s="22" t="str">
        <f>HYPERLINK("https://ceds.ed.gov/cedselementdetails.aspx?termid=21465")</f>
        <v>https://ceds.ed.gov/cedselementdetails.aspx?termid=21465</v>
      </c>
      <c r="Q1143" s="22">
        <v>58937</v>
      </c>
    </row>
    <row r="1144" spans="1:17" ht="57.6" x14ac:dyDescent="0.3">
      <c r="A1144" s="22" t="s">
        <v>7779</v>
      </c>
      <c r="B1144" s="22" t="s">
        <v>7789</v>
      </c>
      <c r="C1144" s="22" t="s">
        <v>7791</v>
      </c>
      <c r="D1144" s="22" t="s">
        <v>7710</v>
      </c>
      <c r="E1144" s="22" t="s">
        <v>6565</v>
      </c>
      <c r="F1144" s="24" t="s">
        <v>6566</v>
      </c>
      <c r="G1144" s="23" t="s">
        <v>32</v>
      </c>
      <c r="H1144" s="22" t="s">
        <v>214</v>
      </c>
      <c r="I1144" s="22"/>
      <c r="J1144" s="22" t="s">
        <v>1165</v>
      </c>
      <c r="K1144" s="24"/>
      <c r="L1144" s="24"/>
      <c r="M1144" s="25" t="s">
        <v>6567</v>
      </c>
      <c r="N1144" s="22"/>
      <c r="O1144" s="22" t="s">
        <v>6568</v>
      </c>
      <c r="P1144" s="22" t="str">
        <f>HYPERLINK("https://ceds.ed.gov/cedselementdetails.aspx?termid=21464")</f>
        <v>https://ceds.ed.gov/cedselementdetails.aspx?termid=21464</v>
      </c>
      <c r="Q1144" s="22">
        <v>58936</v>
      </c>
    </row>
    <row r="1145" spans="1:17" ht="86.4" x14ac:dyDescent="0.3">
      <c r="A1145" s="22" t="s">
        <v>7779</v>
      </c>
      <c r="B1145" s="22" t="s">
        <v>7789</v>
      </c>
      <c r="C1145" s="22" t="s">
        <v>7792</v>
      </c>
      <c r="D1145" s="22" t="s">
        <v>7710</v>
      </c>
      <c r="E1145" s="22" t="s">
        <v>5937</v>
      </c>
      <c r="F1145" s="24" t="s">
        <v>5938</v>
      </c>
      <c r="G1145" s="26" t="s">
        <v>9072</v>
      </c>
      <c r="H1145" s="22" t="s">
        <v>25</v>
      </c>
      <c r="I1145" s="22"/>
      <c r="J1145" s="22"/>
      <c r="K1145" s="24"/>
      <c r="L1145" s="24"/>
      <c r="M1145" s="25" t="s">
        <v>5939</v>
      </c>
      <c r="N1145" s="22"/>
      <c r="O1145" s="22" t="s">
        <v>5940</v>
      </c>
      <c r="P1145" s="22" t="str">
        <f>HYPERLINK("https://ceds.ed.gov/cedselementdetails.aspx?termid=21216")</f>
        <v>https://ceds.ed.gov/cedselementdetails.aspx?termid=21216</v>
      </c>
      <c r="Q1145" s="22">
        <v>58906</v>
      </c>
    </row>
    <row r="1146" spans="1:17" ht="72" x14ac:dyDescent="0.3">
      <c r="A1146" s="22" t="s">
        <v>7779</v>
      </c>
      <c r="B1146" s="22" t="s">
        <v>7789</v>
      </c>
      <c r="C1146" s="22" t="s">
        <v>7792</v>
      </c>
      <c r="D1146" s="22" t="s">
        <v>7710</v>
      </c>
      <c r="E1146" s="22" t="s">
        <v>5941</v>
      </c>
      <c r="F1146" s="24" t="s">
        <v>8274</v>
      </c>
      <c r="G1146" s="26" t="s">
        <v>9073</v>
      </c>
      <c r="H1146" s="22" t="s">
        <v>25</v>
      </c>
      <c r="I1146" s="22"/>
      <c r="J1146" s="22"/>
      <c r="K1146" s="24"/>
      <c r="L1146" s="24"/>
      <c r="M1146" s="25" t="s">
        <v>5942</v>
      </c>
      <c r="N1146" s="22"/>
      <c r="O1146" s="22" t="s">
        <v>5943</v>
      </c>
      <c r="P1146" s="22" t="str">
        <f>HYPERLINK("https://ceds.ed.gov/cedselementdetails.aspx?termid=21217")</f>
        <v>https://ceds.ed.gov/cedselementdetails.aspx?termid=21217</v>
      </c>
      <c r="Q1146" s="22">
        <v>58907</v>
      </c>
    </row>
    <row r="1147" spans="1:17" ht="57.6" x14ac:dyDescent="0.3">
      <c r="A1147" s="22" t="s">
        <v>7779</v>
      </c>
      <c r="B1147" s="22" t="s">
        <v>7789</v>
      </c>
      <c r="C1147" s="22" t="s">
        <v>7792</v>
      </c>
      <c r="D1147" s="22" t="s">
        <v>7710</v>
      </c>
      <c r="E1147" s="22" t="s">
        <v>5933</v>
      </c>
      <c r="F1147" s="24" t="s">
        <v>5934</v>
      </c>
      <c r="G1147" s="26" t="s">
        <v>8990</v>
      </c>
      <c r="H1147" s="22" t="s">
        <v>25</v>
      </c>
      <c r="I1147" s="22"/>
      <c r="J1147" s="22"/>
      <c r="K1147" s="24"/>
      <c r="L1147" s="24"/>
      <c r="M1147" s="25" t="s">
        <v>5935</v>
      </c>
      <c r="N1147" s="22"/>
      <c r="O1147" s="22" t="s">
        <v>5936</v>
      </c>
      <c r="P1147" s="22" t="str">
        <f>HYPERLINK("https://ceds.ed.gov/cedselementdetails.aspx?termid=21481")</f>
        <v>https://ceds.ed.gov/cedselementdetails.aspx?termid=21481</v>
      </c>
      <c r="Q1147" s="22">
        <v>58947</v>
      </c>
    </row>
    <row r="1148" spans="1:17" ht="57.6" x14ac:dyDescent="0.3">
      <c r="A1148" s="22" t="s">
        <v>7779</v>
      </c>
      <c r="B1148" s="22" t="s">
        <v>7789</v>
      </c>
      <c r="C1148" s="22" t="s">
        <v>7792</v>
      </c>
      <c r="D1148" s="22" t="s">
        <v>7710</v>
      </c>
      <c r="E1148" s="22" t="s">
        <v>4954</v>
      </c>
      <c r="F1148" s="24" t="s">
        <v>4955</v>
      </c>
      <c r="G1148" s="26" t="s">
        <v>8990</v>
      </c>
      <c r="H1148" s="22" t="s">
        <v>25</v>
      </c>
      <c r="I1148" s="22"/>
      <c r="J1148" s="22"/>
      <c r="K1148" s="24"/>
      <c r="L1148" s="24"/>
      <c r="M1148" s="25" t="s">
        <v>4957</v>
      </c>
      <c r="N1148" s="22"/>
      <c r="O1148" s="22" t="s">
        <v>4958</v>
      </c>
      <c r="P1148" s="22" t="str">
        <f>HYPERLINK("https://ceds.ed.gov/cedselementdetails.aspx?termid=21482")</f>
        <v>https://ceds.ed.gov/cedselementdetails.aspx?termid=21482</v>
      </c>
      <c r="Q1148" s="22">
        <v>58948</v>
      </c>
    </row>
    <row r="1149" spans="1:17" ht="302.39999999999998" x14ac:dyDescent="0.3">
      <c r="A1149" s="22" t="s">
        <v>7779</v>
      </c>
      <c r="B1149" s="22" t="s">
        <v>7789</v>
      </c>
      <c r="C1149" s="22" t="s">
        <v>7792</v>
      </c>
      <c r="D1149" s="22" t="s">
        <v>7710</v>
      </c>
      <c r="E1149" s="22" t="s">
        <v>6165</v>
      </c>
      <c r="F1149" s="24" t="s">
        <v>6166</v>
      </c>
      <c r="G1149" s="26" t="s">
        <v>9107</v>
      </c>
      <c r="H1149" s="22"/>
      <c r="I1149" s="22"/>
      <c r="J1149" s="22"/>
      <c r="K1149" s="24"/>
      <c r="L1149" s="24"/>
      <c r="M1149" s="25" t="s">
        <v>6168</v>
      </c>
      <c r="N1149" s="22"/>
      <c r="O1149" s="22" t="s">
        <v>6169</v>
      </c>
      <c r="P1149" s="22" t="str">
        <f>HYPERLINK("https://ceds.ed.gov/cedselementdetails.aspx?termid=22210")</f>
        <v>https://ceds.ed.gov/cedselementdetails.aspx?termid=22210</v>
      </c>
      <c r="Q1149" s="22">
        <v>59991</v>
      </c>
    </row>
    <row r="1150" spans="1:17" ht="43.2" x14ac:dyDescent="0.3">
      <c r="A1150" s="22" t="s">
        <v>7779</v>
      </c>
      <c r="B1150" s="22" t="s">
        <v>7789</v>
      </c>
      <c r="C1150" s="22" t="s">
        <v>7792</v>
      </c>
      <c r="D1150" s="22" t="s">
        <v>7710</v>
      </c>
      <c r="E1150" s="22" t="s">
        <v>5459</v>
      </c>
      <c r="F1150" s="24" t="s">
        <v>5460</v>
      </c>
      <c r="G1150" s="26" t="s">
        <v>9032</v>
      </c>
      <c r="H1150" s="22" t="s">
        <v>226</v>
      </c>
      <c r="I1150" s="22"/>
      <c r="J1150" s="22"/>
      <c r="K1150" s="24"/>
      <c r="L1150" s="24"/>
      <c r="M1150" s="25" t="s">
        <v>5461</v>
      </c>
      <c r="N1150" s="22" t="s">
        <v>5462</v>
      </c>
      <c r="O1150" s="22" t="s">
        <v>5463</v>
      </c>
      <c r="P1150" s="22" t="str">
        <f>HYPERLINK("https://ceds.ed.gov/cedselementdetails.aspx?termid=21187")</f>
        <v>https://ceds.ed.gov/cedselementdetails.aspx?termid=21187</v>
      </c>
      <c r="Q1150" s="22">
        <v>58900</v>
      </c>
    </row>
    <row r="1151" spans="1:17" ht="72" x14ac:dyDescent="0.3">
      <c r="A1151" s="22" t="s">
        <v>7779</v>
      </c>
      <c r="B1151" s="22" t="s">
        <v>7789</v>
      </c>
      <c r="C1151" s="22" t="s">
        <v>7792</v>
      </c>
      <c r="D1151" s="22" t="s">
        <v>7710</v>
      </c>
      <c r="E1151" s="22" t="s">
        <v>5449</v>
      </c>
      <c r="F1151" s="24" t="s">
        <v>5450</v>
      </c>
      <c r="G1151" s="26" t="s">
        <v>9030</v>
      </c>
      <c r="H1151" s="22" t="s">
        <v>214</v>
      </c>
      <c r="I1151" s="22"/>
      <c r="J1151" s="22"/>
      <c r="K1151" s="24"/>
      <c r="L1151" s="24"/>
      <c r="M1151" s="25" t="s">
        <v>5451</v>
      </c>
      <c r="N1151" s="22" t="s">
        <v>5452</v>
      </c>
      <c r="O1151" s="22" t="s">
        <v>5453</v>
      </c>
      <c r="P1151" s="22" t="str">
        <f>HYPERLINK("https://ceds.ed.gov/cedselementdetails.aspx?termid=21453")</f>
        <v>https://ceds.ed.gov/cedselementdetails.aspx?termid=21453</v>
      </c>
      <c r="Q1151" s="22">
        <v>58930</v>
      </c>
    </row>
    <row r="1152" spans="1:17" ht="28.8" x14ac:dyDescent="0.3">
      <c r="A1152" s="22" t="s">
        <v>7779</v>
      </c>
      <c r="B1152" s="22" t="s">
        <v>7789</v>
      </c>
      <c r="C1152" s="22" t="s">
        <v>7792</v>
      </c>
      <c r="D1152" s="22" t="s">
        <v>7710</v>
      </c>
      <c r="E1152" s="22" t="s">
        <v>5628</v>
      </c>
      <c r="F1152" s="24" t="s">
        <v>5629</v>
      </c>
      <c r="G1152" s="23" t="s">
        <v>32</v>
      </c>
      <c r="H1152" s="22" t="s">
        <v>214</v>
      </c>
      <c r="I1152" s="22"/>
      <c r="J1152" s="22" t="s">
        <v>317</v>
      </c>
      <c r="K1152" s="24"/>
      <c r="L1152" s="24"/>
      <c r="M1152" s="25" t="s">
        <v>5630</v>
      </c>
      <c r="N1152" s="22"/>
      <c r="O1152" s="22" t="s">
        <v>5631</v>
      </c>
      <c r="P1152" s="22" t="str">
        <f>HYPERLINK("https://ceds.ed.gov/cedselementdetails.aspx?termid=21460")</f>
        <v>https://ceds.ed.gov/cedselementdetails.aspx?termid=21460</v>
      </c>
      <c r="Q1152" s="22">
        <v>58932</v>
      </c>
    </row>
    <row r="1153" spans="1:17" ht="72" x14ac:dyDescent="0.3">
      <c r="A1153" s="22" t="s">
        <v>7779</v>
      </c>
      <c r="B1153" s="22" t="s">
        <v>7789</v>
      </c>
      <c r="C1153" s="22" t="s">
        <v>7792</v>
      </c>
      <c r="D1153" s="22" t="s">
        <v>7710</v>
      </c>
      <c r="E1153" s="22" t="s">
        <v>6178</v>
      </c>
      <c r="F1153" s="24" t="s">
        <v>8283</v>
      </c>
      <c r="G1153" s="26" t="s">
        <v>22</v>
      </c>
      <c r="H1153" s="22" t="s">
        <v>214</v>
      </c>
      <c r="I1153" s="22"/>
      <c r="J1153" s="22"/>
      <c r="K1153" s="24"/>
      <c r="L1153" s="24"/>
      <c r="M1153" s="25" t="s">
        <v>6179</v>
      </c>
      <c r="N1153" s="22"/>
      <c r="O1153" s="22" t="s">
        <v>6180</v>
      </c>
      <c r="P1153" s="22" t="str">
        <f>HYPERLINK("https://ceds.ed.gov/cedselementdetails.aspx?termid=21476")</f>
        <v>https://ceds.ed.gov/cedselementdetails.aspx?termid=21476</v>
      </c>
      <c r="Q1153" s="22">
        <v>58944</v>
      </c>
    </row>
    <row r="1154" spans="1:17" ht="100.8" x14ac:dyDescent="0.3">
      <c r="A1154" s="22" t="s">
        <v>7779</v>
      </c>
      <c r="B1154" s="22" t="s">
        <v>7789</v>
      </c>
      <c r="C1154" s="22" t="s">
        <v>7792</v>
      </c>
      <c r="D1154" s="22" t="s">
        <v>7710</v>
      </c>
      <c r="E1154" s="22" t="s">
        <v>7192</v>
      </c>
      <c r="F1154" s="24" t="s">
        <v>7193</v>
      </c>
      <c r="G1154" s="26" t="s">
        <v>9171</v>
      </c>
      <c r="H1154" s="22" t="s">
        <v>226</v>
      </c>
      <c r="I1154" s="22"/>
      <c r="J1154" s="22"/>
      <c r="K1154" s="24"/>
      <c r="L1154" s="24"/>
      <c r="M1154" s="25" t="s">
        <v>7194</v>
      </c>
      <c r="N1154" s="22"/>
      <c r="O1154" s="22" t="s">
        <v>7195</v>
      </c>
      <c r="P1154" s="22" t="str">
        <f>HYPERLINK("https://ceds.ed.gov/cedselementdetails.aspx?termid=21282")</f>
        <v>https://ceds.ed.gov/cedselementdetails.aspx?termid=21282</v>
      </c>
      <c r="Q1154" s="22">
        <v>58914</v>
      </c>
    </row>
    <row r="1155" spans="1:17" ht="72" x14ac:dyDescent="0.3">
      <c r="A1155" s="22" t="s">
        <v>7779</v>
      </c>
      <c r="B1155" s="22" t="s">
        <v>7789</v>
      </c>
      <c r="C1155" s="22" t="s">
        <v>7792</v>
      </c>
      <c r="D1155" s="22" t="s">
        <v>7710</v>
      </c>
      <c r="E1155" s="22" t="s">
        <v>7200</v>
      </c>
      <c r="F1155" s="24" t="s">
        <v>7201</v>
      </c>
      <c r="G1155" s="26" t="s">
        <v>8552</v>
      </c>
      <c r="H1155" s="22" t="s">
        <v>226</v>
      </c>
      <c r="I1155" s="22" t="s">
        <v>172</v>
      </c>
      <c r="J1155" s="22"/>
      <c r="K1155" s="24" t="s">
        <v>7946</v>
      </c>
      <c r="L1155" s="24"/>
      <c r="M1155" s="25" t="s">
        <v>7203</v>
      </c>
      <c r="N1155" s="22"/>
      <c r="O1155" s="22" t="s">
        <v>7204</v>
      </c>
      <c r="P1155" s="22" t="str">
        <f>HYPERLINK("https://ceds.ed.gov/cedselementdetails.aspx?termid=21284")</f>
        <v>https://ceds.ed.gov/cedselementdetails.aspx?termid=21284</v>
      </c>
      <c r="Q1155" s="22">
        <v>58915</v>
      </c>
    </row>
    <row r="1156" spans="1:17" ht="57.6" x14ac:dyDescent="0.3">
      <c r="A1156" s="22" t="s">
        <v>7779</v>
      </c>
      <c r="B1156" s="22" t="s">
        <v>7789</v>
      </c>
      <c r="C1156" s="22" t="s">
        <v>7792</v>
      </c>
      <c r="D1156" s="22" t="s">
        <v>7710</v>
      </c>
      <c r="E1156" s="22" t="s">
        <v>7225</v>
      </c>
      <c r="F1156" s="24" t="s">
        <v>7226</v>
      </c>
      <c r="G1156" s="26" t="s">
        <v>9173</v>
      </c>
      <c r="H1156" s="22" t="s">
        <v>226</v>
      </c>
      <c r="I1156" s="22"/>
      <c r="J1156" s="22"/>
      <c r="K1156" s="24"/>
      <c r="L1156" s="24"/>
      <c r="M1156" s="25" t="s">
        <v>7227</v>
      </c>
      <c r="N1156" s="22"/>
      <c r="O1156" s="22" t="s">
        <v>7228</v>
      </c>
      <c r="P1156" s="22" t="str">
        <f>HYPERLINK("https://ceds.ed.gov/cedselementdetails.aspx?termid=21289")</f>
        <v>https://ceds.ed.gov/cedselementdetails.aspx?termid=21289</v>
      </c>
      <c r="Q1156" s="22">
        <v>58916</v>
      </c>
    </row>
    <row r="1157" spans="1:17" ht="201.6" x14ac:dyDescent="0.3">
      <c r="A1157" s="22" t="s">
        <v>7779</v>
      </c>
      <c r="B1157" s="22" t="s">
        <v>7789</v>
      </c>
      <c r="C1157" s="22" t="s">
        <v>7792</v>
      </c>
      <c r="D1157" s="22" t="s">
        <v>7710</v>
      </c>
      <c r="E1157" s="22" t="s">
        <v>7253</v>
      </c>
      <c r="F1157" s="24" t="s">
        <v>7254</v>
      </c>
      <c r="G1157" s="26" t="s">
        <v>9175</v>
      </c>
      <c r="H1157" s="22" t="s">
        <v>214</v>
      </c>
      <c r="I1157" s="22"/>
      <c r="J1157" s="22"/>
      <c r="K1157" s="24"/>
      <c r="L1157" s="24"/>
      <c r="M1157" s="25" t="s">
        <v>7255</v>
      </c>
      <c r="N1157" s="22"/>
      <c r="O1157" s="22" t="s">
        <v>7256</v>
      </c>
      <c r="P1157" s="22" t="str">
        <f>HYPERLINK("https://ceds.ed.gov/cedselementdetails.aspx?termid=21437")</f>
        <v>https://ceds.ed.gov/cedselementdetails.aspx?termid=21437</v>
      </c>
      <c r="Q1157" s="22">
        <v>58922</v>
      </c>
    </row>
    <row r="1158" spans="1:17" ht="187.2" x14ac:dyDescent="0.3">
      <c r="A1158" s="22" t="s">
        <v>7779</v>
      </c>
      <c r="B1158" s="22" t="s">
        <v>7789</v>
      </c>
      <c r="C1158" s="22" t="s">
        <v>7792</v>
      </c>
      <c r="D1158" s="22" t="s">
        <v>7710</v>
      </c>
      <c r="E1158" s="22" t="s">
        <v>5679</v>
      </c>
      <c r="F1158" s="24" t="s">
        <v>5680</v>
      </c>
      <c r="G1158" s="26" t="s">
        <v>8485</v>
      </c>
      <c r="H1158" s="22" t="s">
        <v>109</v>
      </c>
      <c r="I1158" s="22" t="s">
        <v>172</v>
      </c>
      <c r="J1158" s="22"/>
      <c r="K1158" s="24" t="s">
        <v>7946</v>
      </c>
      <c r="L1158" s="24"/>
      <c r="M1158" s="25" t="s">
        <v>5681</v>
      </c>
      <c r="N1158" s="22"/>
      <c r="O1158" s="22" t="s">
        <v>5682</v>
      </c>
      <c r="P1158" s="22" t="str">
        <f>HYPERLINK("https://ceds.ed.gov/cedselementdetails.aspx?termid=21827")</f>
        <v>https://ceds.ed.gov/cedselementdetails.aspx?termid=21827</v>
      </c>
      <c r="Q1158" s="22">
        <v>63171</v>
      </c>
    </row>
    <row r="1159" spans="1:17" ht="172.8" x14ac:dyDescent="0.3">
      <c r="A1159" s="22" t="s">
        <v>7779</v>
      </c>
      <c r="B1159" s="22" t="s">
        <v>7789</v>
      </c>
      <c r="C1159" s="22" t="s">
        <v>7792</v>
      </c>
      <c r="D1159" s="22" t="s">
        <v>7710</v>
      </c>
      <c r="E1159" s="22" t="s">
        <v>5683</v>
      </c>
      <c r="F1159" s="24" t="s">
        <v>5684</v>
      </c>
      <c r="G1159" s="23" t="s">
        <v>32</v>
      </c>
      <c r="H1159" s="22" t="s">
        <v>109</v>
      </c>
      <c r="I1159" s="22" t="s">
        <v>172</v>
      </c>
      <c r="J1159" s="22" t="s">
        <v>132</v>
      </c>
      <c r="K1159" s="24" t="s">
        <v>7946</v>
      </c>
      <c r="L1159" s="24" t="s">
        <v>7945</v>
      </c>
      <c r="M1159" s="25" t="s">
        <v>5685</v>
      </c>
      <c r="N1159" s="22"/>
      <c r="O1159" s="22" t="s">
        <v>5686</v>
      </c>
      <c r="P1159" s="22" t="str">
        <f>HYPERLINK("https://ceds.ed.gov/cedselementdetails.aspx?termid=21825")</f>
        <v>https://ceds.ed.gov/cedselementdetails.aspx?termid=21825</v>
      </c>
      <c r="Q1159" s="22">
        <v>63172</v>
      </c>
    </row>
    <row r="1160" spans="1:17" ht="172.8" x14ac:dyDescent="0.3">
      <c r="A1160" s="22" t="s">
        <v>7779</v>
      </c>
      <c r="B1160" s="22" t="s">
        <v>7789</v>
      </c>
      <c r="C1160" s="22" t="s">
        <v>7792</v>
      </c>
      <c r="D1160" s="22" t="s">
        <v>7710</v>
      </c>
      <c r="E1160" s="22" t="s">
        <v>6174</v>
      </c>
      <c r="F1160" s="24" t="s">
        <v>6175</v>
      </c>
      <c r="G1160" s="23" t="s">
        <v>32</v>
      </c>
      <c r="H1160" s="22" t="s">
        <v>2608</v>
      </c>
      <c r="I1160" s="22" t="s">
        <v>172</v>
      </c>
      <c r="J1160" s="22" t="s">
        <v>132</v>
      </c>
      <c r="K1160" s="24" t="s">
        <v>8282</v>
      </c>
      <c r="L1160" s="24" t="s">
        <v>7945</v>
      </c>
      <c r="M1160" s="25" t="s">
        <v>6176</v>
      </c>
      <c r="N1160" s="22"/>
      <c r="O1160" s="22" t="s">
        <v>6177</v>
      </c>
      <c r="P1160" s="22" t="str">
        <f>HYPERLINK("https://ceds.ed.gov/cedselementdetails.aspx?termid=21618")</f>
        <v>https://ceds.ed.gov/cedselementdetails.aspx?termid=21618</v>
      </c>
      <c r="Q1160" s="22">
        <v>63173</v>
      </c>
    </row>
    <row r="1161" spans="1:17" ht="100.8" x14ac:dyDescent="0.3">
      <c r="A1161" s="22" t="s">
        <v>7779</v>
      </c>
      <c r="B1161" s="22" t="s">
        <v>7789</v>
      </c>
      <c r="C1161" s="22" t="s">
        <v>7792</v>
      </c>
      <c r="D1161" s="22" t="s">
        <v>7741</v>
      </c>
      <c r="E1161" s="22" t="s">
        <v>4081</v>
      </c>
      <c r="F1161" s="24" t="s">
        <v>8203</v>
      </c>
      <c r="G1161" s="26" t="s">
        <v>8451</v>
      </c>
      <c r="H1161" s="22"/>
      <c r="I1161" s="22" t="s">
        <v>172</v>
      </c>
      <c r="J1161" s="22"/>
      <c r="K1161" s="24" t="s">
        <v>8204</v>
      </c>
      <c r="L1161" s="24" t="s">
        <v>8205</v>
      </c>
      <c r="M1161" s="25" t="s">
        <v>4082</v>
      </c>
      <c r="N1161" s="22"/>
      <c r="O1161" s="22" t="s">
        <v>4083</v>
      </c>
      <c r="P1161" s="22" t="str">
        <f>HYPERLINK("https://ceds.ed.gov/cedselementdetails.aspx?termid=22323")</f>
        <v>https://ceds.ed.gov/cedselementdetails.aspx?termid=22323</v>
      </c>
      <c r="Q1161" s="22">
        <v>63926</v>
      </c>
    </row>
    <row r="1162" spans="1:17" ht="115.2" x14ac:dyDescent="0.3">
      <c r="A1162" s="22" t="s">
        <v>7779</v>
      </c>
      <c r="B1162" s="22" t="s">
        <v>7789</v>
      </c>
      <c r="C1162" s="22" t="s">
        <v>7788</v>
      </c>
      <c r="D1162" s="22" t="s">
        <v>7710</v>
      </c>
      <c r="E1162" s="22" t="s">
        <v>7139</v>
      </c>
      <c r="F1162" s="24" t="s">
        <v>7140</v>
      </c>
      <c r="G1162" s="26" t="s">
        <v>22</v>
      </c>
      <c r="H1162" s="22"/>
      <c r="I1162" s="22" t="s">
        <v>172</v>
      </c>
      <c r="J1162" s="22"/>
      <c r="K1162" s="24" t="s">
        <v>7946</v>
      </c>
      <c r="L1162" s="24" t="s">
        <v>8331</v>
      </c>
      <c r="M1162" s="25" t="s">
        <v>7141</v>
      </c>
      <c r="N1162" s="22"/>
      <c r="O1162" s="22" t="s">
        <v>7142</v>
      </c>
      <c r="P1162" s="22" t="str">
        <f>HYPERLINK("https://ceds.ed.gov/cedselementdetails.aspx?termid=22465")</f>
        <v>https://ceds.ed.gov/cedselementdetails.aspx?termid=22465</v>
      </c>
      <c r="Q1162" s="22">
        <v>61435</v>
      </c>
    </row>
    <row r="1163" spans="1:17" ht="115.2" x14ac:dyDescent="0.3">
      <c r="A1163" s="22" t="s">
        <v>7779</v>
      </c>
      <c r="B1163" s="22" t="s">
        <v>7789</v>
      </c>
      <c r="C1163" s="22" t="s">
        <v>7788</v>
      </c>
      <c r="D1163" s="22" t="s">
        <v>7710</v>
      </c>
      <c r="E1163" s="22" t="s">
        <v>7143</v>
      </c>
      <c r="F1163" s="24" t="s">
        <v>7144</v>
      </c>
      <c r="G1163" s="26" t="s">
        <v>8550</v>
      </c>
      <c r="H1163" s="22"/>
      <c r="I1163" s="22" t="s">
        <v>172</v>
      </c>
      <c r="J1163" s="22"/>
      <c r="K1163" s="24" t="s">
        <v>7946</v>
      </c>
      <c r="L1163" s="24" t="s">
        <v>8331</v>
      </c>
      <c r="M1163" s="25" t="s">
        <v>7145</v>
      </c>
      <c r="N1163" s="22"/>
      <c r="O1163" s="22" t="s">
        <v>7146</v>
      </c>
      <c r="P1163" s="22" t="str">
        <f>HYPERLINK("https://ceds.ed.gov/cedselementdetails.aspx?termid=22466")</f>
        <v>https://ceds.ed.gov/cedselementdetails.aspx?termid=22466</v>
      </c>
      <c r="Q1163" s="22">
        <v>61438</v>
      </c>
    </row>
    <row r="1164" spans="1:17" ht="259.2" x14ac:dyDescent="0.3">
      <c r="A1164" s="22" t="s">
        <v>7779</v>
      </c>
      <c r="B1164" s="22" t="s">
        <v>7789</v>
      </c>
      <c r="C1164" s="22" t="s">
        <v>7788</v>
      </c>
      <c r="D1164" s="22" t="s">
        <v>7710</v>
      </c>
      <c r="E1164" s="22" t="s">
        <v>7147</v>
      </c>
      <c r="F1164" s="24" t="s">
        <v>7148</v>
      </c>
      <c r="G1164" s="26" t="s">
        <v>9162</v>
      </c>
      <c r="H1164" s="22"/>
      <c r="I1164" s="22"/>
      <c r="J1164" s="22"/>
      <c r="K1164" s="24"/>
      <c r="L1164" s="24" t="s">
        <v>8331</v>
      </c>
      <c r="M1164" s="25" t="s">
        <v>7149</v>
      </c>
      <c r="N1164" s="22"/>
      <c r="O1164" s="22" t="s">
        <v>7150</v>
      </c>
      <c r="P1164" s="22" t="str">
        <f>HYPERLINK("https://ceds.ed.gov/cedselementdetails.aspx?termid=22467")</f>
        <v>https://ceds.ed.gov/cedselementdetails.aspx?termid=22467</v>
      </c>
      <c r="Q1164" s="22">
        <v>61443</v>
      </c>
    </row>
    <row r="1165" spans="1:17" ht="43.2" x14ac:dyDescent="0.3">
      <c r="A1165" s="22" t="s">
        <v>7779</v>
      </c>
      <c r="B1165" s="22" t="s">
        <v>7793</v>
      </c>
      <c r="C1165" s="22"/>
      <c r="D1165" s="22" t="s">
        <v>7710</v>
      </c>
      <c r="E1165" s="22" t="s">
        <v>5687</v>
      </c>
      <c r="F1165" s="24" t="s">
        <v>5688</v>
      </c>
      <c r="G1165" s="23" t="s">
        <v>32</v>
      </c>
      <c r="H1165" s="22"/>
      <c r="I1165" s="22"/>
      <c r="J1165" s="22" t="s">
        <v>50</v>
      </c>
      <c r="K1165" s="24"/>
      <c r="L1165" s="24"/>
      <c r="M1165" s="25" t="s">
        <v>5689</v>
      </c>
      <c r="N1165" s="22"/>
      <c r="O1165" s="22" t="s">
        <v>5690</v>
      </c>
      <c r="P1165" s="22" t="str">
        <f>HYPERLINK("https://ceds.ed.gov/cedselementdetails.aspx?termid=22644")</f>
        <v>https://ceds.ed.gov/cedselementdetails.aspx?termid=22644</v>
      </c>
      <c r="Q1165" s="22">
        <v>62978</v>
      </c>
    </row>
    <row r="1166" spans="1:17" ht="28.8" x14ac:dyDescent="0.3">
      <c r="A1166" s="22" t="s">
        <v>7779</v>
      </c>
      <c r="B1166" s="22" t="s">
        <v>7793</v>
      </c>
      <c r="C1166" s="22"/>
      <c r="D1166" s="22" t="s">
        <v>7710</v>
      </c>
      <c r="E1166" s="22" t="s">
        <v>5703</v>
      </c>
      <c r="F1166" s="24" t="s">
        <v>5704</v>
      </c>
      <c r="G1166" s="23" t="s">
        <v>32</v>
      </c>
      <c r="H1166" s="22"/>
      <c r="I1166" s="22"/>
      <c r="J1166" s="22" t="s">
        <v>2856</v>
      </c>
      <c r="K1166" s="24"/>
      <c r="L1166" s="24"/>
      <c r="M1166" s="25" t="s">
        <v>5705</v>
      </c>
      <c r="N1166" s="22"/>
      <c r="O1166" s="22" t="s">
        <v>5706</v>
      </c>
      <c r="P1166" s="22" t="str">
        <f>HYPERLINK("https://ceds.ed.gov/cedselementdetails.aspx?termid=22731")</f>
        <v>https://ceds.ed.gov/cedselementdetails.aspx?termid=22731</v>
      </c>
      <c r="Q1166" s="22">
        <v>62985</v>
      </c>
    </row>
    <row r="1167" spans="1:17" ht="172.8" x14ac:dyDescent="0.3">
      <c r="A1167" s="22" t="s">
        <v>7779</v>
      </c>
      <c r="B1167" s="22" t="s">
        <v>7793</v>
      </c>
      <c r="C1167" s="22" t="s">
        <v>7711</v>
      </c>
      <c r="D1167" s="22" t="s">
        <v>7710</v>
      </c>
      <c r="E1167" s="22" t="s">
        <v>6949</v>
      </c>
      <c r="F1167" s="24" t="s">
        <v>6950</v>
      </c>
      <c r="G1167" s="23" t="s">
        <v>32</v>
      </c>
      <c r="H1167" s="22"/>
      <c r="I1167" s="22" t="s">
        <v>172</v>
      </c>
      <c r="J1167" s="22" t="s">
        <v>132</v>
      </c>
      <c r="K1167" s="24" t="s">
        <v>7946</v>
      </c>
      <c r="L1167" s="24" t="s">
        <v>8043</v>
      </c>
      <c r="M1167" s="25" t="s">
        <v>6951</v>
      </c>
      <c r="N1167" s="22"/>
      <c r="O1167" s="22" t="s">
        <v>6952</v>
      </c>
      <c r="P1167" s="22" t="str">
        <f>HYPERLINK("https://ceds.ed.gov/cedselementdetails.aspx?termid=22462")</f>
        <v>https://ceds.ed.gov/cedselementdetails.aspx?termid=22462</v>
      </c>
      <c r="Q1167" s="22">
        <v>61430</v>
      </c>
    </row>
    <row r="1168" spans="1:17" ht="100.8" x14ac:dyDescent="0.3">
      <c r="A1168" s="22" t="s">
        <v>7779</v>
      </c>
      <c r="B1168" s="22" t="s">
        <v>7793</v>
      </c>
      <c r="C1168" s="22" t="s">
        <v>7711</v>
      </c>
      <c r="D1168" s="22" t="s">
        <v>7710</v>
      </c>
      <c r="E1168" s="22" t="s">
        <v>6946</v>
      </c>
      <c r="F1168" s="24" t="s">
        <v>8328</v>
      </c>
      <c r="G1168" s="26" t="s">
        <v>8534</v>
      </c>
      <c r="H1168" s="22"/>
      <c r="I1168" s="22" t="s">
        <v>172</v>
      </c>
      <c r="J1168" s="22"/>
      <c r="K1168" s="24" t="s">
        <v>8329</v>
      </c>
      <c r="L1168" s="24"/>
      <c r="M1168" s="25" t="s">
        <v>6947</v>
      </c>
      <c r="N1168" s="22"/>
      <c r="O1168" s="22" t="s">
        <v>6948</v>
      </c>
      <c r="P1168" s="22" t="str">
        <f>HYPERLINK("https://ceds.ed.gov/cedselementdetails.aspx?termid=22463")</f>
        <v>https://ceds.ed.gov/cedselementdetails.aspx?termid=22463</v>
      </c>
      <c r="Q1168" s="22">
        <v>61431</v>
      </c>
    </row>
    <row r="1169" spans="1:17" ht="43.2" x14ac:dyDescent="0.3">
      <c r="A1169" s="22" t="s">
        <v>7779</v>
      </c>
      <c r="B1169" s="22" t="s">
        <v>7793</v>
      </c>
      <c r="C1169" s="22" t="s">
        <v>7711</v>
      </c>
      <c r="D1169" s="22" t="s">
        <v>7710</v>
      </c>
      <c r="E1169" s="22" t="s">
        <v>5695</v>
      </c>
      <c r="F1169" s="24" t="s">
        <v>5696</v>
      </c>
      <c r="G1169" s="23" t="s">
        <v>32</v>
      </c>
      <c r="H1169" s="22" t="s">
        <v>207</v>
      </c>
      <c r="I1169" s="22" t="s">
        <v>172</v>
      </c>
      <c r="J1169" s="22" t="s">
        <v>157</v>
      </c>
      <c r="K1169" s="24" t="s">
        <v>7946</v>
      </c>
      <c r="L1169" s="24"/>
      <c r="M1169" s="25" t="s">
        <v>5697</v>
      </c>
      <c r="N1169" s="22"/>
      <c r="O1169" s="22" t="s">
        <v>5698</v>
      </c>
      <c r="P1169" s="22" t="str">
        <f>HYPERLINK("https://ceds.ed.gov/cedselementdetails.aspx?termid=21204")</f>
        <v>https://ceds.ed.gov/cedselementdetails.aspx?termid=21204</v>
      </c>
      <c r="Q1169" s="22">
        <v>58972</v>
      </c>
    </row>
    <row r="1170" spans="1:17" ht="409.6" x14ac:dyDescent="0.3">
      <c r="A1170" s="22" t="s">
        <v>7779</v>
      </c>
      <c r="B1170" s="22" t="s">
        <v>7793</v>
      </c>
      <c r="C1170" s="22" t="s">
        <v>7711</v>
      </c>
      <c r="D1170" s="22" t="s">
        <v>7710</v>
      </c>
      <c r="E1170" s="22" t="s">
        <v>5715</v>
      </c>
      <c r="F1170" s="24" t="s">
        <v>5716</v>
      </c>
      <c r="G1170" s="26" t="s">
        <v>8493</v>
      </c>
      <c r="H1170" s="22"/>
      <c r="I1170" s="22" t="s">
        <v>172</v>
      </c>
      <c r="J1170" s="22"/>
      <c r="K1170" s="24" t="s">
        <v>8265</v>
      </c>
      <c r="L1170" s="24" t="s">
        <v>5717</v>
      </c>
      <c r="M1170" s="25" t="s">
        <v>5718</v>
      </c>
      <c r="N1170" s="22"/>
      <c r="O1170" s="22" t="s">
        <v>5719</v>
      </c>
      <c r="P1170" s="22" t="str">
        <f>HYPERLINK("https://ceds.ed.gov/cedselementdetails.aspx?termid=22165")</f>
        <v>https://ceds.ed.gov/cedselementdetails.aspx?termid=22165</v>
      </c>
      <c r="Q1170" s="22">
        <v>59818</v>
      </c>
    </row>
    <row r="1171" spans="1:17" ht="86.4" x14ac:dyDescent="0.3">
      <c r="A1171" s="22" t="s">
        <v>7779</v>
      </c>
      <c r="B1171" s="22" t="s">
        <v>7793</v>
      </c>
      <c r="C1171" s="22" t="s">
        <v>7711</v>
      </c>
      <c r="D1171" s="22" t="s">
        <v>7710</v>
      </c>
      <c r="E1171" s="22" t="s">
        <v>5707</v>
      </c>
      <c r="F1171" s="24" t="s">
        <v>5708</v>
      </c>
      <c r="G1171" s="26" t="s">
        <v>8491</v>
      </c>
      <c r="H1171" s="22"/>
      <c r="I1171" s="22" t="s">
        <v>172</v>
      </c>
      <c r="J1171" s="22"/>
      <c r="K1171" s="24" t="s">
        <v>8263</v>
      </c>
      <c r="L1171" s="24" t="s">
        <v>8264</v>
      </c>
      <c r="M1171" s="25" t="s">
        <v>5709</v>
      </c>
      <c r="N1171" s="22"/>
      <c r="O1171" s="22" t="s">
        <v>5710</v>
      </c>
      <c r="P1171" s="22" t="str">
        <f>HYPERLINK("https://ceds.ed.gov/cedselementdetails.aspx?termid=22886")</f>
        <v>https://ceds.ed.gov/cedselementdetails.aspx?termid=22886</v>
      </c>
      <c r="Q1171" s="22">
        <v>63155</v>
      </c>
    </row>
    <row r="1172" spans="1:17" ht="72" x14ac:dyDescent="0.3">
      <c r="A1172" s="22" t="s">
        <v>7779</v>
      </c>
      <c r="B1172" s="22" t="s">
        <v>7793</v>
      </c>
      <c r="C1172" s="22" t="s">
        <v>7712</v>
      </c>
      <c r="D1172" s="22" t="s">
        <v>7710</v>
      </c>
      <c r="E1172" s="22" t="s">
        <v>199</v>
      </c>
      <c r="F1172" s="24" t="s">
        <v>200</v>
      </c>
      <c r="G1172" s="26" t="s">
        <v>8394</v>
      </c>
      <c r="H1172" s="24" t="s">
        <v>64</v>
      </c>
      <c r="I1172" s="22" t="s">
        <v>172</v>
      </c>
      <c r="J1172" s="22" t="s">
        <v>85</v>
      </c>
      <c r="K1172" s="24" t="s">
        <v>7946</v>
      </c>
      <c r="L1172" s="24"/>
      <c r="M1172" s="25" t="s">
        <v>201</v>
      </c>
      <c r="N1172" s="22"/>
      <c r="O1172" s="22" t="s">
        <v>202</v>
      </c>
      <c r="P1172" s="22" t="str">
        <f>HYPERLINK("https://ceds.ed.gov/cedselementdetails.aspx?termid=21644")</f>
        <v>https://ceds.ed.gov/cedselementdetails.aspx?termid=21644</v>
      </c>
      <c r="Q1172" s="22">
        <v>58987</v>
      </c>
    </row>
    <row r="1173" spans="1:17" ht="187.2" x14ac:dyDescent="0.3">
      <c r="A1173" s="22" t="s">
        <v>7779</v>
      </c>
      <c r="B1173" s="22" t="s">
        <v>7793</v>
      </c>
      <c r="C1173" s="22" t="s">
        <v>7712</v>
      </c>
      <c r="D1173" s="22" t="s">
        <v>7710</v>
      </c>
      <c r="E1173" s="22" t="s">
        <v>189</v>
      </c>
      <c r="F1173" s="24" t="s">
        <v>190</v>
      </c>
      <c r="G1173" s="23" t="s">
        <v>32</v>
      </c>
      <c r="H1173" s="24" t="s">
        <v>175</v>
      </c>
      <c r="I1173" s="22" t="s">
        <v>172</v>
      </c>
      <c r="J1173" s="22" t="s">
        <v>191</v>
      </c>
      <c r="K1173" s="24" t="s">
        <v>7946</v>
      </c>
      <c r="L1173" s="24"/>
      <c r="M1173" s="25" t="s">
        <v>192</v>
      </c>
      <c r="N1173" s="22"/>
      <c r="O1173" s="22" t="s">
        <v>193</v>
      </c>
      <c r="P1173" s="22" t="str">
        <f>HYPERLINK("https://ceds.ed.gov/cedselementdetails.aspx?termid=21269")</f>
        <v>https://ceds.ed.gov/cedselementdetails.aspx?termid=21269</v>
      </c>
      <c r="Q1173" s="22">
        <v>58975</v>
      </c>
    </row>
    <row r="1174" spans="1:17" ht="187.2" x14ac:dyDescent="0.3">
      <c r="A1174" s="22" t="s">
        <v>7779</v>
      </c>
      <c r="B1174" s="22" t="s">
        <v>7793</v>
      </c>
      <c r="C1174" s="22" t="s">
        <v>7712</v>
      </c>
      <c r="D1174" s="22" t="s">
        <v>7710</v>
      </c>
      <c r="E1174" s="22" t="s">
        <v>170</v>
      </c>
      <c r="F1174" s="24" t="s">
        <v>171</v>
      </c>
      <c r="G1174" s="23" t="s">
        <v>32</v>
      </c>
      <c r="H1174" s="24" t="s">
        <v>175</v>
      </c>
      <c r="I1174" s="22" t="s">
        <v>172</v>
      </c>
      <c r="J1174" s="22" t="s">
        <v>157</v>
      </c>
      <c r="K1174" s="24" t="s">
        <v>7946</v>
      </c>
      <c r="L1174" s="24"/>
      <c r="M1174" s="25" t="s">
        <v>173</v>
      </c>
      <c r="N1174" s="22"/>
      <c r="O1174" s="22" t="s">
        <v>174</v>
      </c>
      <c r="P1174" s="22" t="str">
        <f>HYPERLINK("https://ceds.ed.gov/cedselementdetails.aspx?termid=21019")</f>
        <v>https://ceds.ed.gov/cedselementdetails.aspx?termid=21019</v>
      </c>
      <c r="Q1174" s="22">
        <v>60147</v>
      </c>
    </row>
    <row r="1175" spans="1:17" ht="187.2" x14ac:dyDescent="0.3">
      <c r="A1175" s="22" t="s">
        <v>7779</v>
      </c>
      <c r="B1175" s="22" t="s">
        <v>7793</v>
      </c>
      <c r="C1175" s="22" t="s">
        <v>7712</v>
      </c>
      <c r="D1175" s="22" t="s">
        <v>7710</v>
      </c>
      <c r="E1175" s="22" t="s">
        <v>176</v>
      </c>
      <c r="F1175" s="24" t="s">
        <v>177</v>
      </c>
      <c r="G1175" s="23" t="s">
        <v>32</v>
      </c>
      <c r="H1175" s="24" t="s">
        <v>175</v>
      </c>
      <c r="I1175" s="22" t="s">
        <v>172</v>
      </c>
      <c r="J1175" s="22" t="s">
        <v>85</v>
      </c>
      <c r="K1175" s="24" t="s">
        <v>7946</v>
      </c>
      <c r="L1175" s="24"/>
      <c r="M1175" s="25" t="s">
        <v>178</v>
      </c>
      <c r="N1175" s="22"/>
      <c r="O1175" s="22" t="s">
        <v>179</v>
      </c>
      <c r="P1175" s="22" t="str">
        <f>HYPERLINK("https://ceds.ed.gov/cedselementdetails.aspx?termid=21040")</f>
        <v>https://ceds.ed.gov/cedselementdetails.aspx?termid=21040</v>
      </c>
      <c r="Q1175" s="22">
        <v>58970</v>
      </c>
    </row>
    <row r="1176" spans="1:17" ht="409.6" x14ac:dyDescent="0.3">
      <c r="A1176" s="22" t="s">
        <v>7779</v>
      </c>
      <c r="B1176" s="22" t="s">
        <v>7793</v>
      </c>
      <c r="C1176" s="22" t="s">
        <v>7712</v>
      </c>
      <c r="D1176" s="22" t="s">
        <v>7710</v>
      </c>
      <c r="E1176" s="22" t="s">
        <v>6941</v>
      </c>
      <c r="F1176" s="24" t="s">
        <v>6942</v>
      </c>
      <c r="G1176" s="26" t="s">
        <v>8533</v>
      </c>
      <c r="H1176" s="24" t="s">
        <v>6945</v>
      </c>
      <c r="I1176" s="22" t="s">
        <v>172</v>
      </c>
      <c r="J1176" s="22"/>
      <c r="K1176" s="24" t="s">
        <v>8327</v>
      </c>
      <c r="L1176" s="24"/>
      <c r="M1176" s="25" t="s">
        <v>6943</v>
      </c>
      <c r="N1176" s="22"/>
      <c r="O1176" s="22" t="s">
        <v>6944</v>
      </c>
      <c r="P1176" s="22" t="str">
        <f>HYPERLINK("https://ceds.ed.gov/cedselementdetails.aspx?termid=21267")</f>
        <v>https://ceds.ed.gov/cedselementdetails.aspx?termid=21267</v>
      </c>
      <c r="Q1176" s="22">
        <v>58974</v>
      </c>
    </row>
    <row r="1177" spans="1:17" ht="187.2" x14ac:dyDescent="0.3">
      <c r="A1177" s="22" t="s">
        <v>7779</v>
      </c>
      <c r="B1177" s="22" t="s">
        <v>7793</v>
      </c>
      <c r="C1177" s="22" t="s">
        <v>7712</v>
      </c>
      <c r="D1177" s="22" t="s">
        <v>7710</v>
      </c>
      <c r="E1177" s="22" t="s">
        <v>184</v>
      </c>
      <c r="F1177" s="24" t="s">
        <v>185</v>
      </c>
      <c r="G1177" s="23" t="s">
        <v>32</v>
      </c>
      <c r="H1177" s="24" t="s">
        <v>175</v>
      </c>
      <c r="I1177" s="22" t="s">
        <v>172</v>
      </c>
      <c r="J1177" s="22" t="s">
        <v>186</v>
      </c>
      <c r="K1177" s="24" t="s">
        <v>7946</v>
      </c>
      <c r="L1177" s="24"/>
      <c r="M1177" s="25" t="s">
        <v>187</v>
      </c>
      <c r="N1177" s="22"/>
      <c r="O1177" s="22" t="s">
        <v>188</v>
      </c>
      <c r="P1177" s="22" t="str">
        <f>HYPERLINK("https://ceds.ed.gov/cedselementdetails.aspx?termid=21214")</f>
        <v>https://ceds.ed.gov/cedselementdetails.aspx?termid=21214</v>
      </c>
      <c r="Q1177" s="22">
        <v>58973</v>
      </c>
    </row>
    <row r="1178" spans="1:17" ht="409.6" x14ac:dyDescent="0.3">
      <c r="A1178" s="22" t="s">
        <v>7779</v>
      </c>
      <c r="B1178" s="22" t="s">
        <v>7793</v>
      </c>
      <c r="C1178" s="22" t="s">
        <v>7712</v>
      </c>
      <c r="D1178" s="22" t="s">
        <v>7710</v>
      </c>
      <c r="E1178" s="22" t="s">
        <v>6953</v>
      </c>
      <c r="F1178" s="24" t="s">
        <v>6954</v>
      </c>
      <c r="G1178" s="26" t="s">
        <v>8536</v>
      </c>
      <c r="H1178" s="24" t="s">
        <v>6957</v>
      </c>
      <c r="I1178" s="22" t="s">
        <v>172</v>
      </c>
      <c r="J1178" s="22"/>
      <c r="K1178" s="24" t="s">
        <v>8330</v>
      </c>
      <c r="L1178" s="24"/>
      <c r="M1178" s="25" t="s">
        <v>6955</v>
      </c>
      <c r="N1178" s="22"/>
      <c r="O1178" s="22" t="s">
        <v>6956</v>
      </c>
      <c r="P1178" s="22" t="str">
        <f>HYPERLINK("https://ceds.ed.gov/cedselementdetails.aspx?termid=21414")</f>
        <v>https://ceds.ed.gov/cedselementdetails.aspx?termid=21414</v>
      </c>
      <c r="Q1178" s="22">
        <v>60142</v>
      </c>
    </row>
    <row r="1179" spans="1:17" ht="43.2" x14ac:dyDescent="0.3">
      <c r="A1179" s="22" t="s">
        <v>7779</v>
      </c>
      <c r="B1179" s="22" t="s">
        <v>7793</v>
      </c>
      <c r="C1179" s="22" t="s">
        <v>7712</v>
      </c>
      <c r="D1179" s="22" t="s">
        <v>7710</v>
      </c>
      <c r="E1179" s="22" t="s">
        <v>1798</v>
      </c>
      <c r="F1179" s="24" t="s">
        <v>1799</v>
      </c>
      <c r="G1179" s="23" t="s">
        <v>32</v>
      </c>
      <c r="H1179" s="22"/>
      <c r="I1179" s="22" t="s">
        <v>172</v>
      </c>
      <c r="J1179" s="22" t="s">
        <v>157</v>
      </c>
      <c r="K1179" s="24" t="s">
        <v>7946</v>
      </c>
      <c r="L1179" s="24"/>
      <c r="M1179" s="25" t="s">
        <v>1800</v>
      </c>
      <c r="N1179" s="22"/>
      <c r="O1179" s="22" t="s">
        <v>1801</v>
      </c>
      <c r="P1179" s="22" t="str">
        <f>HYPERLINK("https://ceds.ed.gov/cedselementdetails.aspx?termid=21595")</f>
        <v>https://ceds.ed.gov/cedselementdetails.aspx?termid=21595</v>
      </c>
      <c r="Q1179" s="22">
        <v>62178</v>
      </c>
    </row>
    <row r="1180" spans="1:17" ht="57.6" x14ac:dyDescent="0.3">
      <c r="A1180" s="22" t="s">
        <v>7779</v>
      </c>
      <c r="B1180" s="22" t="s">
        <v>7793</v>
      </c>
      <c r="C1180" s="22" t="s">
        <v>7712</v>
      </c>
      <c r="D1180" s="22" t="s">
        <v>7710</v>
      </c>
      <c r="E1180" s="22" t="s">
        <v>4982</v>
      </c>
      <c r="F1180" s="24" t="s">
        <v>4983</v>
      </c>
      <c r="G1180" s="23" t="s">
        <v>32</v>
      </c>
      <c r="H1180" s="22"/>
      <c r="I1180" s="22"/>
      <c r="J1180" s="22" t="s">
        <v>1165</v>
      </c>
      <c r="K1180" s="24"/>
      <c r="L1180" s="24"/>
      <c r="M1180" s="25" t="s">
        <v>4984</v>
      </c>
      <c r="N1180" s="22"/>
      <c r="O1180" s="22" t="s">
        <v>4982</v>
      </c>
      <c r="P1180" s="22" t="str">
        <f>HYPERLINK("https://ceds.ed.gov/cedselementdetails.aspx?termid=21599")</f>
        <v>https://ceds.ed.gov/cedselementdetails.aspx?termid=21599</v>
      </c>
      <c r="Q1180" s="22">
        <v>62260</v>
      </c>
    </row>
    <row r="1181" spans="1:17" ht="57.6" x14ac:dyDescent="0.3">
      <c r="A1181" s="22" t="s">
        <v>7779</v>
      </c>
      <c r="B1181" s="22" t="s">
        <v>7793</v>
      </c>
      <c r="C1181" s="22" t="s">
        <v>7712</v>
      </c>
      <c r="D1181" s="22" t="s">
        <v>7710</v>
      </c>
      <c r="E1181" s="22" t="s">
        <v>5372</v>
      </c>
      <c r="F1181" s="24" t="s">
        <v>5373</v>
      </c>
      <c r="G1181" s="23" t="s">
        <v>32</v>
      </c>
      <c r="H1181" s="22"/>
      <c r="I1181" s="22"/>
      <c r="J1181" s="22" t="s">
        <v>1165</v>
      </c>
      <c r="K1181" s="24"/>
      <c r="L1181" s="24"/>
      <c r="M1181" s="25" t="s">
        <v>5374</v>
      </c>
      <c r="N1181" s="22"/>
      <c r="O1181" s="22" t="s">
        <v>5372</v>
      </c>
      <c r="P1181" s="22" t="str">
        <f>HYPERLINK("https://ceds.ed.gov/cedselementdetails.aspx?termid=21600")</f>
        <v>https://ceds.ed.gov/cedselementdetails.aspx?termid=21600</v>
      </c>
      <c r="Q1181" s="22">
        <v>62283</v>
      </c>
    </row>
    <row r="1182" spans="1:17" ht="158.4" x14ac:dyDescent="0.3">
      <c r="A1182" s="22" t="s">
        <v>7779</v>
      </c>
      <c r="B1182" s="22" t="s">
        <v>7793</v>
      </c>
      <c r="C1182" s="22" t="s">
        <v>7712</v>
      </c>
      <c r="D1182" s="22" t="s">
        <v>7710</v>
      </c>
      <c r="E1182" s="22" t="s">
        <v>2536</v>
      </c>
      <c r="F1182" s="24" t="s">
        <v>2537</v>
      </c>
      <c r="G1182" s="23" t="s">
        <v>32</v>
      </c>
      <c r="H1182" s="22"/>
      <c r="I1182" s="22"/>
      <c r="J1182" s="22" t="s">
        <v>2538</v>
      </c>
      <c r="K1182" s="24"/>
      <c r="L1182" s="24"/>
      <c r="M1182" s="25" t="s">
        <v>2539</v>
      </c>
      <c r="N1182" s="22"/>
      <c r="O1182" s="22" t="s">
        <v>2540</v>
      </c>
      <c r="P1182" s="22" t="str">
        <f>HYPERLINK("https://ceds.ed.gov/cedselementdetails.aspx?termid=22176")</f>
        <v>https://ceds.ed.gov/cedselementdetails.aspx?termid=22176</v>
      </c>
      <c r="Q1182" s="22">
        <v>63381</v>
      </c>
    </row>
    <row r="1183" spans="1:17" ht="57.6" x14ac:dyDescent="0.3">
      <c r="A1183" s="22" t="s">
        <v>7779</v>
      </c>
      <c r="B1183" s="22" t="s">
        <v>7793</v>
      </c>
      <c r="C1183" s="22" t="s">
        <v>7712</v>
      </c>
      <c r="D1183" s="22" t="s">
        <v>7710</v>
      </c>
      <c r="E1183" s="22" t="s">
        <v>3228</v>
      </c>
      <c r="F1183" s="24" t="s">
        <v>3229</v>
      </c>
      <c r="G1183" s="26" t="s">
        <v>3039</v>
      </c>
      <c r="H1183" s="22"/>
      <c r="I1183" s="22" t="s">
        <v>172</v>
      </c>
      <c r="J1183" s="22"/>
      <c r="K1183" s="24" t="s">
        <v>7946</v>
      </c>
      <c r="L1183" s="24"/>
      <c r="M1183" s="25" t="s">
        <v>3230</v>
      </c>
      <c r="N1183" s="22"/>
      <c r="O1183" s="22" t="s">
        <v>3231</v>
      </c>
      <c r="P1183" s="22" t="str">
        <f>HYPERLINK("https://ceds.ed.gov/cedselementdetails.aspx?termid=22905")</f>
        <v>https://ceds.ed.gov/cedselementdetails.aspx?termid=22905</v>
      </c>
      <c r="Q1183" s="22">
        <v>63382</v>
      </c>
    </row>
    <row r="1184" spans="1:17" ht="72" x14ac:dyDescent="0.3">
      <c r="A1184" s="22" t="s">
        <v>7779</v>
      </c>
      <c r="B1184" s="22" t="s">
        <v>7793</v>
      </c>
      <c r="C1184" s="22" t="s">
        <v>7714</v>
      </c>
      <c r="D1184" s="22" t="s">
        <v>7710</v>
      </c>
      <c r="E1184" s="22" t="s">
        <v>5873</v>
      </c>
      <c r="F1184" s="24" t="s">
        <v>5874</v>
      </c>
      <c r="G1184" s="23" t="s">
        <v>32</v>
      </c>
      <c r="H1184" s="24" t="s">
        <v>64</v>
      </c>
      <c r="I1184" s="22" t="s">
        <v>172</v>
      </c>
      <c r="J1184" s="22" t="s">
        <v>1339</v>
      </c>
      <c r="K1184" s="24" t="s">
        <v>7946</v>
      </c>
      <c r="L1184" s="24"/>
      <c r="M1184" s="25" t="s">
        <v>5875</v>
      </c>
      <c r="N1184" s="22"/>
      <c r="O1184" s="22" t="s">
        <v>5876</v>
      </c>
      <c r="P1184" s="22" t="str">
        <f>HYPERLINK("https://ceds.ed.gov/cedselementdetails.aspx?termid=21213")</f>
        <v>https://ceds.ed.gov/cedselementdetails.aspx?termid=21213</v>
      </c>
      <c r="Q1184" s="22">
        <v>61313</v>
      </c>
    </row>
    <row r="1185" spans="1:17" ht="86.4" x14ac:dyDescent="0.3">
      <c r="A1185" s="22" t="s">
        <v>7779</v>
      </c>
      <c r="B1185" s="22" t="s">
        <v>7793</v>
      </c>
      <c r="C1185" s="22" t="s">
        <v>7714</v>
      </c>
      <c r="D1185" s="22" t="s">
        <v>7710</v>
      </c>
      <c r="E1185" s="22" t="s">
        <v>5955</v>
      </c>
      <c r="F1185" s="24" t="s">
        <v>5956</v>
      </c>
      <c r="G1185" s="26" t="s">
        <v>22</v>
      </c>
      <c r="H1185" s="22"/>
      <c r="I1185" s="22"/>
      <c r="J1185" s="22"/>
      <c r="K1185" s="24"/>
      <c r="L1185" s="24"/>
      <c r="M1185" s="25" t="s">
        <v>5957</v>
      </c>
      <c r="N1185" s="22"/>
      <c r="O1185" s="22" t="s">
        <v>5958</v>
      </c>
      <c r="P1185" s="22" t="str">
        <f>HYPERLINK("https://ceds.ed.gov/cedselementdetails.aspx?termid=22397")</f>
        <v>https://ceds.ed.gov/cedselementdetails.aspx?termid=22397</v>
      </c>
      <c r="Q1185" s="22">
        <v>61324</v>
      </c>
    </row>
    <row r="1186" spans="1:17" ht="28.8" x14ac:dyDescent="0.3">
      <c r="A1186" s="22" t="s">
        <v>7779</v>
      </c>
      <c r="B1186" s="22" t="s">
        <v>7793</v>
      </c>
      <c r="C1186" s="22" t="s">
        <v>7714</v>
      </c>
      <c r="D1186" s="22" t="s">
        <v>7710</v>
      </c>
      <c r="E1186" s="22" t="s">
        <v>7370</v>
      </c>
      <c r="F1186" s="24" t="s">
        <v>7371</v>
      </c>
      <c r="G1186" s="23" t="s">
        <v>32</v>
      </c>
      <c r="H1186" s="22" t="s">
        <v>226</v>
      </c>
      <c r="I1186" s="22" t="s">
        <v>172</v>
      </c>
      <c r="J1186" s="22" t="s">
        <v>113</v>
      </c>
      <c r="K1186" s="24" t="s">
        <v>7946</v>
      </c>
      <c r="L1186" s="24"/>
      <c r="M1186" s="25" t="s">
        <v>7372</v>
      </c>
      <c r="N1186" s="22"/>
      <c r="O1186" s="22" t="s">
        <v>7373</v>
      </c>
      <c r="P1186" s="22" t="str">
        <f>HYPERLINK("https://ceds.ed.gov/cedselementdetails.aspx?termid=21300")</f>
        <v>https://ceds.ed.gov/cedselementdetails.aspx?termid=21300</v>
      </c>
      <c r="Q1186" s="22">
        <v>61451</v>
      </c>
    </row>
    <row r="1187" spans="1:17" ht="158.4" x14ac:dyDescent="0.3">
      <c r="A1187" s="22" t="s">
        <v>7779</v>
      </c>
      <c r="B1187" s="22" t="s">
        <v>7793</v>
      </c>
      <c r="C1187" s="22" t="s">
        <v>7715</v>
      </c>
      <c r="D1187" s="22" t="s">
        <v>7710</v>
      </c>
      <c r="E1187" s="22" t="s">
        <v>4050</v>
      </c>
      <c r="F1187" s="24" t="s">
        <v>4051</v>
      </c>
      <c r="G1187" s="23" t="s">
        <v>32</v>
      </c>
      <c r="H1187" s="24" t="s">
        <v>4054</v>
      </c>
      <c r="I1187" s="22"/>
      <c r="J1187" s="22" t="s">
        <v>7536</v>
      </c>
      <c r="K1187" s="24"/>
      <c r="L1187" s="24" t="s">
        <v>8200</v>
      </c>
      <c r="M1187" s="25" t="s">
        <v>4052</v>
      </c>
      <c r="N1187" s="22"/>
      <c r="O1187" s="22" t="s">
        <v>4053</v>
      </c>
      <c r="P1187" s="22" t="str">
        <f>HYPERLINK("https://ceds.ed.gov/cedselementdetails.aspx?termid=21115")</f>
        <v>https://ceds.ed.gov/cedselementdetails.aspx?termid=21115</v>
      </c>
      <c r="Q1187" s="22">
        <v>61046</v>
      </c>
    </row>
    <row r="1188" spans="1:17" ht="158.4" x14ac:dyDescent="0.3">
      <c r="A1188" s="22" t="s">
        <v>7779</v>
      </c>
      <c r="B1188" s="22" t="s">
        <v>7793</v>
      </c>
      <c r="C1188" s="22" t="s">
        <v>7715</v>
      </c>
      <c r="D1188" s="22" t="s">
        <v>7710</v>
      </c>
      <c r="E1188" s="22" t="s">
        <v>5415</v>
      </c>
      <c r="F1188" s="24" t="s">
        <v>5416</v>
      </c>
      <c r="G1188" s="23" t="s">
        <v>32</v>
      </c>
      <c r="H1188" s="24" t="s">
        <v>4054</v>
      </c>
      <c r="I1188" s="22"/>
      <c r="J1188" s="22" t="s">
        <v>7536</v>
      </c>
      <c r="K1188" s="24"/>
      <c r="L1188" s="24" t="s">
        <v>8207</v>
      </c>
      <c r="M1188" s="25" t="s">
        <v>5417</v>
      </c>
      <c r="N1188" s="22"/>
      <c r="O1188" s="22" t="s">
        <v>5418</v>
      </c>
      <c r="P1188" s="22" t="str">
        <f>HYPERLINK("https://ceds.ed.gov/cedselementdetails.aspx?termid=21184")</f>
        <v>https://ceds.ed.gov/cedselementdetails.aspx?termid=21184</v>
      </c>
      <c r="Q1188" s="22">
        <v>61047</v>
      </c>
    </row>
    <row r="1189" spans="1:17" ht="158.4" x14ac:dyDescent="0.3">
      <c r="A1189" s="22" t="s">
        <v>7779</v>
      </c>
      <c r="B1189" s="22" t="s">
        <v>7793</v>
      </c>
      <c r="C1189" s="22" t="s">
        <v>7715</v>
      </c>
      <c r="D1189" s="22" t="s">
        <v>7710</v>
      </c>
      <c r="E1189" s="22" t="s">
        <v>4973</v>
      </c>
      <c r="F1189" s="24" t="s">
        <v>4974</v>
      </c>
      <c r="G1189" s="23" t="s">
        <v>32</v>
      </c>
      <c r="H1189" s="24" t="s">
        <v>4054</v>
      </c>
      <c r="I1189" s="22"/>
      <c r="J1189" s="22" t="s">
        <v>7536</v>
      </c>
      <c r="K1189" s="24"/>
      <c r="L1189" s="24" t="s">
        <v>8207</v>
      </c>
      <c r="M1189" s="25" t="s">
        <v>4975</v>
      </c>
      <c r="N1189" s="22" t="s">
        <v>4976</v>
      </c>
      <c r="O1189" s="22" t="s">
        <v>4977</v>
      </c>
      <c r="P1189" s="22" t="str">
        <f>HYPERLINK("https://ceds.ed.gov/cedselementdetails.aspx?termid=21172")</f>
        <v>https://ceds.ed.gov/cedselementdetails.aspx?termid=21172</v>
      </c>
      <c r="Q1189" s="22">
        <v>61048</v>
      </c>
    </row>
    <row r="1190" spans="1:17" ht="129.6" x14ac:dyDescent="0.3">
      <c r="A1190" s="22" t="s">
        <v>7779</v>
      </c>
      <c r="B1190" s="22" t="s">
        <v>7793</v>
      </c>
      <c r="C1190" s="22" t="s">
        <v>7715</v>
      </c>
      <c r="D1190" s="22" t="s">
        <v>7710</v>
      </c>
      <c r="E1190" s="22" t="s">
        <v>4114</v>
      </c>
      <c r="F1190" s="24" t="s">
        <v>4115</v>
      </c>
      <c r="G1190" s="23" t="s">
        <v>32</v>
      </c>
      <c r="H1190" s="24" t="s">
        <v>4119</v>
      </c>
      <c r="I1190" s="22"/>
      <c r="J1190" s="22" t="s">
        <v>2743</v>
      </c>
      <c r="K1190" s="24"/>
      <c r="L1190" s="24" t="s">
        <v>8207</v>
      </c>
      <c r="M1190" s="25" t="s">
        <v>4117</v>
      </c>
      <c r="N1190" s="22"/>
      <c r="O1190" s="22" t="s">
        <v>4118</v>
      </c>
      <c r="P1190" s="22" t="str">
        <f>HYPERLINK("https://ceds.ed.gov/cedselementdetails.aspx?termid=21121")</f>
        <v>https://ceds.ed.gov/cedselementdetails.aspx?termid=21121</v>
      </c>
      <c r="Q1190" s="22">
        <v>61049</v>
      </c>
    </row>
    <row r="1191" spans="1:17" ht="86.4" x14ac:dyDescent="0.3">
      <c r="A1191" s="22" t="s">
        <v>7779</v>
      </c>
      <c r="B1191" s="22" t="s">
        <v>7793</v>
      </c>
      <c r="C1191" s="22" t="s">
        <v>7715</v>
      </c>
      <c r="D1191" s="22" t="s">
        <v>7710</v>
      </c>
      <c r="E1191" s="22" t="s">
        <v>5860</v>
      </c>
      <c r="F1191" s="24" t="s">
        <v>5861</v>
      </c>
      <c r="G1191" s="23" t="s">
        <v>32</v>
      </c>
      <c r="H1191" s="24" t="s">
        <v>5865</v>
      </c>
      <c r="I1191" s="22"/>
      <c r="J1191" s="22" t="s">
        <v>85</v>
      </c>
      <c r="K1191" s="24"/>
      <c r="L1191" s="24"/>
      <c r="M1191" s="25" t="s">
        <v>5862</v>
      </c>
      <c r="N1191" s="22" t="s">
        <v>5863</v>
      </c>
      <c r="O1191" s="22" t="s">
        <v>5864</v>
      </c>
      <c r="P1191" s="22" t="str">
        <f>HYPERLINK("https://ceds.ed.gov/cedselementdetails.aspx?termid=21212")</f>
        <v>https://ceds.ed.gov/cedselementdetails.aspx?termid=21212</v>
      </c>
      <c r="Q1191" s="22">
        <v>61050</v>
      </c>
    </row>
    <row r="1192" spans="1:17" ht="100.8" x14ac:dyDescent="0.3">
      <c r="A1192" s="22" t="s">
        <v>7779</v>
      </c>
      <c r="B1192" s="22" t="s">
        <v>7793</v>
      </c>
      <c r="C1192" s="22" t="s">
        <v>7716</v>
      </c>
      <c r="D1192" s="22" t="s">
        <v>7710</v>
      </c>
      <c r="E1192" s="22" t="s">
        <v>203</v>
      </c>
      <c r="F1192" s="24" t="s">
        <v>204</v>
      </c>
      <c r="G1192" s="26" t="s">
        <v>8577</v>
      </c>
      <c r="H1192" s="22" t="s">
        <v>207</v>
      </c>
      <c r="I1192" s="22"/>
      <c r="J1192" s="22" t="s">
        <v>85</v>
      </c>
      <c r="K1192" s="24"/>
      <c r="L1192" s="24"/>
      <c r="M1192" s="25" t="s">
        <v>205</v>
      </c>
      <c r="N1192" s="22"/>
      <c r="O1192" s="22" t="s">
        <v>206</v>
      </c>
      <c r="P1192" s="22" t="str">
        <f>HYPERLINK("https://ceds.ed.gov/cedselementdetails.aspx?termid=21698")</f>
        <v>https://ceds.ed.gov/cedselementdetails.aspx?termid=21698</v>
      </c>
      <c r="Q1192" s="22">
        <v>61051</v>
      </c>
    </row>
    <row r="1193" spans="1:17" ht="187.2" x14ac:dyDescent="0.3">
      <c r="A1193" s="22" t="s">
        <v>7779</v>
      </c>
      <c r="B1193" s="22" t="s">
        <v>7793</v>
      </c>
      <c r="C1193" s="22" t="s">
        <v>7716</v>
      </c>
      <c r="D1193" s="22" t="s">
        <v>7710</v>
      </c>
      <c r="E1193" s="22" t="s">
        <v>189</v>
      </c>
      <c r="F1193" s="24" t="s">
        <v>190</v>
      </c>
      <c r="G1193" s="23" t="s">
        <v>32</v>
      </c>
      <c r="H1193" s="24" t="s">
        <v>175</v>
      </c>
      <c r="I1193" s="22" t="s">
        <v>172</v>
      </c>
      <c r="J1193" s="22" t="s">
        <v>191</v>
      </c>
      <c r="K1193" s="24" t="s">
        <v>7946</v>
      </c>
      <c r="L1193" s="24"/>
      <c r="M1193" s="25" t="s">
        <v>192</v>
      </c>
      <c r="N1193" s="22"/>
      <c r="O1193" s="22" t="s">
        <v>193</v>
      </c>
      <c r="P1193" s="22" t="str">
        <f>HYPERLINK("https://ceds.ed.gov/cedselementdetails.aspx?termid=21269")</f>
        <v>https://ceds.ed.gov/cedselementdetails.aspx?termid=21269</v>
      </c>
      <c r="Q1193" s="22">
        <v>61052</v>
      </c>
    </row>
    <row r="1194" spans="1:17" ht="187.2" x14ac:dyDescent="0.3">
      <c r="A1194" s="22" t="s">
        <v>7779</v>
      </c>
      <c r="B1194" s="22" t="s">
        <v>7793</v>
      </c>
      <c r="C1194" s="22" t="s">
        <v>7716</v>
      </c>
      <c r="D1194" s="22" t="s">
        <v>7710</v>
      </c>
      <c r="E1194" s="22" t="s">
        <v>170</v>
      </c>
      <c r="F1194" s="24" t="s">
        <v>171</v>
      </c>
      <c r="G1194" s="23" t="s">
        <v>32</v>
      </c>
      <c r="H1194" s="24" t="s">
        <v>175</v>
      </c>
      <c r="I1194" s="22" t="s">
        <v>172</v>
      </c>
      <c r="J1194" s="22" t="s">
        <v>157</v>
      </c>
      <c r="K1194" s="24" t="s">
        <v>7946</v>
      </c>
      <c r="L1194" s="24"/>
      <c r="M1194" s="25" t="s">
        <v>173</v>
      </c>
      <c r="N1194" s="22"/>
      <c r="O1194" s="22" t="s">
        <v>174</v>
      </c>
      <c r="P1194" s="22" t="str">
        <f>HYPERLINK("https://ceds.ed.gov/cedselementdetails.aspx?termid=21019")</f>
        <v>https://ceds.ed.gov/cedselementdetails.aspx?termid=21019</v>
      </c>
      <c r="Q1194" s="22">
        <v>61053</v>
      </c>
    </row>
    <row r="1195" spans="1:17" ht="187.2" x14ac:dyDescent="0.3">
      <c r="A1195" s="22" t="s">
        <v>7779</v>
      </c>
      <c r="B1195" s="22" t="s">
        <v>7793</v>
      </c>
      <c r="C1195" s="22" t="s">
        <v>7716</v>
      </c>
      <c r="D1195" s="22" t="s">
        <v>7710</v>
      </c>
      <c r="E1195" s="22" t="s">
        <v>176</v>
      </c>
      <c r="F1195" s="24" t="s">
        <v>177</v>
      </c>
      <c r="G1195" s="23" t="s">
        <v>32</v>
      </c>
      <c r="H1195" s="24" t="s">
        <v>175</v>
      </c>
      <c r="I1195" s="22" t="s">
        <v>172</v>
      </c>
      <c r="J1195" s="22" t="s">
        <v>85</v>
      </c>
      <c r="K1195" s="24" t="s">
        <v>7946</v>
      </c>
      <c r="L1195" s="24"/>
      <c r="M1195" s="25" t="s">
        <v>178</v>
      </c>
      <c r="N1195" s="22"/>
      <c r="O1195" s="22" t="s">
        <v>179</v>
      </c>
      <c r="P1195" s="22" t="str">
        <f>HYPERLINK("https://ceds.ed.gov/cedselementdetails.aspx?termid=21040")</f>
        <v>https://ceds.ed.gov/cedselementdetails.aspx?termid=21040</v>
      </c>
      <c r="Q1195" s="22">
        <v>61054</v>
      </c>
    </row>
    <row r="1196" spans="1:17" ht="409.6" x14ac:dyDescent="0.3">
      <c r="A1196" s="22" t="s">
        <v>7779</v>
      </c>
      <c r="B1196" s="22" t="s">
        <v>7793</v>
      </c>
      <c r="C1196" s="22" t="s">
        <v>7716</v>
      </c>
      <c r="D1196" s="22" t="s">
        <v>7710</v>
      </c>
      <c r="E1196" s="22" t="s">
        <v>6941</v>
      </c>
      <c r="F1196" s="24" t="s">
        <v>6942</v>
      </c>
      <c r="G1196" s="26" t="s">
        <v>8533</v>
      </c>
      <c r="H1196" s="24" t="s">
        <v>6945</v>
      </c>
      <c r="I1196" s="22" t="s">
        <v>172</v>
      </c>
      <c r="J1196" s="22"/>
      <c r="K1196" s="24" t="s">
        <v>8327</v>
      </c>
      <c r="L1196" s="24"/>
      <c r="M1196" s="25" t="s">
        <v>6943</v>
      </c>
      <c r="N1196" s="22"/>
      <c r="O1196" s="22" t="s">
        <v>6944</v>
      </c>
      <c r="P1196" s="22" t="str">
        <f>HYPERLINK("https://ceds.ed.gov/cedselementdetails.aspx?termid=21267")</f>
        <v>https://ceds.ed.gov/cedselementdetails.aspx?termid=21267</v>
      </c>
      <c r="Q1196" s="22">
        <v>61055</v>
      </c>
    </row>
    <row r="1197" spans="1:17" ht="187.2" x14ac:dyDescent="0.3">
      <c r="A1197" s="22" t="s">
        <v>7779</v>
      </c>
      <c r="B1197" s="22" t="s">
        <v>7793</v>
      </c>
      <c r="C1197" s="22" t="s">
        <v>7716</v>
      </c>
      <c r="D1197" s="22" t="s">
        <v>7710</v>
      </c>
      <c r="E1197" s="22" t="s">
        <v>184</v>
      </c>
      <c r="F1197" s="24" t="s">
        <v>185</v>
      </c>
      <c r="G1197" s="23" t="s">
        <v>32</v>
      </c>
      <c r="H1197" s="24" t="s">
        <v>175</v>
      </c>
      <c r="I1197" s="22" t="s">
        <v>172</v>
      </c>
      <c r="J1197" s="22" t="s">
        <v>186</v>
      </c>
      <c r="K1197" s="24" t="s">
        <v>7946</v>
      </c>
      <c r="L1197" s="24"/>
      <c r="M1197" s="25" t="s">
        <v>187</v>
      </c>
      <c r="N1197" s="22"/>
      <c r="O1197" s="22" t="s">
        <v>188</v>
      </c>
      <c r="P1197" s="22" t="str">
        <f>HYPERLINK("https://ceds.ed.gov/cedselementdetails.aspx?termid=21214")</f>
        <v>https://ceds.ed.gov/cedselementdetails.aspx?termid=21214</v>
      </c>
      <c r="Q1197" s="22">
        <v>61056</v>
      </c>
    </row>
    <row r="1198" spans="1:17" ht="187.2" x14ac:dyDescent="0.3">
      <c r="A1198" s="22" t="s">
        <v>7779</v>
      </c>
      <c r="B1198" s="22" t="s">
        <v>7793</v>
      </c>
      <c r="C1198" s="22" t="s">
        <v>7716</v>
      </c>
      <c r="D1198" s="22" t="s">
        <v>7710</v>
      </c>
      <c r="E1198" s="22" t="s">
        <v>180</v>
      </c>
      <c r="F1198" s="24" t="s">
        <v>181</v>
      </c>
      <c r="G1198" s="23" t="s">
        <v>32</v>
      </c>
      <c r="H1198" s="24" t="s">
        <v>175</v>
      </c>
      <c r="I1198" s="22" t="s">
        <v>172</v>
      </c>
      <c r="J1198" s="22" t="s">
        <v>85</v>
      </c>
      <c r="K1198" s="24" t="s">
        <v>7946</v>
      </c>
      <c r="L1198" s="24"/>
      <c r="M1198" s="25" t="s">
        <v>182</v>
      </c>
      <c r="N1198" s="22"/>
      <c r="O1198" s="22" t="s">
        <v>183</v>
      </c>
      <c r="P1198" s="22" t="str">
        <f>HYPERLINK("https://ceds.ed.gov/cedselementdetails.aspx?termid=21190")</f>
        <v>https://ceds.ed.gov/cedselementdetails.aspx?termid=21190</v>
      </c>
      <c r="Q1198" s="22">
        <v>61057</v>
      </c>
    </row>
    <row r="1199" spans="1:17" ht="409.6" x14ac:dyDescent="0.3">
      <c r="A1199" s="22" t="s">
        <v>7779</v>
      </c>
      <c r="B1199" s="22" t="s">
        <v>7793</v>
      </c>
      <c r="C1199" s="22" t="s">
        <v>7716</v>
      </c>
      <c r="D1199" s="22" t="s">
        <v>7710</v>
      </c>
      <c r="E1199" s="22" t="s">
        <v>2526</v>
      </c>
      <c r="F1199" s="24" t="s">
        <v>2527</v>
      </c>
      <c r="G1199" s="26" t="s">
        <v>8743</v>
      </c>
      <c r="H1199" s="24" t="s">
        <v>2530</v>
      </c>
      <c r="I1199" s="22"/>
      <c r="J1199" s="22"/>
      <c r="K1199" s="24"/>
      <c r="L1199" s="24" t="s">
        <v>8055</v>
      </c>
      <c r="M1199" s="25" t="s">
        <v>2528</v>
      </c>
      <c r="N1199" s="22"/>
      <c r="O1199" s="22" t="s">
        <v>2529</v>
      </c>
      <c r="P1199" s="22" t="str">
        <f>HYPERLINK("https://ceds.ed.gov/cedselementdetails.aspx?termid=21050")</f>
        <v>https://ceds.ed.gov/cedselementdetails.aspx?termid=21050</v>
      </c>
      <c r="Q1199" s="22">
        <v>61058</v>
      </c>
    </row>
    <row r="1200" spans="1:17" ht="57.6" x14ac:dyDescent="0.3">
      <c r="A1200" s="22" t="s">
        <v>7779</v>
      </c>
      <c r="B1200" s="22" t="s">
        <v>7793</v>
      </c>
      <c r="C1200" s="22" t="s">
        <v>7716</v>
      </c>
      <c r="D1200" s="22" t="s">
        <v>7710</v>
      </c>
      <c r="E1200" s="22" t="s">
        <v>4982</v>
      </c>
      <c r="F1200" s="24" t="s">
        <v>4983</v>
      </c>
      <c r="G1200" s="23" t="s">
        <v>32</v>
      </c>
      <c r="H1200" s="22"/>
      <c r="I1200" s="22"/>
      <c r="J1200" s="22" t="s">
        <v>1165</v>
      </c>
      <c r="K1200" s="24"/>
      <c r="L1200" s="24"/>
      <c r="M1200" s="25" t="s">
        <v>4984</v>
      </c>
      <c r="N1200" s="22"/>
      <c r="O1200" s="22" t="s">
        <v>4982</v>
      </c>
      <c r="P1200" s="22" t="str">
        <f>HYPERLINK("https://ceds.ed.gov/cedselementdetails.aspx?termid=21599")</f>
        <v>https://ceds.ed.gov/cedselementdetails.aspx?termid=21599</v>
      </c>
      <c r="Q1200" s="22">
        <v>62268</v>
      </c>
    </row>
    <row r="1201" spans="1:17" ht="57.6" x14ac:dyDescent="0.3">
      <c r="A1201" s="22" t="s">
        <v>7779</v>
      </c>
      <c r="B1201" s="22" t="s">
        <v>7793</v>
      </c>
      <c r="C1201" s="22" t="s">
        <v>7716</v>
      </c>
      <c r="D1201" s="22" t="s">
        <v>7710</v>
      </c>
      <c r="E1201" s="22" t="s">
        <v>5372</v>
      </c>
      <c r="F1201" s="24" t="s">
        <v>5373</v>
      </c>
      <c r="G1201" s="23" t="s">
        <v>32</v>
      </c>
      <c r="H1201" s="22"/>
      <c r="I1201" s="22"/>
      <c r="J1201" s="22" t="s">
        <v>1165</v>
      </c>
      <c r="K1201" s="24"/>
      <c r="L1201" s="24"/>
      <c r="M1201" s="25" t="s">
        <v>5374</v>
      </c>
      <c r="N1201" s="22"/>
      <c r="O1201" s="22" t="s">
        <v>5372</v>
      </c>
      <c r="P1201" s="22" t="str">
        <f>HYPERLINK("https://ceds.ed.gov/cedselementdetails.aspx?termid=21600")</f>
        <v>https://ceds.ed.gov/cedselementdetails.aspx?termid=21600</v>
      </c>
      <c r="Q1201" s="22">
        <v>62291</v>
      </c>
    </row>
    <row r="1202" spans="1:17" ht="158.4" x14ac:dyDescent="0.3">
      <c r="A1202" s="22" t="s">
        <v>7779</v>
      </c>
      <c r="B1202" s="22" t="s">
        <v>7793</v>
      </c>
      <c r="C1202" s="22" t="s">
        <v>7716</v>
      </c>
      <c r="D1202" s="22" t="s">
        <v>7710</v>
      </c>
      <c r="E1202" s="22" t="s">
        <v>2536</v>
      </c>
      <c r="F1202" s="24" t="s">
        <v>2537</v>
      </c>
      <c r="G1202" s="23" t="s">
        <v>32</v>
      </c>
      <c r="H1202" s="22"/>
      <c r="I1202" s="22"/>
      <c r="J1202" s="22" t="s">
        <v>2538</v>
      </c>
      <c r="K1202" s="24"/>
      <c r="L1202" s="24"/>
      <c r="M1202" s="25" t="s">
        <v>2539</v>
      </c>
      <c r="N1202" s="22"/>
      <c r="O1202" s="22" t="s">
        <v>2540</v>
      </c>
      <c r="P1202" s="22" t="str">
        <f>HYPERLINK("https://ceds.ed.gov/cedselementdetails.aspx?termid=22176")</f>
        <v>https://ceds.ed.gov/cedselementdetails.aspx?termid=22176</v>
      </c>
      <c r="Q1202" s="22">
        <v>63383</v>
      </c>
    </row>
    <row r="1203" spans="1:17" ht="57.6" x14ac:dyDescent="0.3">
      <c r="A1203" s="22" t="s">
        <v>7779</v>
      </c>
      <c r="B1203" s="22" t="s">
        <v>7793</v>
      </c>
      <c r="C1203" s="22" t="s">
        <v>7716</v>
      </c>
      <c r="D1203" s="22" t="s">
        <v>7710</v>
      </c>
      <c r="E1203" s="22" t="s">
        <v>3228</v>
      </c>
      <c r="F1203" s="24" t="s">
        <v>3229</v>
      </c>
      <c r="G1203" s="26" t="s">
        <v>3039</v>
      </c>
      <c r="H1203" s="22"/>
      <c r="I1203" s="22" t="s">
        <v>172</v>
      </c>
      <c r="J1203" s="22"/>
      <c r="K1203" s="24" t="s">
        <v>7946</v>
      </c>
      <c r="L1203" s="24"/>
      <c r="M1203" s="25" t="s">
        <v>3230</v>
      </c>
      <c r="N1203" s="22"/>
      <c r="O1203" s="22" t="s">
        <v>3231</v>
      </c>
      <c r="P1203" s="22" t="str">
        <f>HYPERLINK("https://ceds.ed.gov/cedselementdetails.aspx?termid=22905")</f>
        <v>https://ceds.ed.gov/cedselementdetails.aspx?termid=22905</v>
      </c>
      <c r="Q1203" s="22">
        <v>63384</v>
      </c>
    </row>
    <row r="1204" spans="1:17" ht="72" x14ac:dyDescent="0.3">
      <c r="A1204" s="22" t="s">
        <v>7779</v>
      </c>
      <c r="B1204" s="22" t="s">
        <v>7793</v>
      </c>
      <c r="C1204" s="22" t="s">
        <v>7718</v>
      </c>
      <c r="D1204" s="22" t="s">
        <v>7710</v>
      </c>
      <c r="E1204" s="22" t="s">
        <v>3461</v>
      </c>
      <c r="F1204" s="24" t="s">
        <v>3462</v>
      </c>
      <c r="G1204" s="23" t="s">
        <v>32</v>
      </c>
      <c r="H1204" s="24" t="s">
        <v>64</v>
      </c>
      <c r="I1204" s="22" t="s">
        <v>172</v>
      </c>
      <c r="J1204" s="22" t="s">
        <v>3463</v>
      </c>
      <c r="K1204" s="24" t="s">
        <v>7946</v>
      </c>
      <c r="L1204" s="24"/>
      <c r="M1204" s="25" t="s">
        <v>3464</v>
      </c>
      <c r="N1204" s="22" t="s">
        <v>3465</v>
      </c>
      <c r="O1204" s="22" t="s">
        <v>3466</v>
      </c>
      <c r="P1204" s="22" t="str">
        <f>HYPERLINK("https://ceds.ed.gov/cedselementdetails.aspx?termid=21088")</f>
        <v>https://ceds.ed.gov/cedselementdetails.aspx?termid=21088</v>
      </c>
      <c r="Q1204" s="22">
        <v>61148</v>
      </c>
    </row>
    <row r="1205" spans="1:17" ht="72" x14ac:dyDescent="0.3">
      <c r="A1205" s="22" t="s">
        <v>7779</v>
      </c>
      <c r="B1205" s="22" t="s">
        <v>7793</v>
      </c>
      <c r="C1205" s="22" t="s">
        <v>7718</v>
      </c>
      <c r="D1205" s="22" t="s">
        <v>7710</v>
      </c>
      <c r="E1205" s="22" t="s">
        <v>3467</v>
      </c>
      <c r="F1205" s="24" t="s">
        <v>3468</v>
      </c>
      <c r="G1205" s="26" t="s">
        <v>8430</v>
      </c>
      <c r="H1205" s="24" t="s">
        <v>64</v>
      </c>
      <c r="I1205" s="22" t="s">
        <v>172</v>
      </c>
      <c r="J1205" s="22"/>
      <c r="K1205" s="24" t="s">
        <v>7946</v>
      </c>
      <c r="L1205" s="24"/>
      <c r="M1205" s="25" t="s">
        <v>3469</v>
      </c>
      <c r="N1205" s="22" t="s">
        <v>3470</v>
      </c>
      <c r="O1205" s="22" t="s">
        <v>3471</v>
      </c>
      <c r="P1205" s="22" t="str">
        <f>HYPERLINK("https://ceds.ed.gov/cedselementdetails.aspx?termid=21089")</f>
        <v>https://ceds.ed.gov/cedselementdetails.aspx?termid=21089</v>
      </c>
      <c r="Q1205" s="22">
        <v>61149</v>
      </c>
    </row>
    <row r="1206" spans="1:17" ht="57.6" x14ac:dyDescent="0.3">
      <c r="A1206" s="22" t="s">
        <v>7779</v>
      </c>
      <c r="B1206" s="22" t="s">
        <v>7793</v>
      </c>
      <c r="C1206" s="22" t="s">
        <v>7718</v>
      </c>
      <c r="D1206" s="22" t="s">
        <v>7710</v>
      </c>
      <c r="E1206" s="22" t="s">
        <v>3228</v>
      </c>
      <c r="F1206" s="24" t="s">
        <v>3229</v>
      </c>
      <c r="G1206" s="26" t="s">
        <v>3039</v>
      </c>
      <c r="H1206" s="22"/>
      <c r="I1206" s="22" t="s">
        <v>172</v>
      </c>
      <c r="J1206" s="22"/>
      <c r="K1206" s="24" t="s">
        <v>7946</v>
      </c>
      <c r="L1206" s="24"/>
      <c r="M1206" s="25" t="s">
        <v>3230</v>
      </c>
      <c r="N1206" s="22"/>
      <c r="O1206" s="22" t="s">
        <v>3231</v>
      </c>
      <c r="P1206" s="22" t="str">
        <f>HYPERLINK("https://ceds.ed.gov/cedselementdetails.aspx?termid=22905")</f>
        <v>https://ceds.ed.gov/cedselementdetails.aspx?termid=22905</v>
      </c>
      <c r="Q1206" s="22">
        <v>63385</v>
      </c>
    </row>
    <row r="1207" spans="1:17" ht="72" x14ac:dyDescent="0.3">
      <c r="A1207" s="22" t="s">
        <v>7779</v>
      </c>
      <c r="B1207" s="22" t="s">
        <v>7793</v>
      </c>
      <c r="C1207" s="22" t="s">
        <v>7717</v>
      </c>
      <c r="D1207" s="22" t="s">
        <v>7710</v>
      </c>
      <c r="E1207" s="22" t="s">
        <v>7159</v>
      </c>
      <c r="F1207" s="24" t="s">
        <v>7160</v>
      </c>
      <c r="G1207" s="23" t="s">
        <v>32</v>
      </c>
      <c r="H1207" s="24" t="s">
        <v>64</v>
      </c>
      <c r="I1207" s="22"/>
      <c r="J1207" s="22" t="s">
        <v>7161</v>
      </c>
      <c r="K1207" s="24"/>
      <c r="L1207" s="24"/>
      <c r="M1207" s="25" t="s">
        <v>7162</v>
      </c>
      <c r="N1207" s="22"/>
      <c r="O1207" s="22" t="s">
        <v>7163</v>
      </c>
      <c r="P1207" s="22" t="str">
        <f>HYPERLINK("https://ceds.ed.gov/cedselementdetails.aspx?termid=21279")</f>
        <v>https://ceds.ed.gov/cedselementdetails.aspx?termid=21279</v>
      </c>
      <c r="Q1207" s="22">
        <v>61445</v>
      </c>
    </row>
    <row r="1208" spans="1:17" ht="86.4" x14ac:dyDescent="0.3">
      <c r="A1208" s="22" t="s">
        <v>7779</v>
      </c>
      <c r="B1208" s="22" t="s">
        <v>7793</v>
      </c>
      <c r="C1208" s="22" t="s">
        <v>7717</v>
      </c>
      <c r="D1208" s="22" t="s">
        <v>7710</v>
      </c>
      <c r="E1208" s="22" t="s">
        <v>7168</v>
      </c>
      <c r="F1208" s="24" t="s">
        <v>7169</v>
      </c>
      <c r="G1208" s="26" t="s">
        <v>9168</v>
      </c>
      <c r="H1208" s="24" t="s">
        <v>64</v>
      </c>
      <c r="I1208" s="22"/>
      <c r="J1208" s="22" t="s">
        <v>2543</v>
      </c>
      <c r="K1208" s="24"/>
      <c r="L1208" s="24"/>
      <c r="M1208" s="25" t="s">
        <v>7170</v>
      </c>
      <c r="N1208" s="22"/>
      <c r="O1208" s="22" t="s">
        <v>7171</v>
      </c>
      <c r="P1208" s="22" t="str">
        <f>HYPERLINK("https://ceds.ed.gov/cedselementdetails.aspx?termid=21280")</f>
        <v>https://ceds.ed.gov/cedselementdetails.aspx?termid=21280</v>
      </c>
      <c r="Q1208" s="22">
        <v>61447</v>
      </c>
    </row>
    <row r="1209" spans="1:17" ht="72" x14ac:dyDescent="0.3">
      <c r="A1209" s="22" t="s">
        <v>7779</v>
      </c>
      <c r="B1209" s="22" t="s">
        <v>7793</v>
      </c>
      <c r="C1209" s="22" t="s">
        <v>7717</v>
      </c>
      <c r="D1209" s="22" t="s">
        <v>7710</v>
      </c>
      <c r="E1209" s="22" t="s">
        <v>5965</v>
      </c>
      <c r="F1209" s="24" t="s">
        <v>5966</v>
      </c>
      <c r="G1209" s="26" t="s">
        <v>22</v>
      </c>
      <c r="H1209" s="24" t="s">
        <v>64</v>
      </c>
      <c r="I1209" s="22"/>
      <c r="J1209" s="22"/>
      <c r="K1209" s="24"/>
      <c r="L1209" s="24"/>
      <c r="M1209" s="25" t="s">
        <v>5967</v>
      </c>
      <c r="N1209" s="22"/>
      <c r="O1209" s="22" t="s">
        <v>5968</v>
      </c>
      <c r="P1209" s="22" t="str">
        <f>HYPERLINK("https://ceds.ed.gov/cedselementdetails.aspx?termid=21219")</f>
        <v>https://ceds.ed.gov/cedselementdetails.aspx?termid=21219</v>
      </c>
      <c r="Q1209" s="22">
        <v>61327</v>
      </c>
    </row>
    <row r="1210" spans="1:17" ht="57.6" x14ac:dyDescent="0.3">
      <c r="A1210" s="22" t="s">
        <v>7779</v>
      </c>
      <c r="B1210" s="22" t="s">
        <v>7793</v>
      </c>
      <c r="C1210" s="22" t="s">
        <v>7717</v>
      </c>
      <c r="D1210" s="22" t="s">
        <v>7710</v>
      </c>
      <c r="E1210" s="22" t="s">
        <v>3228</v>
      </c>
      <c r="F1210" s="24" t="s">
        <v>3229</v>
      </c>
      <c r="G1210" s="26" t="s">
        <v>3039</v>
      </c>
      <c r="H1210" s="22"/>
      <c r="I1210" s="22" t="s">
        <v>172</v>
      </c>
      <c r="J1210" s="22"/>
      <c r="K1210" s="24" t="s">
        <v>7946</v>
      </c>
      <c r="L1210" s="24"/>
      <c r="M1210" s="25" t="s">
        <v>3230</v>
      </c>
      <c r="N1210" s="22"/>
      <c r="O1210" s="22" t="s">
        <v>3231</v>
      </c>
      <c r="P1210" s="22" t="str">
        <f>HYPERLINK("https://ceds.ed.gov/cedselementdetails.aspx?termid=22905")</f>
        <v>https://ceds.ed.gov/cedselementdetails.aspx?termid=22905</v>
      </c>
      <c r="Q1210" s="22">
        <v>63386</v>
      </c>
    </row>
    <row r="1211" spans="1:17" ht="57.6" x14ac:dyDescent="0.3">
      <c r="A1211" s="22" t="s">
        <v>7779</v>
      </c>
      <c r="B1211" s="22" t="s">
        <v>7793</v>
      </c>
      <c r="C1211" s="22" t="s">
        <v>7717</v>
      </c>
      <c r="D1211" s="22" t="s">
        <v>7710</v>
      </c>
      <c r="E1211" s="22" t="s">
        <v>7164</v>
      </c>
      <c r="F1211" s="24" t="s">
        <v>7165</v>
      </c>
      <c r="G1211" s="26" t="s">
        <v>9167</v>
      </c>
      <c r="H1211" s="22"/>
      <c r="I1211" s="22"/>
      <c r="J1211" s="22"/>
      <c r="K1211" s="24"/>
      <c r="L1211" s="24"/>
      <c r="M1211" s="25" t="s">
        <v>7166</v>
      </c>
      <c r="N1211" s="22"/>
      <c r="O1211" s="22" t="s">
        <v>7167</v>
      </c>
      <c r="P1211" s="22" t="str">
        <f>HYPERLINK("https://ceds.ed.gov/cedselementdetails.aspx?termid=22911")</f>
        <v>https://ceds.ed.gov/cedselementdetails.aspx?termid=22911</v>
      </c>
      <c r="Q1211" s="22">
        <v>63387</v>
      </c>
    </row>
    <row r="1212" spans="1:17" ht="28.8" x14ac:dyDescent="0.3">
      <c r="A1212" s="22" t="s">
        <v>7779</v>
      </c>
      <c r="B1212" s="22" t="s">
        <v>7793</v>
      </c>
      <c r="C1212" s="22" t="s">
        <v>7719</v>
      </c>
      <c r="D1212" s="22" t="s">
        <v>7710</v>
      </c>
      <c r="E1212" s="22" t="s">
        <v>5728</v>
      </c>
      <c r="F1212" s="24" t="s">
        <v>5729</v>
      </c>
      <c r="G1212" s="23" t="s">
        <v>32</v>
      </c>
      <c r="H1212" s="22"/>
      <c r="I1212" s="22"/>
      <c r="J1212" s="22" t="s">
        <v>1301</v>
      </c>
      <c r="K1212" s="24"/>
      <c r="L1212" s="24" t="s">
        <v>5730</v>
      </c>
      <c r="M1212" s="25" t="s">
        <v>5731</v>
      </c>
      <c r="N1212" s="22"/>
      <c r="O1212" s="22" t="s">
        <v>5732</v>
      </c>
      <c r="P1212" s="22" t="str">
        <f>HYPERLINK("https://ceds.ed.gov/cedselementdetails.aspx?termid=22486")</f>
        <v>https://ceds.ed.gov/cedselementdetails.aspx?termid=22486</v>
      </c>
      <c r="Q1212" s="22">
        <v>61639</v>
      </c>
    </row>
    <row r="1213" spans="1:17" ht="28.8" x14ac:dyDescent="0.3">
      <c r="A1213" s="22" t="s">
        <v>7779</v>
      </c>
      <c r="B1213" s="22" t="s">
        <v>7793</v>
      </c>
      <c r="C1213" s="22" t="s">
        <v>7719</v>
      </c>
      <c r="D1213" s="22" t="s">
        <v>7710</v>
      </c>
      <c r="E1213" s="22" t="s">
        <v>5738</v>
      </c>
      <c r="F1213" s="24" t="s">
        <v>5739</v>
      </c>
      <c r="G1213" s="23" t="s">
        <v>32</v>
      </c>
      <c r="H1213" s="22"/>
      <c r="I1213" s="22"/>
      <c r="J1213" s="22" t="s">
        <v>1301</v>
      </c>
      <c r="K1213" s="24"/>
      <c r="L1213" s="24" t="s">
        <v>5740</v>
      </c>
      <c r="M1213" s="25" t="s">
        <v>5741</v>
      </c>
      <c r="N1213" s="22"/>
      <c r="O1213" s="22" t="s">
        <v>5742</v>
      </c>
      <c r="P1213" s="22" t="str">
        <f>HYPERLINK("https://ceds.ed.gov/cedselementdetails.aspx?termid=22487")</f>
        <v>https://ceds.ed.gov/cedselementdetails.aspx?termid=22487</v>
      </c>
      <c r="Q1213" s="22">
        <v>61655</v>
      </c>
    </row>
    <row r="1214" spans="1:17" ht="28.8" x14ac:dyDescent="0.3">
      <c r="A1214" s="22" t="s">
        <v>7779</v>
      </c>
      <c r="B1214" s="22" t="s">
        <v>7793</v>
      </c>
      <c r="C1214" s="22" t="s">
        <v>7719</v>
      </c>
      <c r="D1214" s="22" t="s">
        <v>7710</v>
      </c>
      <c r="E1214" s="22" t="s">
        <v>5733</v>
      </c>
      <c r="F1214" s="24" t="s">
        <v>5734</v>
      </c>
      <c r="G1214" s="23" t="s">
        <v>32</v>
      </c>
      <c r="H1214" s="22"/>
      <c r="I1214" s="22"/>
      <c r="J1214" s="22" t="s">
        <v>1301</v>
      </c>
      <c r="K1214" s="24"/>
      <c r="L1214" s="24" t="s">
        <v>5735</v>
      </c>
      <c r="M1214" s="25" t="s">
        <v>5736</v>
      </c>
      <c r="N1214" s="22"/>
      <c r="O1214" s="22" t="s">
        <v>5737</v>
      </c>
      <c r="P1214" s="22" t="str">
        <f>HYPERLINK("https://ceds.ed.gov/cedselementdetails.aspx?termid=22485")</f>
        <v>https://ceds.ed.gov/cedselementdetails.aspx?termid=22485</v>
      </c>
      <c r="Q1214" s="22">
        <v>61623</v>
      </c>
    </row>
    <row r="1215" spans="1:17" ht="129.6" x14ac:dyDescent="0.3">
      <c r="A1215" s="22" t="s">
        <v>7779</v>
      </c>
      <c r="B1215" s="22" t="s">
        <v>7793</v>
      </c>
      <c r="C1215" s="22" t="s">
        <v>7719</v>
      </c>
      <c r="D1215" s="22" t="s">
        <v>7710</v>
      </c>
      <c r="E1215" s="22" t="s">
        <v>5743</v>
      </c>
      <c r="F1215" s="24" t="s">
        <v>5744</v>
      </c>
      <c r="G1215" s="23" t="s">
        <v>32</v>
      </c>
      <c r="H1215" s="24" t="s">
        <v>4119</v>
      </c>
      <c r="I1215" s="22"/>
      <c r="J1215" s="22" t="s">
        <v>132</v>
      </c>
      <c r="K1215" s="24"/>
      <c r="L1215" s="24"/>
      <c r="M1215" s="25" t="s">
        <v>5745</v>
      </c>
      <c r="N1215" s="22"/>
      <c r="O1215" s="22" t="s">
        <v>5746</v>
      </c>
      <c r="P1215" s="22" t="str">
        <f>HYPERLINK("https://ceds.ed.gov/cedselementdetails.aspx?termid=21206")</f>
        <v>https://ceds.ed.gov/cedselementdetails.aspx?termid=21206</v>
      </c>
      <c r="Q1215" s="22">
        <v>61303</v>
      </c>
    </row>
    <row r="1216" spans="1:17" ht="115.2" x14ac:dyDescent="0.3">
      <c r="A1216" s="22" t="s">
        <v>7779</v>
      </c>
      <c r="B1216" s="22" t="s">
        <v>7793</v>
      </c>
      <c r="C1216" s="22" t="s">
        <v>7719</v>
      </c>
      <c r="D1216" s="22" t="s">
        <v>7710</v>
      </c>
      <c r="E1216" s="22" t="s">
        <v>5747</v>
      </c>
      <c r="F1216" s="24" t="s">
        <v>5748</v>
      </c>
      <c r="G1216" s="26" t="s">
        <v>9055</v>
      </c>
      <c r="H1216" s="24" t="s">
        <v>5751</v>
      </c>
      <c r="I1216" s="22"/>
      <c r="J1216" s="22" t="s">
        <v>85</v>
      </c>
      <c r="K1216" s="24"/>
      <c r="L1216" s="24"/>
      <c r="M1216" s="25" t="s">
        <v>5749</v>
      </c>
      <c r="N1216" s="22"/>
      <c r="O1216" s="22" t="s">
        <v>5750</v>
      </c>
      <c r="P1216" s="22" t="str">
        <f>HYPERLINK("https://ceds.ed.gov/cedselementdetails.aspx?termid=21627")</f>
        <v>https://ceds.ed.gov/cedselementdetails.aspx?termid=21627</v>
      </c>
      <c r="Q1216" s="22">
        <v>61304</v>
      </c>
    </row>
    <row r="1217" spans="1:17" ht="43.2" x14ac:dyDescent="0.3">
      <c r="A1217" s="22" t="s">
        <v>7779</v>
      </c>
      <c r="B1217" s="22" t="s">
        <v>7793</v>
      </c>
      <c r="C1217" s="22" t="s">
        <v>7785</v>
      </c>
      <c r="D1217" s="22" t="s">
        <v>7710</v>
      </c>
      <c r="E1217" s="22" t="s">
        <v>6663</v>
      </c>
      <c r="F1217" s="24" t="s">
        <v>6664</v>
      </c>
      <c r="G1217" s="23" t="s">
        <v>32</v>
      </c>
      <c r="H1217" s="22" t="s">
        <v>2493</v>
      </c>
      <c r="I1217" s="22"/>
      <c r="J1217" s="22" t="s">
        <v>1844</v>
      </c>
      <c r="K1217" s="24"/>
      <c r="L1217" s="24" t="s">
        <v>8311</v>
      </c>
      <c r="M1217" s="25" t="s">
        <v>6666</v>
      </c>
      <c r="N1217" s="22"/>
      <c r="O1217" s="22" t="s">
        <v>6667</v>
      </c>
      <c r="P1217" s="22" t="str">
        <f>HYPERLINK("https://ceds.ed.gov/cedselementdetails.aspx?termid=21243")</f>
        <v>https://ceds.ed.gov/cedselementdetails.aspx?termid=21243</v>
      </c>
      <c r="Q1217" s="22">
        <v>62172</v>
      </c>
    </row>
    <row r="1218" spans="1:17" ht="72" x14ac:dyDescent="0.3">
      <c r="A1218" s="22" t="s">
        <v>7779</v>
      </c>
      <c r="B1218" s="22" t="s">
        <v>7793</v>
      </c>
      <c r="C1218" s="22" t="s">
        <v>7785</v>
      </c>
      <c r="D1218" s="22" t="s">
        <v>7710</v>
      </c>
      <c r="E1218" s="22" t="s">
        <v>220</v>
      </c>
      <c r="F1218" s="24" t="s">
        <v>221</v>
      </c>
      <c r="G1218" s="26" t="s">
        <v>8579</v>
      </c>
      <c r="H1218" s="22" t="s">
        <v>226</v>
      </c>
      <c r="I1218" s="22"/>
      <c r="J1218" s="22"/>
      <c r="K1218" s="24"/>
      <c r="L1218" s="24"/>
      <c r="M1218" s="25" t="s">
        <v>223</v>
      </c>
      <c r="N1218" s="22" t="s">
        <v>224</v>
      </c>
      <c r="O1218" s="22" t="s">
        <v>225</v>
      </c>
      <c r="P1218" s="22" t="str">
        <f>HYPERLINK("https://ceds.ed.gov/cedselementdetails.aspx?termid=21011")</f>
        <v>https://ceds.ed.gov/cedselementdetails.aspx?termid=21011</v>
      </c>
      <c r="Q1218" s="22">
        <v>58969</v>
      </c>
    </row>
    <row r="1219" spans="1:17" ht="57.6" x14ac:dyDescent="0.3">
      <c r="A1219" s="22" t="s">
        <v>7779</v>
      </c>
      <c r="B1219" s="22" t="s">
        <v>7793</v>
      </c>
      <c r="C1219" s="22" t="s">
        <v>7785</v>
      </c>
      <c r="D1219" s="22" t="s">
        <v>7710</v>
      </c>
      <c r="E1219" s="22" t="s">
        <v>1902</v>
      </c>
      <c r="F1219" s="24" t="s">
        <v>1903</v>
      </c>
      <c r="G1219" s="26" t="s">
        <v>8709</v>
      </c>
      <c r="H1219" s="22" t="s">
        <v>226</v>
      </c>
      <c r="I1219" s="22"/>
      <c r="J1219" s="22"/>
      <c r="K1219" s="24"/>
      <c r="L1219" s="24"/>
      <c r="M1219" s="25" t="s">
        <v>1905</v>
      </c>
      <c r="N1219" s="22" t="s">
        <v>1906</v>
      </c>
      <c r="O1219" s="22" t="s">
        <v>1907</v>
      </c>
      <c r="P1219" s="22" t="str">
        <f>HYPERLINK("https://ceds.ed.gov/cedselementdetails.aspx?termid=21075")</f>
        <v>https://ceds.ed.gov/cedselementdetails.aspx?termid=21075</v>
      </c>
      <c r="Q1219" s="22">
        <v>58971</v>
      </c>
    </row>
    <row r="1220" spans="1:17" ht="43.2" x14ac:dyDescent="0.3">
      <c r="A1220" s="22" t="s">
        <v>7779</v>
      </c>
      <c r="B1220" s="22" t="s">
        <v>7793</v>
      </c>
      <c r="C1220" s="22" t="s">
        <v>7730</v>
      </c>
      <c r="D1220" s="22" t="s">
        <v>7710</v>
      </c>
      <c r="E1220" s="22" t="s">
        <v>4066</v>
      </c>
      <c r="F1220" s="24" t="s">
        <v>8202</v>
      </c>
      <c r="G1220" s="23" t="s">
        <v>32</v>
      </c>
      <c r="H1220" s="22"/>
      <c r="I1220" s="22" t="s">
        <v>172</v>
      </c>
      <c r="J1220" s="22" t="s">
        <v>1844</v>
      </c>
      <c r="K1220" s="24" t="s">
        <v>8159</v>
      </c>
      <c r="L1220" s="24"/>
      <c r="M1220" s="25" t="s">
        <v>4067</v>
      </c>
      <c r="N1220" s="22"/>
      <c r="O1220" s="22" t="s">
        <v>4068</v>
      </c>
      <c r="P1220" s="22" t="str">
        <f>HYPERLINK("https://ceds.ed.gov/cedselementdetails.aspx?termid=22620")</f>
        <v>https://ceds.ed.gov/cedselementdetails.aspx?termid=22620</v>
      </c>
      <c r="Q1220" s="22">
        <v>62307</v>
      </c>
    </row>
    <row r="1221" spans="1:17" ht="28.8" x14ac:dyDescent="0.3">
      <c r="A1221" s="22" t="s">
        <v>7779</v>
      </c>
      <c r="B1221" s="22" t="s">
        <v>7793</v>
      </c>
      <c r="C1221" s="22" t="s">
        <v>7730</v>
      </c>
      <c r="D1221" s="22" t="s">
        <v>7710</v>
      </c>
      <c r="E1221" s="22" t="s">
        <v>4058</v>
      </c>
      <c r="F1221" s="24" t="s">
        <v>4059</v>
      </c>
      <c r="G1221" s="23" t="s">
        <v>32</v>
      </c>
      <c r="H1221" s="22"/>
      <c r="I1221" s="22" t="s">
        <v>172</v>
      </c>
      <c r="J1221" s="22" t="s">
        <v>118</v>
      </c>
      <c r="K1221" s="24" t="s">
        <v>7946</v>
      </c>
      <c r="L1221" s="24"/>
      <c r="M1221" s="25" t="s">
        <v>4060</v>
      </c>
      <c r="N1221" s="22"/>
      <c r="O1221" s="22" t="s">
        <v>4061</v>
      </c>
      <c r="P1221" s="22" t="str">
        <f>HYPERLINK("https://ceds.ed.gov/cedselementdetails.aspx?termid=22623")</f>
        <v>https://ceds.ed.gov/cedselementdetails.aspx?termid=22623</v>
      </c>
      <c r="Q1221" s="22">
        <v>62317</v>
      </c>
    </row>
    <row r="1222" spans="1:17" ht="57.6" x14ac:dyDescent="0.3">
      <c r="A1222" s="22" t="s">
        <v>7779</v>
      </c>
      <c r="B1222" s="22" t="s">
        <v>7793</v>
      </c>
      <c r="C1222" s="22" t="s">
        <v>7730</v>
      </c>
      <c r="D1222" s="22" t="s">
        <v>7710</v>
      </c>
      <c r="E1222" s="22" t="s">
        <v>4062</v>
      </c>
      <c r="F1222" s="24" t="s">
        <v>4063</v>
      </c>
      <c r="G1222" s="23" t="s">
        <v>32</v>
      </c>
      <c r="H1222" s="22"/>
      <c r="I1222" s="22" t="s">
        <v>172</v>
      </c>
      <c r="J1222" s="22" t="s">
        <v>118</v>
      </c>
      <c r="K1222" s="24" t="s">
        <v>7946</v>
      </c>
      <c r="L1222" s="24" t="s">
        <v>143</v>
      </c>
      <c r="M1222" s="25" t="s">
        <v>4064</v>
      </c>
      <c r="N1222" s="22"/>
      <c r="O1222" s="22" t="s">
        <v>4065</v>
      </c>
      <c r="P1222" s="22" t="str">
        <f>HYPERLINK("https://ceds.ed.gov/cedselementdetails.aspx?termid=22624")</f>
        <v>https://ceds.ed.gov/cedselementdetails.aspx?termid=22624</v>
      </c>
      <c r="Q1222" s="22">
        <v>62321</v>
      </c>
    </row>
    <row r="1223" spans="1:17" ht="86.4" x14ac:dyDescent="0.3">
      <c r="A1223" s="22" t="s">
        <v>7779</v>
      </c>
      <c r="B1223" s="22" t="s">
        <v>7793</v>
      </c>
      <c r="C1223" s="22" t="s">
        <v>7730</v>
      </c>
      <c r="D1223" s="22" t="s">
        <v>7710</v>
      </c>
      <c r="E1223" s="22" t="s">
        <v>3951</v>
      </c>
      <c r="F1223" s="24" t="s">
        <v>8153</v>
      </c>
      <c r="G1223" s="23" t="s">
        <v>32</v>
      </c>
      <c r="H1223" s="22"/>
      <c r="I1223" s="22" t="s">
        <v>172</v>
      </c>
      <c r="J1223" s="22" t="s">
        <v>85</v>
      </c>
      <c r="K1223" s="24" t="s">
        <v>7946</v>
      </c>
      <c r="L1223" s="24"/>
      <c r="M1223" s="25" t="s">
        <v>3952</v>
      </c>
      <c r="N1223" s="22"/>
      <c r="O1223" s="22" t="s">
        <v>3953</v>
      </c>
      <c r="P1223" s="22" t="str">
        <f>HYPERLINK("https://ceds.ed.gov/cedselementdetails.aspx?termid=22530")</f>
        <v>https://ceds.ed.gov/cedselementdetails.aspx?termid=22530</v>
      </c>
      <c r="Q1223" s="22">
        <v>61843</v>
      </c>
    </row>
    <row r="1224" spans="1:17" ht="43.2" x14ac:dyDescent="0.3">
      <c r="A1224" s="22" t="s">
        <v>7779</v>
      </c>
      <c r="B1224" s="22" t="s">
        <v>7793</v>
      </c>
      <c r="C1224" s="22" t="s">
        <v>7730</v>
      </c>
      <c r="D1224" s="22" t="s">
        <v>7710</v>
      </c>
      <c r="E1224" s="22" t="s">
        <v>3948</v>
      </c>
      <c r="F1224" s="24" t="s">
        <v>8152</v>
      </c>
      <c r="G1224" s="23" t="s">
        <v>32</v>
      </c>
      <c r="H1224" s="22"/>
      <c r="I1224" s="22" t="s">
        <v>172</v>
      </c>
      <c r="J1224" s="22" t="s">
        <v>780</v>
      </c>
      <c r="K1224" s="24" t="s">
        <v>8135</v>
      </c>
      <c r="L1224" s="24"/>
      <c r="M1224" s="25" t="s">
        <v>3949</v>
      </c>
      <c r="N1224" s="22"/>
      <c r="O1224" s="22" t="s">
        <v>3950</v>
      </c>
      <c r="P1224" s="22" t="str">
        <f>HYPERLINK("https://ceds.ed.gov/cedselementdetails.aspx?termid=22315")</f>
        <v>https://ceds.ed.gov/cedselementdetails.aspx?termid=22315</v>
      </c>
      <c r="Q1224" s="22">
        <v>61180</v>
      </c>
    </row>
    <row r="1225" spans="1:17" ht="43.2" x14ac:dyDescent="0.3">
      <c r="A1225" s="22" t="s">
        <v>7779</v>
      </c>
      <c r="B1225" s="22" t="s">
        <v>7793</v>
      </c>
      <c r="C1225" s="22" t="s">
        <v>7730</v>
      </c>
      <c r="D1225" s="22" t="s">
        <v>7710</v>
      </c>
      <c r="E1225" s="22" t="s">
        <v>3938</v>
      </c>
      <c r="F1225" s="24" t="s">
        <v>8134</v>
      </c>
      <c r="G1225" s="23" t="s">
        <v>32</v>
      </c>
      <c r="H1225" s="22"/>
      <c r="I1225" s="22" t="s">
        <v>172</v>
      </c>
      <c r="J1225" s="22" t="s">
        <v>113</v>
      </c>
      <c r="K1225" s="24" t="s">
        <v>8135</v>
      </c>
      <c r="L1225" s="24"/>
      <c r="M1225" s="25" t="s">
        <v>3939</v>
      </c>
      <c r="N1225" s="22"/>
      <c r="O1225" s="22" t="s">
        <v>3940</v>
      </c>
      <c r="P1225" s="22" t="str">
        <f>HYPERLINK("https://ceds.ed.gov/cedselementdetails.aspx?termid=22313")</f>
        <v>https://ceds.ed.gov/cedselementdetails.aspx?termid=22313</v>
      </c>
      <c r="Q1225" s="22">
        <v>61169</v>
      </c>
    </row>
    <row r="1226" spans="1:17" ht="86.4" x14ac:dyDescent="0.3">
      <c r="A1226" s="22" t="s">
        <v>7779</v>
      </c>
      <c r="B1226" s="22" t="s">
        <v>7793</v>
      </c>
      <c r="C1226" s="22" t="s">
        <v>7730</v>
      </c>
      <c r="D1226" s="22" t="s">
        <v>7710</v>
      </c>
      <c r="E1226" s="22" t="s">
        <v>3934</v>
      </c>
      <c r="F1226" s="24" t="s">
        <v>3935</v>
      </c>
      <c r="G1226" s="26" t="s">
        <v>8439</v>
      </c>
      <c r="H1226" s="22"/>
      <c r="I1226" s="22" t="s">
        <v>172</v>
      </c>
      <c r="J1226" s="22"/>
      <c r="K1226" s="24" t="s">
        <v>7946</v>
      </c>
      <c r="L1226" s="24"/>
      <c r="M1226" s="25" t="s">
        <v>3936</v>
      </c>
      <c r="N1226" s="22"/>
      <c r="O1226" s="22" t="s">
        <v>3937</v>
      </c>
      <c r="P1226" s="22" t="str">
        <f>HYPERLINK("https://ceds.ed.gov/cedselementdetails.aspx?termid=22312")</f>
        <v>https://ceds.ed.gov/cedselementdetails.aspx?termid=22312</v>
      </c>
      <c r="Q1226" s="22">
        <v>61165</v>
      </c>
    </row>
    <row r="1227" spans="1:17" ht="409.6" x14ac:dyDescent="0.3">
      <c r="A1227" s="22" t="s">
        <v>7779</v>
      </c>
      <c r="B1227" s="22" t="s">
        <v>7793</v>
      </c>
      <c r="C1227" s="22" t="s">
        <v>7730</v>
      </c>
      <c r="D1227" s="22" t="s">
        <v>7710</v>
      </c>
      <c r="E1227" s="22" t="s">
        <v>8161</v>
      </c>
      <c r="F1227" s="24" t="s">
        <v>8162</v>
      </c>
      <c r="G1227" s="26" t="s">
        <v>8445</v>
      </c>
      <c r="H1227" s="22"/>
      <c r="I1227" s="22" t="s">
        <v>172</v>
      </c>
      <c r="J1227" s="22"/>
      <c r="K1227" s="24" t="s">
        <v>8137</v>
      </c>
      <c r="L1227" s="24" t="s">
        <v>8163</v>
      </c>
      <c r="M1227" s="25" t="s">
        <v>3947</v>
      </c>
      <c r="N1227" s="22"/>
      <c r="O1227" s="22" t="s">
        <v>8164</v>
      </c>
      <c r="P1227" s="22" t="str">
        <f>HYPERLINK("https://ceds.ed.gov/cedselementdetails.aspx?termid=22440")</f>
        <v>https://ceds.ed.gov/cedselementdetails.aspx?termid=22440</v>
      </c>
      <c r="Q1227" s="22">
        <v>61856</v>
      </c>
    </row>
    <row r="1228" spans="1:17" ht="409.6" x14ac:dyDescent="0.3">
      <c r="A1228" s="22" t="s">
        <v>7779</v>
      </c>
      <c r="B1228" s="22" t="s">
        <v>7793</v>
      </c>
      <c r="C1228" s="22" t="s">
        <v>7730</v>
      </c>
      <c r="D1228" s="22" t="s">
        <v>7710</v>
      </c>
      <c r="E1228" s="22" t="s">
        <v>8173</v>
      </c>
      <c r="F1228" s="24" t="s">
        <v>8174</v>
      </c>
      <c r="G1228" s="26" t="s">
        <v>8447</v>
      </c>
      <c r="H1228" s="22"/>
      <c r="I1228" s="22" t="s">
        <v>172</v>
      </c>
      <c r="J1228" s="22"/>
      <c r="K1228" s="24" t="s">
        <v>8175</v>
      </c>
      <c r="L1228" s="24" t="s">
        <v>8176</v>
      </c>
      <c r="M1228" s="25" t="s">
        <v>4017</v>
      </c>
      <c r="N1228" s="22"/>
      <c r="O1228" s="22" t="s">
        <v>8177</v>
      </c>
      <c r="P1228" s="22" t="str">
        <f>HYPERLINK("https://ceds.ed.gov/cedselementdetails.aspx?termid=22321")</f>
        <v>https://ceds.ed.gov/cedselementdetails.aspx?termid=22321</v>
      </c>
      <c r="Q1228" s="22">
        <v>61202</v>
      </c>
    </row>
    <row r="1229" spans="1:17" ht="409.6" x14ac:dyDescent="0.3">
      <c r="A1229" s="22" t="s">
        <v>7779</v>
      </c>
      <c r="B1229" s="22" t="s">
        <v>7793</v>
      </c>
      <c r="C1229" s="22" t="s">
        <v>7730</v>
      </c>
      <c r="D1229" s="22" t="s">
        <v>7710</v>
      </c>
      <c r="E1229" s="22" t="s">
        <v>8191</v>
      </c>
      <c r="F1229" s="24" t="s">
        <v>8192</v>
      </c>
      <c r="G1229" s="26" t="s">
        <v>8449</v>
      </c>
      <c r="H1229" s="22"/>
      <c r="I1229" s="22" t="s">
        <v>172</v>
      </c>
      <c r="J1229" s="22"/>
      <c r="K1229" s="24" t="s">
        <v>8137</v>
      </c>
      <c r="L1229" s="24" t="s">
        <v>8193</v>
      </c>
      <c r="M1229" s="25" t="s">
        <v>4020</v>
      </c>
      <c r="N1229" s="22"/>
      <c r="O1229" s="22" t="s">
        <v>8194</v>
      </c>
      <c r="P1229" s="22" t="str">
        <f>HYPERLINK("https://ceds.ed.gov/cedselementdetails.aspx?termid=22322")</f>
        <v>https://ceds.ed.gov/cedselementdetails.aspx?termid=22322</v>
      </c>
      <c r="Q1229" s="22">
        <v>61206</v>
      </c>
    </row>
    <row r="1230" spans="1:17" ht="187.2" x14ac:dyDescent="0.3">
      <c r="A1230" s="22" t="s">
        <v>7779</v>
      </c>
      <c r="B1230" s="22" t="s">
        <v>7793</v>
      </c>
      <c r="C1230" s="22" t="s">
        <v>7730</v>
      </c>
      <c r="D1230" s="22" t="s">
        <v>7710</v>
      </c>
      <c r="E1230" s="22" t="s">
        <v>8178</v>
      </c>
      <c r="F1230" s="24" t="s">
        <v>4018</v>
      </c>
      <c r="G1230" s="26" t="s">
        <v>8448</v>
      </c>
      <c r="H1230" s="22"/>
      <c r="I1230" s="22" t="s">
        <v>172</v>
      </c>
      <c r="J1230" s="22"/>
      <c r="K1230" s="24" t="s">
        <v>8179</v>
      </c>
      <c r="L1230" s="24" t="s">
        <v>8180</v>
      </c>
      <c r="M1230" s="25" t="s">
        <v>4019</v>
      </c>
      <c r="N1230" s="22"/>
      <c r="O1230" s="22" t="s">
        <v>8181</v>
      </c>
      <c r="P1230" s="22" t="str">
        <f>HYPERLINK("https://ceds.ed.gov/cedselementdetails.aspx?termid=22531")</f>
        <v>https://ceds.ed.gov/cedselementdetails.aspx?termid=22531</v>
      </c>
      <c r="Q1230" s="22">
        <v>61848</v>
      </c>
    </row>
    <row r="1231" spans="1:17" ht="259.2" x14ac:dyDescent="0.3">
      <c r="A1231" s="22" t="s">
        <v>7779</v>
      </c>
      <c r="B1231" s="22" t="s">
        <v>7793</v>
      </c>
      <c r="C1231" s="22" t="s">
        <v>7730</v>
      </c>
      <c r="D1231" s="22" t="s">
        <v>7710</v>
      </c>
      <c r="E1231" s="22" t="s">
        <v>8195</v>
      </c>
      <c r="F1231" s="24" t="s">
        <v>8196</v>
      </c>
      <c r="G1231" s="23" t="s">
        <v>32</v>
      </c>
      <c r="H1231" s="22"/>
      <c r="I1231" s="22" t="s">
        <v>172</v>
      </c>
      <c r="J1231" s="22" t="s">
        <v>148</v>
      </c>
      <c r="K1231" s="24" t="s">
        <v>8197</v>
      </c>
      <c r="L1231" s="24" t="s">
        <v>8198</v>
      </c>
      <c r="M1231" s="25" t="s">
        <v>4021</v>
      </c>
      <c r="N1231" s="22"/>
      <c r="O1231" s="22" t="s">
        <v>8199</v>
      </c>
      <c r="P1231" s="22" t="str">
        <f>HYPERLINK("https://ceds.ed.gov/cedselementdetails.aspx?termid=22532")</f>
        <v>https://ceds.ed.gov/cedselementdetails.aspx?termid=22532</v>
      </c>
      <c r="Q1231" s="22">
        <v>61852</v>
      </c>
    </row>
    <row r="1232" spans="1:17" ht="409.6" x14ac:dyDescent="0.3">
      <c r="A1232" s="22" t="s">
        <v>7779</v>
      </c>
      <c r="B1232" s="22" t="s">
        <v>7793</v>
      </c>
      <c r="C1232" s="22" t="s">
        <v>7730</v>
      </c>
      <c r="D1232" s="22" t="s">
        <v>7710</v>
      </c>
      <c r="E1232" s="22" t="s">
        <v>8127</v>
      </c>
      <c r="F1232" s="24" t="s">
        <v>3941</v>
      </c>
      <c r="G1232" s="26" t="s">
        <v>8438</v>
      </c>
      <c r="H1232" s="22"/>
      <c r="I1232" s="22" t="s">
        <v>172</v>
      </c>
      <c r="J1232" s="22"/>
      <c r="K1232" s="24" t="s">
        <v>8128</v>
      </c>
      <c r="L1232" s="24" t="s">
        <v>8129</v>
      </c>
      <c r="M1232" s="25" t="s">
        <v>3943</v>
      </c>
      <c r="N1232" s="22"/>
      <c r="O1232" s="22" t="s">
        <v>8130</v>
      </c>
      <c r="P1232" s="22" t="str">
        <f>HYPERLINK("https://ceds.ed.gov/cedselementdetails.aspx?termid=22320")</f>
        <v>https://ceds.ed.gov/cedselementdetails.aspx?termid=22320</v>
      </c>
      <c r="Q1232" s="22">
        <v>61198</v>
      </c>
    </row>
    <row r="1233" spans="1:17" ht="43.2" x14ac:dyDescent="0.3">
      <c r="A1233" s="22" t="s">
        <v>7779</v>
      </c>
      <c r="B1233" s="22" t="s">
        <v>7793</v>
      </c>
      <c r="C1233" s="22" t="s">
        <v>7730</v>
      </c>
      <c r="D1233" s="22" t="s">
        <v>7710</v>
      </c>
      <c r="E1233" s="22" t="s">
        <v>3968</v>
      </c>
      <c r="F1233" s="24" t="s">
        <v>3969</v>
      </c>
      <c r="G1233" s="23" t="s">
        <v>32</v>
      </c>
      <c r="H1233" s="22"/>
      <c r="I1233" s="22" t="s">
        <v>172</v>
      </c>
      <c r="J1233" s="22" t="s">
        <v>1518</v>
      </c>
      <c r="K1233" s="24" t="s">
        <v>7946</v>
      </c>
      <c r="L1233" s="24"/>
      <c r="M1233" s="25" t="s">
        <v>3970</v>
      </c>
      <c r="N1233" s="22"/>
      <c r="O1233" s="22" t="s">
        <v>3971</v>
      </c>
      <c r="P1233" s="22" t="str">
        <f>HYPERLINK("https://ceds.ed.gov/cedselementdetails.aspx?termid=22318")</f>
        <v>https://ceds.ed.gov/cedselementdetails.aspx?termid=22318</v>
      </c>
      <c r="Q1233" s="22">
        <v>61193</v>
      </c>
    </row>
    <row r="1234" spans="1:17" ht="57.6" x14ac:dyDescent="0.3">
      <c r="A1234" s="22" t="s">
        <v>7779</v>
      </c>
      <c r="B1234" s="22" t="s">
        <v>7793</v>
      </c>
      <c r="C1234" s="22" t="s">
        <v>7730</v>
      </c>
      <c r="D1234" s="22" t="s">
        <v>7710</v>
      </c>
      <c r="E1234" s="22" t="s">
        <v>3972</v>
      </c>
      <c r="F1234" s="24" t="s">
        <v>3973</v>
      </c>
      <c r="G1234" s="23" t="s">
        <v>32</v>
      </c>
      <c r="H1234" s="22"/>
      <c r="I1234" s="22" t="s">
        <v>172</v>
      </c>
      <c r="J1234" s="22" t="s">
        <v>1518</v>
      </c>
      <c r="K1234" s="24" t="s">
        <v>7946</v>
      </c>
      <c r="L1234" s="24" t="s">
        <v>3974</v>
      </c>
      <c r="M1234" s="25" t="s">
        <v>3975</v>
      </c>
      <c r="N1234" s="22"/>
      <c r="O1234" s="22" t="s">
        <v>3976</v>
      </c>
      <c r="P1234" s="22" t="str">
        <f>HYPERLINK("https://ceds.ed.gov/cedselementdetails.aspx?termid=22625")</f>
        <v>https://ceds.ed.gov/cedselementdetails.aspx?termid=22625</v>
      </c>
      <c r="Q1234" s="22">
        <v>62325</v>
      </c>
    </row>
    <row r="1235" spans="1:17" ht="43.2" x14ac:dyDescent="0.3">
      <c r="A1235" s="22" t="s">
        <v>7779</v>
      </c>
      <c r="B1235" s="22" t="s">
        <v>7793</v>
      </c>
      <c r="C1235" s="22" t="s">
        <v>7730</v>
      </c>
      <c r="D1235" s="22" t="s">
        <v>7710</v>
      </c>
      <c r="E1235" s="22" t="s">
        <v>3964</v>
      </c>
      <c r="F1235" s="24" t="s">
        <v>3965</v>
      </c>
      <c r="G1235" s="23" t="s">
        <v>32</v>
      </c>
      <c r="H1235" s="22"/>
      <c r="I1235" s="22" t="s">
        <v>172</v>
      </c>
      <c r="J1235" s="22" t="s">
        <v>1518</v>
      </c>
      <c r="K1235" s="24" t="s">
        <v>7946</v>
      </c>
      <c r="L1235" s="24"/>
      <c r="M1235" s="25" t="s">
        <v>3966</v>
      </c>
      <c r="N1235" s="22"/>
      <c r="O1235" s="22" t="s">
        <v>3967</v>
      </c>
      <c r="P1235" s="22" t="str">
        <f>HYPERLINK("https://ceds.ed.gov/cedselementdetails.aspx?termid=22317")</f>
        <v>https://ceds.ed.gov/cedselementdetails.aspx?termid=22317</v>
      </c>
      <c r="Q1235" s="22">
        <v>61189</v>
      </c>
    </row>
    <row r="1236" spans="1:17" ht="129.6" x14ac:dyDescent="0.3">
      <c r="A1236" s="22" t="s">
        <v>7779</v>
      </c>
      <c r="B1236" s="22" t="s">
        <v>7793</v>
      </c>
      <c r="C1236" s="22" t="s">
        <v>7730</v>
      </c>
      <c r="D1236" s="22" t="s">
        <v>7710</v>
      </c>
      <c r="E1236" s="22" t="s">
        <v>3977</v>
      </c>
      <c r="F1236" s="24" t="s">
        <v>3978</v>
      </c>
      <c r="G1236" s="23" t="s">
        <v>32</v>
      </c>
      <c r="H1236" s="22"/>
      <c r="I1236" s="22" t="s">
        <v>172</v>
      </c>
      <c r="J1236" s="22" t="s">
        <v>1518</v>
      </c>
      <c r="K1236" s="24" t="s">
        <v>7946</v>
      </c>
      <c r="L1236" s="24" t="s">
        <v>3979</v>
      </c>
      <c r="M1236" s="25" t="s">
        <v>3980</v>
      </c>
      <c r="N1236" s="22"/>
      <c r="O1236" s="22" t="s">
        <v>3981</v>
      </c>
      <c r="P1236" s="22" t="str">
        <f>HYPERLINK("https://ceds.ed.gov/cedselementdetails.aspx?termid=22628")</f>
        <v>https://ceds.ed.gov/cedselementdetails.aspx?termid=22628</v>
      </c>
      <c r="Q1236" s="22">
        <v>62337</v>
      </c>
    </row>
    <row r="1237" spans="1:17" ht="28.8" x14ac:dyDescent="0.3">
      <c r="A1237" s="22" t="s">
        <v>7779</v>
      </c>
      <c r="B1237" s="22" t="s">
        <v>7793</v>
      </c>
      <c r="C1237" s="22" t="s">
        <v>7730</v>
      </c>
      <c r="D1237" s="22" t="s">
        <v>7710</v>
      </c>
      <c r="E1237" s="22" t="s">
        <v>3960</v>
      </c>
      <c r="F1237" s="24" t="s">
        <v>3961</v>
      </c>
      <c r="G1237" s="23" t="s">
        <v>32</v>
      </c>
      <c r="H1237" s="22"/>
      <c r="I1237" s="22" t="s">
        <v>172</v>
      </c>
      <c r="J1237" s="22" t="s">
        <v>118</v>
      </c>
      <c r="K1237" s="24" t="s">
        <v>7946</v>
      </c>
      <c r="L1237" s="24"/>
      <c r="M1237" s="25" t="s">
        <v>3962</v>
      </c>
      <c r="N1237" s="22"/>
      <c r="O1237" s="22" t="s">
        <v>3963</v>
      </c>
      <c r="P1237" s="22" t="str">
        <f>HYPERLINK("https://ceds.ed.gov/cedselementdetails.aspx?termid=22629")</f>
        <v>https://ceds.ed.gov/cedselementdetails.aspx?termid=22629</v>
      </c>
      <c r="Q1237" s="22">
        <v>62341</v>
      </c>
    </row>
    <row r="1238" spans="1:17" ht="144" x14ac:dyDescent="0.3">
      <c r="A1238" s="22" t="s">
        <v>7779</v>
      </c>
      <c r="B1238" s="22" t="s">
        <v>7793</v>
      </c>
      <c r="C1238" s="22" t="s">
        <v>7730</v>
      </c>
      <c r="D1238" s="22" t="s">
        <v>7710</v>
      </c>
      <c r="E1238" s="22" t="s">
        <v>8136</v>
      </c>
      <c r="F1238" s="24" t="s">
        <v>3944</v>
      </c>
      <c r="G1238" s="26" t="s">
        <v>8441</v>
      </c>
      <c r="H1238" s="22"/>
      <c r="I1238" s="22" t="s">
        <v>172</v>
      </c>
      <c r="J1238" s="22"/>
      <c r="K1238" s="24" t="s">
        <v>8137</v>
      </c>
      <c r="L1238" s="24" t="s">
        <v>8138</v>
      </c>
      <c r="M1238" s="25" t="s">
        <v>3945</v>
      </c>
      <c r="N1238" s="22"/>
      <c r="O1238" s="22" t="s">
        <v>8139</v>
      </c>
      <c r="P1238" s="22" t="str">
        <f>HYPERLINK("https://ceds.ed.gov/cedselementdetails.aspx?termid=22314")</f>
        <v>https://ceds.ed.gov/cedselementdetails.aspx?termid=22314</v>
      </c>
      <c r="Q1238" s="22">
        <v>61176</v>
      </c>
    </row>
    <row r="1239" spans="1:17" ht="144" x14ac:dyDescent="0.3">
      <c r="A1239" s="22" t="s">
        <v>7779</v>
      </c>
      <c r="B1239" s="22" t="s">
        <v>7793</v>
      </c>
      <c r="C1239" s="22" t="s">
        <v>7730</v>
      </c>
      <c r="D1239" s="22" t="s">
        <v>7710</v>
      </c>
      <c r="E1239" s="22" t="s">
        <v>8154</v>
      </c>
      <c r="F1239" s="24" t="s">
        <v>8155</v>
      </c>
      <c r="G1239" s="26" t="s">
        <v>8444</v>
      </c>
      <c r="H1239" s="22"/>
      <c r="I1239" s="22" t="s">
        <v>172</v>
      </c>
      <c r="J1239" s="22"/>
      <c r="K1239" s="24" t="s">
        <v>8137</v>
      </c>
      <c r="L1239" s="24" t="s">
        <v>8156</v>
      </c>
      <c r="M1239" s="25" t="s">
        <v>3946</v>
      </c>
      <c r="N1239" s="22"/>
      <c r="O1239" s="22" t="s">
        <v>8157</v>
      </c>
      <c r="P1239" s="22" t="str">
        <f>HYPERLINK("https://ceds.ed.gov/cedselementdetails.aspx?termid=22316")</f>
        <v>https://ceds.ed.gov/cedselementdetails.aspx?termid=22316</v>
      </c>
      <c r="Q1239" s="22">
        <v>61184</v>
      </c>
    </row>
    <row r="1240" spans="1:17" ht="43.2" x14ac:dyDescent="0.3">
      <c r="A1240" s="22" t="s">
        <v>7779</v>
      </c>
      <c r="B1240" s="22" t="s">
        <v>7793</v>
      </c>
      <c r="C1240" s="22" t="s">
        <v>7730</v>
      </c>
      <c r="D1240" s="22" t="s">
        <v>7710</v>
      </c>
      <c r="E1240" s="22" t="s">
        <v>3957</v>
      </c>
      <c r="F1240" s="24" t="s">
        <v>8160</v>
      </c>
      <c r="G1240" s="23" t="s">
        <v>32</v>
      </c>
      <c r="H1240" s="22"/>
      <c r="I1240" s="22" t="s">
        <v>172</v>
      </c>
      <c r="J1240" s="22" t="s">
        <v>85</v>
      </c>
      <c r="K1240" s="24" t="s">
        <v>8159</v>
      </c>
      <c r="L1240" s="24"/>
      <c r="M1240" s="25" t="s">
        <v>3958</v>
      </c>
      <c r="N1240" s="22"/>
      <c r="O1240" s="22" t="s">
        <v>3959</v>
      </c>
      <c r="P1240" s="22" t="str">
        <f>HYPERLINK("https://ceds.ed.gov/cedselementdetails.aspx?termid=22627")</f>
        <v>https://ceds.ed.gov/cedselementdetails.aspx?termid=22627</v>
      </c>
      <c r="Q1240" s="22">
        <v>62333</v>
      </c>
    </row>
    <row r="1241" spans="1:17" ht="43.2" x14ac:dyDescent="0.3">
      <c r="A1241" s="22" t="s">
        <v>7779</v>
      </c>
      <c r="B1241" s="22" t="s">
        <v>7793</v>
      </c>
      <c r="C1241" s="22" t="s">
        <v>7730</v>
      </c>
      <c r="D1241" s="22" t="s">
        <v>7710</v>
      </c>
      <c r="E1241" s="22" t="s">
        <v>3954</v>
      </c>
      <c r="F1241" s="24" t="s">
        <v>8158</v>
      </c>
      <c r="G1241" s="23" t="s">
        <v>32</v>
      </c>
      <c r="H1241" s="22"/>
      <c r="I1241" s="22" t="s">
        <v>172</v>
      </c>
      <c r="J1241" s="22" t="s">
        <v>780</v>
      </c>
      <c r="K1241" s="24" t="s">
        <v>8159</v>
      </c>
      <c r="L1241" s="24"/>
      <c r="M1241" s="25" t="s">
        <v>3955</v>
      </c>
      <c r="N1241" s="22"/>
      <c r="O1241" s="22" t="s">
        <v>3956</v>
      </c>
      <c r="P1241" s="22" t="str">
        <f>HYPERLINK("https://ceds.ed.gov/cedselementdetails.aspx?termid=22626")</f>
        <v>https://ceds.ed.gov/cedselementdetails.aspx?termid=22626</v>
      </c>
      <c r="Q1241" s="22">
        <v>62329</v>
      </c>
    </row>
    <row r="1242" spans="1:17" ht="72" x14ac:dyDescent="0.3">
      <c r="A1242" s="22" t="s">
        <v>7779</v>
      </c>
      <c r="B1242" s="22" t="s">
        <v>7793</v>
      </c>
      <c r="C1242" s="22" t="s">
        <v>7786</v>
      </c>
      <c r="D1242" s="22" t="s">
        <v>7710</v>
      </c>
      <c r="E1242" s="22" t="s">
        <v>3916</v>
      </c>
      <c r="F1242" s="24" t="s">
        <v>8121</v>
      </c>
      <c r="G1242" s="23" t="s">
        <v>32</v>
      </c>
      <c r="H1242" s="22" t="s">
        <v>226</v>
      </c>
      <c r="I1242" s="22" t="s">
        <v>172</v>
      </c>
      <c r="J1242" s="22" t="s">
        <v>3917</v>
      </c>
      <c r="K1242" s="24" t="s">
        <v>8122</v>
      </c>
      <c r="L1242" s="24"/>
      <c r="M1242" s="25" t="s">
        <v>3918</v>
      </c>
      <c r="N1242" s="22"/>
      <c r="O1242" s="22" t="s">
        <v>3919</v>
      </c>
      <c r="P1242" s="22" t="str">
        <f>HYPERLINK("https://ceds.ed.gov/cedselementdetails.aspx?termid=21538")</f>
        <v>https://ceds.ed.gov/cedselementdetails.aspx?termid=21538</v>
      </c>
      <c r="Q1242" s="22">
        <v>58982</v>
      </c>
    </row>
    <row r="1243" spans="1:17" ht="115.2" x14ac:dyDescent="0.3">
      <c r="A1243" s="22" t="s">
        <v>7779</v>
      </c>
      <c r="B1243" s="22" t="s">
        <v>7793</v>
      </c>
      <c r="C1243" s="22" t="s">
        <v>7786</v>
      </c>
      <c r="D1243" s="22" t="s">
        <v>7710</v>
      </c>
      <c r="E1243" s="22" t="s">
        <v>3920</v>
      </c>
      <c r="F1243" s="24" t="s">
        <v>3921</v>
      </c>
      <c r="G1243" s="23" t="s">
        <v>32</v>
      </c>
      <c r="H1243" s="22" t="s">
        <v>226</v>
      </c>
      <c r="I1243" s="22"/>
      <c r="J1243" s="22" t="s">
        <v>1518</v>
      </c>
      <c r="K1243" s="24"/>
      <c r="L1243" s="24"/>
      <c r="M1243" s="25" t="s">
        <v>3923</v>
      </c>
      <c r="N1243" s="22"/>
      <c r="O1243" s="22" t="s">
        <v>3924</v>
      </c>
      <c r="P1243" s="22" t="str">
        <f>HYPERLINK("https://ceds.ed.gov/cedselementdetails.aspx?termid=21540")</f>
        <v>https://ceds.ed.gov/cedselementdetails.aspx?termid=21540</v>
      </c>
      <c r="Q1243" s="22">
        <v>58984</v>
      </c>
    </row>
    <row r="1244" spans="1:17" ht="72" x14ac:dyDescent="0.3">
      <c r="A1244" s="22" t="s">
        <v>7779</v>
      </c>
      <c r="B1244" s="22" t="s">
        <v>7793</v>
      </c>
      <c r="C1244" s="22" t="s">
        <v>7786</v>
      </c>
      <c r="D1244" s="22" t="s">
        <v>7710</v>
      </c>
      <c r="E1244" s="22" t="s">
        <v>3925</v>
      </c>
      <c r="F1244" s="24" t="s">
        <v>3926</v>
      </c>
      <c r="G1244" s="26" t="s">
        <v>8894</v>
      </c>
      <c r="H1244" s="22"/>
      <c r="I1244" s="22"/>
      <c r="J1244" s="22"/>
      <c r="K1244" s="24"/>
      <c r="L1244" s="24"/>
      <c r="M1244" s="25" t="s">
        <v>3927</v>
      </c>
      <c r="N1244" s="22"/>
      <c r="O1244" s="22" t="s">
        <v>3928</v>
      </c>
      <c r="P1244" s="22" t="str">
        <f>HYPERLINK("https://ceds.ed.gov/cedselementdetails.aspx?termid=21539")</f>
        <v>https://ceds.ed.gov/cedselementdetails.aspx?termid=21539</v>
      </c>
      <c r="Q1244" s="22">
        <v>58983</v>
      </c>
    </row>
    <row r="1245" spans="1:17" ht="43.2" x14ac:dyDescent="0.3">
      <c r="A1245" s="22" t="s">
        <v>7779</v>
      </c>
      <c r="B1245" s="22" t="s">
        <v>7793</v>
      </c>
      <c r="C1245" s="22" t="s">
        <v>7786</v>
      </c>
      <c r="D1245" s="22" t="s">
        <v>7710</v>
      </c>
      <c r="E1245" s="22" t="s">
        <v>7000</v>
      </c>
      <c r="F1245" s="24" t="s">
        <v>7001</v>
      </c>
      <c r="G1245" s="26" t="s">
        <v>22</v>
      </c>
      <c r="H1245" s="22" t="s">
        <v>214</v>
      </c>
      <c r="I1245" s="22"/>
      <c r="J1245" s="22"/>
      <c r="K1245" s="24"/>
      <c r="L1245" s="24"/>
      <c r="M1245" s="25" t="s">
        <v>7002</v>
      </c>
      <c r="N1245" s="22"/>
      <c r="O1245" s="22" t="s">
        <v>7003</v>
      </c>
      <c r="P1245" s="22" t="str">
        <f>HYPERLINK("https://ceds.ed.gov/cedselementdetails.aspx?termid=21435")</f>
        <v>https://ceds.ed.gov/cedselementdetails.aspx?termid=21435</v>
      </c>
      <c r="Q1245" s="22">
        <v>58976</v>
      </c>
    </row>
    <row r="1246" spans="1:17" ht="43.2" x14ac:dyDescent="0.3">
      <c r="A1246" s="22" t="s">
        <v>7779</v>
      </c>
      <c r="B1246" s="22" t="s">
        <v>7793</v>
      </c>
      <c r="C1246" s="22" t="s">
        <v>7786</v>
      </c>
      <c r="D1246" s="22" t="s">
        <v>7710</v>
      </c>
      <c r="E1246" s="22" t="s">
        <v>3046</v>
      </c>
      <c r="F1246" s="24" t="s">
        <v>3047</v>
      </c>
      <c r="G1246" s="23" t="s">
        <v>32</v>
      </c>
      <c r="H1246" s="22" t="s">
        <v>214</v>
      </c>
      <c r="I1246" s="22"/>
      <c r="J1246" s="22" t="s">
        <v>118</v>
      </c>
      <c r="K1246" s="24"/>
      <c r="L1246" s="24"/>
      <c r="M1246" s="25" t="s">
        <v>3049</v>
      </c>
      <c r="N1246" s="22"/>
      <c r="O1246" s="22" t="s">
        <v>3050</v>
      </c>
      <c r="P1246" s="22" t="str">
        <f>HYPERLINK("https://ceds.ed.gov/cedselementdetails.aspx?termid=21445")</f>
        <v>https://ceds.ed.gov/cedselementdetails.aspx?termid=21445</v>
      </c>
      <c r="Q1246" s="22">
        <v>58977</v>
      </c>
    </row>
    <row r="1247" spans="1:17" ht="28.8" x14ac:dyDescent="0.3">
      <c r="A1247" s="22" t="s">
        <v>7779</v>
      </c>
      <c r="B1247" s="22" t="s">
        <v>7793</v>
      </c>
      <c r="C1247" s="22" t="s">
        <v>7786</v>
      </c>
      <c r="D1247" s="22" t="s">
        <v>7710</v>
      </c>
      <c r="E1247" s="22" t="s">
        <v>3051</v>
      </c>
      <c r="F1247" s="24" t="s">
        <v>3052</v>
      </c>
      <c r="G1247" s="23" t="s">
        <v>32</v>
      </c>
      <c r="H1247" s="22" t="s">
        <v>214</v>
      </c>
      <c r="I1247" s="22"/>
      <c r="J1247" s="22" t="s">
        <v>118</v>
      </c>
      <c r="K1247" s="24"/>
      <c r="L1247" s="24"/>
      <c r="M1247" s="25" t="s">
        <v>3053</v>
      </c>
      <c r="N1247" s="22"/>
      <c r="O1247" s="22" t="s">
        <v>3054</v>
      </c>
      <c r="P1247" s="22" t="str">
        <f>HYPERLINK("https://ceds.ed.gov/cedselementdetails.aspx?termid=21446")</f>
        <v>https://ceds.ed.gov/cedselementdetails.aspx?termid=21446</v>
      </c>
      <c r="Q1247" s="22">
        <v>58978</v>
      </c>
    </row>
    <row r="1248" spans="1:17" ht="72" x14ac:dyDescent="0.3">
      <c r="A1248" s="22" t="s">
        <v>7779</v>
      </c>
      <c r="B1248" s="22" t="s">
        <v>7793</v>
      </c>
      <c r="C1248" s="22" t="s">
        <v>7786</v>
      </c>
      <c r="D1248" s="22" t="s">
        <v>7710</v>
      </c>
      <c r="E1248" s="22" t="s">
        <v>5608</v>
      </c>
      <c r="F1248" s="24" t="s">
        <v>5609</v>
      </c>
      <c r="G1248" s="23" t="s">
        <v>32</v>
      </c>
      <c r="H1248" s="22" t="s">
        <v>214</v>
      </c>
      <c r="I1248" s="22"/>
      <c r="J1248" s="22" t="s">
        <v>1518</v>
      </c>
      <c r="K1248" s="24"/>
      <c r="L1248" s="24"/>
      <c r="M1248" s="25" t="s">
        <v>5610</v>
      </c>
      <c r="N1248" s="22"/>
      <c r="O1248" s="22" t="s">
        <v>5611</v>
      </c>
      <c r="P1248" s="22" t="str">
        <f>HYPERLINK("https://ceds.ed.gov/cedselementdetails.aspx?termid=21447")</f>
        <v>https://ceds.ed.gov/cedselementdetails.aspx?termid=21447</v>
      </c>
      <c r="Q1248" s="22">
        <v>58979</v>
      </c>
    </row>
    <row r="1249" spans="1:17" ht="158.4" x14ac:dyDescent="0.3">
      <c r="A1249" s="22" t="s">
        <v>7779</v>
      </c>
      <c r="B1249" s="22" t="s">
        <v>7794</v>
      </c>
      <c r="C1249" s="22" t="s">
        <v>7738</v>
      </c>
      <c r="D1249" s="22" t="s">
        <v>7710</v>
      </c>
      <c r="E1249" s="22" t="s">
        <v>4050</v>
      </c>
      <c r="F1249" s="24" t="s">
        <v>4051</v>
      </c>
      <c r="G1249" s="23" t="s">
        <v>32</v>
      </c>
      <c r="H1249" s="24" t="s">
        <v>4054</v>
      </c>
      <c r="I1249" s="22"/>
      <c r="J1249" s="22" t="s">
        <v>7536</v>
      </c>
      <c r="K1249" s="24"/>
      <c r="L1249" s="24" t="s">
        <v>8200</v>
      </c>
      <c r="M1249" s="25" t="s">
        <v>4052</v>
      </c>
      <c r="N1249" s="22"/>
      <c r="O1249" s="22" t="s">
        <v>4053</v>
      </c>
      <c r="P1249" s="22" t="str">
        <f>HYPERLINK("https://ceds.ed.gov/cedselementdetails.aspx?termid=21115")</f>
        <v>https://ceds.ed.gov/cedselementdetails.aspx?termid=21115</v>
      </c>
      <c r="Q1249" s="22">
        <v>59753</v>
      </c>
    </row>
    <row r="1250" spans="1:17" ht="158.4" x14ac:dyDescent="0.3">
      <c r="A1250" s="22" t="s">
        <v>7779</v>
      </c>
      <c r="B1250" s="22" t="s">
        <v>7794</v>
      </c>
      <c r="C1250" s="22" t="s">
        <v>7738</v>
      </c>
      <c r="D1250" s="22" t="s">
        <v>7710</v>
      </c>
      <c r="E1250" s="22" t="s">
        <v>5415</v>
      </c>
      <c r="F1250" s="24" t="s">
        <v>5416</v>
      </c>
      <c r="G1250" s="23" t="s">
        <v>32</v>
      </c>
      <c r="H1250" s="24" t="s">
        <v>4054</v>
      </c>
      <c r="I1250" s="22"/>
      <c r="J1250" s="22" t="s">
        <v>7536</v>
      </c>
      <c r="K1250" s="24"/>
      <c r="L1250" s="24" t="s">
        <v>8207</v>
      </c>
      <c r="M1250" s="25" t="s">
        <v>5417</v>
      </c>
      <c r="N1250" s="22"/>
      <c r="O1250" s="22" t="s">
        <v>5418</v>
      </c>
      <c r="P1250" s="22" t="str">
        <f>HYPERLINK("https://ceds.ed.gov/cedselementdetails.aspx?termid=21184")</f>
        <v>https://ceds.ed.gov/cedselementdetails.aspx?termid=21184</v>
      </c>
      <c r="Q1250" s="22">
        <v>59786</v>
      </c>
    </row>
    <row r="1251" spans="1:17" ht="158.4" x14ac:dyDescent="0.3">
      <c r="A1251" s="22" t="s">
        <v>7779</v>
      </c>
      <c r="B1251" s="22" t="s">
        <v>7794</v>
      </c>
      <c r="C1251" s="22" t="s">
        <v>7738</v>
      </c>
      <c r="D1251" s="22" t="s">
        <v>7710</v>
      </c>
      <c r="E1251" s="22" t="s">
        <v>4973</v>
      </c>
      <c r="F1251" s="24" t="s">
        <v>4974</v>
      </c>
      <c r="G1251" s="23" t="s">
        <v>32</v>
      </c>
      <c r="H1251" s="24" t="s">
        <v>4054</v>
      </c>
      <c r="I1251" s="22"/>
      <c r="J1251" s="22" t="s">
        <v>7536</v>
      </c>
      <c r="K1251" s="24"/>
      <c r="L1251" s="24" t="s">
        <v>8207</v>
      </c>
      <c r="M1251" s="25" t="s">
        <v>4975</v>
      </c>
      <c r="N1251" s="22" t="s">
        <v>4976</v>
      </c>
      <c r="O1251" s="22" t="s">
        <v>4977</v>
      </c>
      <c r="P1251" s="22" t="str">
        <f>HYPERLINK("https://ceds.ed.gov/cedselementdetails.aspx?termid=21172")</f>
        <v>https://ceds.ed.gov/cedselementdetails.aspx?termid=21172</v>
      </c>
      <c r="Q1251" s="22">
        <v>59781</v>
      </c>
    </row>
    <row r="1252" spans="1:17" ht="129.6" x14ac:dyDescent="0.3">
      <c r="A1252" s="22" t="s">
        <v>7779</v>
      </c>
      <c r="B1252" s="22" t="s">
        <v>7794</v>
      </c>
      <c r="C1252" s="22" t="s">
        <v>7738</v>
      </c>
      <c r="D1252" s="22" t="s">
        <v>7710</v>
      </c>
      <c r="E1252" s="22" t="s">
        <v>4114</v>
      </c>
      <c r="F1252" s="24" t="s">
        <v>4115</v>
      </c>
      <c r="G1252" s="23" t="s">
        <v>32</v>
      </c>
      <c r="H1252" s="24" t="s">
        <v>4119</v>
      </c>
      <c r="I1252" s="22"/>
      <c r="J1252" s="22" t="s">
        <v>2743</v>
      </c>
      <c r="K1252" s="24"/>
      <c r="L1252" s="24" t="s">
        <v>8207</v>
      </c>
      <c r="M1252" s="25" t="s">
        <v>4117</v>
      </c>
      <c r="N1252" s="22"/>
      <c r="O1252" s="22" t="s">
        <v>4118</v>
      </c>
      <c r="P1252" s="22" t="str">
        <f>HYPERLINK("https://ceds.ed.gov/cedselementdetails.aspx?termid=21121")</f>
        <v>https://ceds.ed.gov/cedselementdetails.aspx?termid=21121</v>
      </c>
      <c r="Q1252" s="22">
        <v>59755</v>
      </c>
    </row>
    <row r="1253" spans="1:17" ht="86.4" x14ac:dyDescent="0.3">
      <c r="A1253" s="22" t="s">
        <v>7779</v>
      </c>
      <c r="B1253" s="22" t="s">
        <v>7794</v>
      </c>
      <c r="C1253" s="22" t="s">
        <v>7738</v>
      </c>
      <c r="D1253" s="22" t="s">
        <v>7710</v>
      </c>
      <c r="E1253" s="22" t="s">
        <v>5860</v>
      </c>
      <c r="F1253" s="24" t="s">
        <v>5861</v>
      </c>
      <c r="G1253" s="23" t="s">
        <v>32</v>
      </c>
      <c r="H1253" s="24" t="s">
        <v>5865</v>
      </c>
      <c r="I1253" s="22"/>
      <c r="J1253" s="22" t="s">
        <v>85</v>
      </c>
      <c r="K1253" s="24"/>
      <c r="L1253" s="24"/>
      <c r="M1253" s="25" t="s">
        <v>5862</v>
      </c>
      <c r="N1253" s="22" t="s">
        <v>5863</v>
      </c>
      <c r="O1253" s="22" t="s">
        <v>5864</v>
      </c>
      <c r="P1253" s="22" t="str">
        <f>HYPERLINK("https://ceds.ed.gov/cedselementdetails.aspx?termid=21212")</f>
        <v>https://ceds.ed.gov/cedselementdetails.aspx?termid=21212</v>
      </c>
      <c r="Q1253" s="22">
        <v>59798</v>
      </c>
    </row>
    <row r="1254" spans="1:17" ht="28.8" x14ac:dyDescent="0.3">
      <c r="A1254" s="22" t="s">
        <v>7779</v>
      </c>
      <c r="B1254" s="22" t="s">
        <v>7794</v>
      </c>
      <c r="C1254" s="22" t="s">
        <v>7739</v>
      </c>
      <c r="D1254" s="22" t="s">
        <v>7710</v>
      </c>
      <c r="E1254" s="22" t="s">
        <v>5728</v>
      </c>
      <c r="F1254" s="24" t="s">
        <v>5729</v>
      </c>
      <c r="G1254" s="23" t="s">
        <v>32</v>
      </c>
      <c r="H1254" s="22"/>
      <c r="I1254" s="22"/>
      <c r="J1254" s="22" t="s">
        <v>1301</v>
      </c>
      <c r="K1254" s="24"/>
      <c r="L1254" s="24" t="s">
        <v>5730</v>
      </c>
      <c r="M1254" s="25" t="s">
        <v>5731</v>
      </c>
      <c r="N1254" s="22"/>
      <c r="O1254" s="22" t="s">
        <v>5732</v>
      </c>
      <c r="P1254" s="22" t="str">
        <f>HYPERLINK("https://ceds.ed.gov/cedselementdetails.aspx?termid=22486")</f>
        <v>https://ceds.ed.gov/cedselementdetails.aspx?termid=22486</v>
      </c>
      <c r="Q1254" s="22">
        <v>61630</v>
      </c>
    </row>
    <row r="1255" spans="1:17" ht="28.8" x14ac:dyDescent="0.3">
      <c r="A1255" s="22" t="s">
        <v>7779</v>
      </c>
      <c r="B1255" s="22" t="s">
        <v>7794</v>
      </c>
      <c r="C1255" s="22" t="s">
        <v>7739</v>
      </c>
      <c r="D1255" s="22" t="s">
        <v>7710</v>
      </c>
      <c r="E1255" s="22" t="s">
        <v>5738</v>
      </c>
      <c r="F1255" s="24" t="s">
        <v>5739</v>
      </c>
      <c r="G1255" s="23" t="s">
        <v>32</v>
      </c>
      <c r="H1255" s="22"/>
      <c r="I1255" s="22"/>
      <c r="J1255" s="22" t="s">
        <v>1301</v>
      </c>
      <c r="K1255" s="24"/>
      <c r="L1255" s="24" t="s">
        <v>5740</v>
      </c>
      <c r="M1255" s="25" t="s">
        <v>5741</v>
      </c>
      <c r="N1255" s="22"/>
      <c r="O1255" s="22" t="s">
        <v>5742</v>
      </c>
      <c r="P1255" s="22" t="str">
        <f>HYPERLINK("https://ceds.ed.gov/cedselementdetails.aspx?termid=22487")</f>
        <v>https://ceds.ed.gov/cedselementdetails.aspx?termid=22487</v>
      </c>
      <c r="Q1255" s="22">
        <v>61646</v>
      </c>
    </row>
    <row r="1256" spans="1:17" ht="28.8" x14ac:dyDescent="0.3">
      <c r="A1256" s="22" t="s">
        <v>7779</v>
      </c>
      <c r="B1256" s="22" t="s">
        <v>7794</v>
      </c>
      <c r="C1256" s="22" t="s">
        <v>7739</v>
      </c>
      <c r="D1256" s="22" t="s">
        <v>7710</v>
      </c>
      <c r="E1256" s="22" t="s">
        <v>5733</v>
      </c>
      <c r="F1256" s="24" t="s">
        <v>5734</v>
      </c>
      <c r="G1256" s="23" t="s">
        <v>32</v>
      </c>
      <c r="H1256" s="22"/>
      <c r="I1256" s="22"/>
      <c r="J1256" s="22" t="s">
        <v>1301</v>
      </c>
      <c r="K1256" s="24"/>
      <c r="L1256" s="24" t="s">
        <v>5735</v>
      </c>
      <c r="M1256" s="25" t="s">
        <v>5736</v>
      </c>
      <c r="N1256" s="22"/>
      <c r="O1256" s="22" t="s">
        <v>5737</v>
      </c>
      <c r="P1256" s="22" t="str">
        <f>HYPERLINK("https://ceds.ed.gov/cedselementdetails.aspx?termid=22485")</f>
        <v>https://ceds.ed.gov/cedselementdetails.aspx?termid=22485</v>
      </c>
      <c r="Q1256" s="22">
        <v>61614</v>
      </c>
    </row>
    <row r="1257" spans="1:17" ht="129.6" x14ac:dyDescent="0.3">
      <c r="A1257" s="22" t="s">
        <v>7779</v>
      </c>
      <c r="B1257" s="22" t="s">
        <v>7794</v>
      </c>
      <c r="C1257" s="22" t="s">
        <v>7739</v>
      </c>
      <c r="D1257" s="22" t="s">
        <v>7710</v>
      </c>
      <c r="E1257" s="22" t="s">
        <v>5743</v>
      </c>
      <c r="F1257" s="24" t="s">
        <v>5744</v>
      </c>
      <c r="G1257" s="23" t="s">
        <v>32</v>
      </c>
      <c r="H1257" s="24" t="s">
        <v>4119</v>
      </c>
      <c r="I1257" s="22"/>
      <c r="J1257" s="22" t="s">
        <v>132</v>
      </c>
      <c r="K1257" s="24"/>
      <c r="L1257" s="24"/>
      <c r="M1257" s="25" t="s">
        <v>5745</v>
      </c>
      <c r="N1257" s="22"/>
      <c r="O1257" s="22" t="s">
        <v>5746</v>
      </c>
      <c r="P1257" s="22" t="str">
        <f>HYPERLINK("https://ceds.ed.gov/cedselementdetails.aspx?termid=21206")</f>
        <v>https://ceds.ed.gov/cedselementdetails.aspx?termid=21206</v>
      </c>
      <c r="Q1257" s="22">
        <v>59797</v>
      </c>
    </row>
    <row r="1258" spans="1:17" ht="115.2" x14ac:dyDescent="0.3">
      <c r="A1258" s="22" t="s">
        <v>7779</v>
      </c>
      <c r="B1258" s="22" t="s">
        <v>7794</v>
      </c>
      <c r="C1258" s="22" t="s">
        <v>7739</v>
      </c>
      <c r="D1258" s="22" t="s">
        <v>7710</v>
      </c>
      <c r="E1258" s="22" t="s">
        <v>5747</v>
      </c>
      <c r="F1258" s="24" t="s">
        <v>5748</v>
      </c>
      <c r="G1258" s="26" t="s">
        <v>9055</v>
      </c>
      <c r="H1258" s="24" t="s">
        <v>5751</v>
      </c>
      <c r="I1258" s="22"/>
      <c r="J1258" s="22" t="s">
        <v>85</v>
      </c>
      <c r="K1258" s="24"/>
      <c r="L1258" s="24"/>
      <c r="M1258" s="25" t="s">
        <v>5749</v>
      </c>
      <c r="N1258" s="22"/>
      <c r="O1258" s="22" t="s">
        <v>5750</v>
      </c>
      <c r="P1258" s="22" t="str">
        <f>HYPERLINK("https://ceds.ed.gov/cedselementdetails.aspx?termid=21627")</f>
        <v>https://ceds.ed.gov/cedselementdetails.aspx?termid=21627</v>
      </c>
      <c r="Q1258" s="22">
        <v>59902</v>
      </c>
    </row>
    <row r="1259" spans="1:17" ht="172.8" x14ac:dyDescent="0.3">
      <c r="A1259" s="22" t="s">
        <v>7779</v>
      </c>
      <c r="B1259" s="22" t="s">
        <v>7794</v>
      </c>
      <c r="C1259" s="22" t="s">
        <v>7740</v>
      </c>
      <c r="D1259" s="22" t="s">
        <v>7710</v>
      </c>
      <c r="E1259" s="22" t="s">
        <v>7040</v>
      </c>
      <c r="F1259" s="24" t="s">
        <v>7041</v>
      </c>
      <c r="G1259" s="23" t="s">
        <v>32</v>
      </c>
      <c r="H1259" s="24" t="s">
        <v>7039</v>
      </c>
      <c r="I1259" s="22" t="s">
        <v>172</v>
      </c>
      <c r="J1259" s="22" t="s">
        <v>132</v>
      </c>
      <c r="K1259" s="24" t="s">
        <v>7946</v>
      </c>
      <c r="L1259" s="24" t="s">
        <v>7945</v>
      </c>
      <c r="M1259" s="25" t="s">
        <v>7042</v>
      </c>
      <c r="N1259" s="22"/>
      <c r="O1259" s="22" t="s">
        <v>7043</v>
      </c>
      <c r="P1259" s="22" t="str">
        <f>HYPERLINK("https://ceds.ed.gov/cedselementdetails.aspx?termid=21157")</f>
        <v>https://ceds.ed.gov/cedselementdetails.aspx?termid=21157</v>
      </c>
      <c r="Q1259" s="22">
        <v>59775</v>
      </c>
    </row>
    <row r="1260" spans="1:17" ht="144" x14ac:dyDescent="0.3">
      <c r="A1260" s="22" t="s">
        <v>7779</v>
      </c>
      <c r="B1260" s="22" t="s">
        <v>7794</v>
      </c>
      <c r="C1260" s="22" t="s">
        <v>7740</v>
      </c>
      <c r="D1260" s="22" t="s">
        <v>7710</v>
      </c>
      <c r="E1260" s="22" t="s">
        <v>7035</v>
      </c>
      <c r="F1260" s="24" t="s">
        <v>7036</v>
      </c>
      <c r="G1260" s="26" t="s">
        <v>8540</v>
      </c>
      <c r="H1260" s="24" t="s">
        <v>7039</v>
      </c>
      <c r="I1260" s="22" t="s">
        <v>172</v>
      </c>
      <c r="J1260" s="22"/>
      <c r="K1260" s="24" t="s">
        <v>7946</v>
      </c>
      <c r="L1260" s="24"/>
      <c r="M1260" s="25" t="s">
        <v>7037</v>
      </c>
      <c r="N1260" s="22"/>
      <c r="O1260" s="22" t="s">
        <v>7038</v>
      </c>
      <c r="P1260" s="22" t="str">
        <f>HYPERLINK("https://ceds.ed.gov/cedselementdetails.aspx?termid=21163")</f>
        <v>https://ceds.ed.gov/cedselementdetails.aspx?termid=21163</v>
      </c>
      <c r="Q1260" s="22">
        <v>59779</v>
      </c>
    </row>
    <row r="1261" spans="1:17" ht="403.2" x14ac:dyDescent="0.3">
      <c r="A1261" s="22" t="s">
        <v>7779</v>
      </c>
      <c r="B1261" s="22" t="s">
        <v>7794</v>
      </c>
      <c r="C1261" s="22" t="s">
        <v>7740</v>
      </c>
      <c r="D1261" s="22" t="s">
        <v>7710</v>
      </c>
      <c r="E1261" s="22" t="s">
        <v>5856</v>
      </c>
      <c r="F1261" s="24" t="s">
        <v>5857</v>
      </c>
      <c r="G1261" s="26" t="s">
        <v>8498</v>
      </c>
      <c r="H1261" s="22"/>
      <c r="I1261" s="22" t="s">
        <v>172</v>
      </c>
      <c r="J1261" s="22"/>
      <c r="K1261" s="24" t="s">
        <v>7946</v>
      </c>
      <c r="L1261" s="24"/>
      <c r="M1261" s="25" t="s">
        <v>5858</v>
      </c>
      <c r="N1261" s="22"/>
      <c r="O1261" s="22" t="s">
        <v>5859</v>
      </c>
      <c r="P1261" s="22" t="str">
        <f>HYPERLINK("https://ceds.ed.gov/cedselementdetails.aspx?termid=21611")</f>
        <v>https://ceds.ed.gov/cedselementdetails.aspx?termid=21611</v>
      </c>
      <c r="Q1261" s="22">
        <v>59901</v>
      </c>
    </row>
    <row r="1262" spans="1:17" ht="72" x14ac:dyDescent="0.3">
      <c r="A1262" s="22" t="s">
        <v>7779</v>
      </c>
      <c r="B1262" s="22" t="s">
        <v>7794</v>
      </c>
      <c r="C1262" s="22" t="s">
        <v>7740</v>
      </c>
      <c r="D1262" s="22" t="s">
        <v>7710</v>
      </c>
      <c r="E1262" s="22" t="s">
        <v>7621</v>
      </c>
      <c r="F1262" s="24" t="s">
        <v>7622</v>
      </c>
      <c r="G1262" s="26" t="s">
        <v>8496</v>
      </c>
      <c r="H1262" s="22"/>
      <c r="I1262" s="22" t="s">
        <v>172</v>
      </c>
      <c r="J1262" s="22"/>
      <c r="K1262" s="24" t="s">
        <v>7946</v>
      </c>
      <c r="L1262" s="24"/>
      <c r="M1262" s="25" t="s">
        <v>7623</v>
      </c>
      <c r="N1262" s="22"/>
      <c r="O1262" s="22" t="s">
        <v>7624</v>
      </c>
      <c r="P1262" s="22" t="str">
        <f>HYPERLINK("https://ceds.ed.gov/cedselementdetails.aspx?termid=22951")</f>
        <v>https://ceds.ed.gov/cedselementdetails.aspx?termid=22951</v>
      </c>
      <c r="Q1262" s="22">
        <v>63570</v>
      </c>
    </row>
    <row r="1263" spans="1:17" ht="172.8" x14ac:dyDescent="0.3">
      <c r="A1263" s="22" t="s">
        <v>7779</v>
      </c>
      <c r="B1263" s="22" t="s">
        <v>7794</v>
      </c>
      <c r="C1263" s="22" t="s">
        <v>7716</v>
      </c>
      <c r="D1263" s="22" t="s">
        <v>7710</v>
      </c>
      <c r="E1263" s="22" t="s">
        <v>194</v>
      </c>
      <c r="F1263" s="24" t="s">
        <v>195</v>
      </c>
      <c r="G1263" s="26" t="s">
        <v>8575</v>
      </c>
      <c r="H1263" s="24" t="s">
        <v>198</v>
      </c>
      <c r="I1263" s="22"/>
      <c r="J1263" s="22" t="s">
        <v>85</v>
      </c>
      <c r="K1263" s="24"/>
      <c r="L1263" s="24"/>
      <c r="M1263" s="25" t="s">
        <v>196</v>
      </c>
      <c r="N1263" s="22"/>
      <c r="O1263" s="22" t="s">
        <v>197</v>
      </c>
      <c r="P1263" s="22" t="str">
        <f>HYPERLINK("https://ceds.ed.gov/cedselementdetails.aspx?termid=21358")</f>
        <v>https://ceds.ed.gov/cedselementdetails.aspx?termid=21358</v>
      </c>
      <c r="Q1263" s="22">
        <v>59831</v>
      </c>
    </row>
    <row r="1264" spans="1:17" ht="187.2" x14ac:dyDescent="0.3">
      <c r="A1264" s="22" t="s">
        <v>7779</v>
      </c>
      <c r="B1264" s="22" t="s">
        <v>7794</v>
      </c>
      <c r="C1264" s="22" t="s">
        <v>7716</v>
      </c>
      <c r="D1264" s="22" t="s">
        <v>7710</v>
      </c>
      <c r="E1264" s="22" t="s">
        <v>189</v>
      </c>
      <c r="F1264" s="24" t="s">
        <v>190</v>
      </c>
      <c r="G1264" s="23" t="s">
        <v>32</v>
      </c>
      <c r="H1264" s="24" t="s">
        <v>175</v>
      </c>
      <c r="I1264" s="22" t="s">
        <v>172</v>
      </c>
      <c r="J1264" s="22" t="s">
        <v>191</v>
      </c>
      <c r="K1264" s="24" t="s">
        <v>7946</v>
      </c>
      <c r="L1264" s="24"/>
      <c r="M1264" s="25" t="s">
        <v>192</v>
      </c>
      <c r="N1264" s="22"/>
      <c r="O1264" s="22" t="s">
        <v>193</v>
      </c>
      <c r="P1264" s="22" t="str">
        <f>HYPERLINK("https://ceds.ed.gov/cedselementdetails.aspx?termid=21269")</f>
        <v>https://ceds.ed.gov/cedselementdetails.aspx?termid=21269</v>
      </c>
      <c r="Q1264" s="22">
        <v>59815</v>
      </c>
    </row>
    <row r="1265" spans="1:17" ht="187.2" x14ac:dyDescent="0.3">
      <c r="A1265" s="22" t="s">
        <v>7779</v>
      </c>
      <c r="B1265" s="22" t="s">
        <v>7794</v>
      </c>
      <c r="C1265" s="22" t="s">
        <v>7716</v>
      </c>
      <c r="D1265" s="22" t="s">
        <v>7710</v>
      </c>
      <c r="E1265" s="22" t="s">
        <v>170</v>
      </c>
      <c r="F1265" s="24" t="s">
        <v>171</v>
      </c>
      <c r="G1265" s="23" t="s">
        <v>32</v>
      </c>
      <c r="H1265" s="24" t="s">
        <v>175</v>
      </c>
      <c r="I1265" s="22" t="s">
        <v>172</v>
      </c>
      <c r="J1265" s="22" t="s">
        <v>157</v>
      </c>
      <c r="K1265" s="24" t="s">
        <v>7946</v>
      </c>
      <c r="L1265" s="24"/>
      <c r="M1265" s="25" t="s">
        <v>173</v>
      </c>
      <c r="N1265" s="22"/>
      <c r="O1265" s="22" t="s">
        <v>174</v>
      </c>
      <c r="P1265" s="22" t="str">
        <f>HYPERLINK("https://ceds.ed.gov/cedselementdetails.aspx?termid=21019")</f>
        <v>https://ceds.ed.gov/cedselementdetails.aspx?termid=21019</v>
      </c>
      <c r="Q1265" s="22">
        <v>58993</v>
      </c>
    </row>
    <row r="1266" spans="1:17" ht="187.2" x14ac:dyDescent="0.3">
      <c r="A1266" s="22" t="s">
        <v>7779</v>
      </c>
      <c r="B1266" s="22" t="s">
        <v>7794</v>
      </c>
      <c r="C1266" s="22" t="s">
        <v>7716</v>
      </c>
      <c r="D1266" s="22" t="s">
        <v>7710</v>
      </c>
      <c r="E1266" s="22" t="s">
        <v>176</v>
      </c>
      <c r="F1266" s="24" t="s">
        <v>177</v>
      </c>
      <c r="G1266" s="23" t="s">
        <v>32</v>
      </c>
      <c r="H1266" s="24" t="s">
        <v>175</v>
      </c>
      <c r="I1266" s="22" t="s">
        <v>172</v>
      </c>
      <c r="J1266" s="22" t="s">
        <v>85</v>
      </c>
      <c r="K1266" s="24" t="s">
        <v>7946</v>
      </c>
      <c r="L1266" s="24"/>
      <c r="M1266" s="25" t="s">
        <v>178</v>
      </c>
      <c r="N1266" s="22"/>
      <c r="O1266" s="22" t="s">
        <v>179</v>
      </c>
      <c r="P1266" s="22" t="str">
        <f>HYPERLINK("https://ceds.ed.gov/cedselementdetails.aspx?termid=21040")</f>
        <v>https://ceds.ed.gov/cedselementdetails.aspx?termid=21040</v>
      </c>
      <c r="Q1266" s="22">
        <v>58997</v>
      </c>
    </row>
    <row r="1267" spans="1:17" ht="409.6" x14ac:dyDescent="0.3">
      <c r="A1267" s="22" t="s">
        <v>7779</v>
      </c>
      <c r="B1267" s="22" t="s">
        <v>7794</v>
      </c>
      <c r="C1267" s="22" t="s">
        <v>7716</v>
      </c>
      <c r="D1267" s="22" t="s">
        <v>7710</v>
      </c>
      <c r="E1267" s="22" t="s">
        <v>6941</v>
      </c>
      <c r="F1267" s="24" t="s">
        <v>6942</v>
      </c>
      <c r="G1267" s="26" t="s">
        <v>8533</v>
      </c>
      <c r="H1267" s="24" t="s">
        <v>6945</v>
      </c>
      <c r="I1267" s="22" t="s">
        <v>172</v>
      </c>
      <c r="J1267" s="22"/>
      <c r="K1267" s="24" t="s">
        <v>8327</v>
      </c>
      <c r="L1267" s="24"/>
      <c r="M1267" s="25" t="s">
        <v>6943</v>
      </c>
      <c r="N1267" s="22"/>
      <c r="O1267" s="22" t="s">
        <v>6944</v>
      </c>
      <c r="P1267" s="22" t="str">
        <f>HYPERLINK("https://ceds.ed.gov/cedselementdetails.aspx?termid=21267")</f>
        <v>https://ceds.ed.gov/cedselementdetails.aspx?termid=21267</v>
      </c>
      <c r="Q1267" s="22">
        <v>59814</v>
      </c>
    </row>
    <row r="1268" spans="1:17" ht="187.2" x14ac:dyDescent="0.3">
      <c r="A1268" s="22" t="s">
        <v>7779</v>
      </c>
      <c r="B1268" s="22" t="s">
        <v>7794</v>
      </c>
      <c r="C1268" s="22" t="s">
        <v>7716</v>
      </c>
      <c r="D1268" s="22" t="s">
        <v>7710</v>
      </c>
      <c r="E1268" s="22" t="s">
        <v>184</v>
      </c>
      <c r="F1268" s="24" t="s">
        <v>185</v>
      </c>
      <c r="G1268" s="23" t="s">
        <v>32</v>
      </c>
      <c r="H1268" s="24" t="s">
        <v>175</v>
      </c>
      <c r="I1268" s="22" t="s">
        <v>172</v>
      </c>
      <c r="J1268" s="22" t="s">
        <v>186</v>
      </c>
      <c r="K1268" s="24" t="s">
        <v>7946</v>
      </c>
      <c r="L1268" s="24"/>
      <c r="M1268" s="25" t="s">
        <v>187</v>
      </c>
      <c r="N1268" s="22"/>
      <c r="O1268" s="22" t="s">
        <v>188</v>
      </c>
      <c r="P1268" s="22" t="str">
        <f>HYPERLINK("https://ceds.ed.gov/cedselementdetails.aspx?termid=21214")</f>
        <v>https://ceds.ed.gov/cedselementdetails.aspx?termid=21214</v>
      </c>
      <c r="Q1268" s="22">
        <v>59799</v>
      </c>
    </row>
    <row r="1269" spans="1:17" ht="187.2" x14ac:dyDescent="0.3">
      <c r="A1269" s="22" t="s">
        <v>7779</v>
      </c>
      <c r="B1269" s="22" t="s">
        <v>7794</v>
      </c>
      <c r="C1269" s="22" t="s">
        <v>7716</v>
      </c>
      <c r="D1269" s="22" t="s">
        <v>7710</v>
      </c>
      <c r="E1269" s="22" t="s">
        <v>180</v>
      </c>
      <c r="F1269" s="24" t="s">
        <v>181</v>
      </c>
      <c r="G1269" s="23" t="s">
        <v>32</v>
      </c>
      <c r="H1269" s="24" t="s">
        <v>175</v>
      </c>
      <c r="I1269" s="22" t="s">
        <v>172</v>
      </c>
      <c r="J1269" s="22" t="s">
        <v>85</v>
      </c>
      <c r="K1269" s="24" t="s">
        <v>7946</v>
      </c>
      <c r="L1269" s="24"/>
      <c r="M1269" s="25" t="s">
        <v>182</v>
      </c>
      <c r="N1269" s="22"/>
      <c r="O1269" s="22" t="s">
        <v>183</v>
      </c>
      <c r="P1269" s="22" t="str">
        <f>HYPERLINK("https://ceds.ed.gov/cedselementdetails.aspx?termid=21190")</f>
        <v>https://ceds.ed.gov/cedselementdetails.aspx?termid=21190</v>
      </c>
      <c r="Q1269" s="22">
        <v>59790</v>
      </c>
    </row>
    <row r="1270" spans="1:17" ht="409.6" x14ac:dyDescent="0.3">
      <c r="A1270" s="22" t="s">
        <v>7779</v>
      </c>
      <c r="B1270" s="22" t="s">
        <v>7794</v>
      </c>
      <c r="C1270" s="22" t="s">
        <v>7716</v>
      </c>
      <c r="D1270" s="22" t="s">
        <v>7710</v>
      </c>
      <c r="E1270" s="22" t="s">
        <v>2526</v>
      </c>
      <c r="F1270" s="24" t="s">
        <v>2527</v>
      </c>
      <c r="G1270" s="26" t="s">
        <v>8743</v>
      </c>
      <c r="H1270" s="24" t="s">
        <v>2530</v>
      </c>
      <c r="I1270" s="22"/>
      <c r="J1270" s="22"/>
      <c r="K1270" s="24"/>
      <c r="L1270" s="24" t="s">
        <v>8055</v>
      </c>
      <c r="M1270" s="25" t="s">
        <v>2528</v>
      </c>
      <c r="N1270" s="22"/>
      <c r="O1270" s="22" t="s">
        <v>2529</v>
      </c>
      <c r="P1270" s="22" t="str">
        <f>HYPERLINK("https://ceds.ed.gov/cedselementdetails.aspx?termid=21050")</f>
        <v>https://ceds.ed.gov/cedselementdetails.aspx?termid=21050</v>
      </c>
      <c r="Q1270" s="22">
        <v>59001</v>
      </c>
    </row>
    <row r="1271" spans="1:17" ht="57.6" x14ac:dyDescent="0.3">
      <c r="A1271" s="22" t="s">
        <v>7779</v>
      </c>
      <c r="B1271" s="22" t="s">
        <v>7794</v>
      </c>
      <c r="C1271" s="22" t="s">
        <v>7716</v>
      </c>
      <c r="D1271" s="22" t="s">
        <v>7710</v>
      </c>
      <c r="E1271" s="22" t="s">
        <v>4982</v>
      </c>
      <c r="F1271" s="24" t="s">
        <v>4983</v>
      </c>
      <c r="G1271" s="23" t="s">
        <v>32</v>
      </c>
      <c r="H1271" s="22"/>
      <c r="I1271" s="22"/>
      <c r="J1271" s="22" t="s">
        <v>1165</v>
      </c>
      <c r="K1271" s="24"/>
      <c r="L1271" s="24"/>
      <c r="M1271" s="25" t="s">
        <v>4984</v>
      </c>
      <c r="N1271" s="22"/>
      <c r="O1271" s="22" t="s">
        <v>4982</v>
      </c>
      <c r="P1271" s="22" t="str">
        <f>HYPERLINK("https://ceds.ed.gov/cedselementdetails.aspx?termid=21599")</f>
        <v>https://ceds.ed.gov/cedselementdetails.aspx?termid=21599</v>
      </c>
      <c r="Q1271" s="22">
        <v>62253</v>
      </c>
    </row>
    <row r="1272" spans="1:17" ht="57.6" x14ac:dyDescent="0.3">
      <c r="A1272" s="22" t="s">
        <v>7779</v>
      </c>
      <c r="B1272" s="22" t="s">
        <v>7794</v>
      </c>
      <c r="C1272" s="22" t="s">
        <v>7716</v>
      </c>
      <c r="D1272" s="22" t="s">
        <v>7710</v>
      </c>
      <c r="E1272" s="22" t="s">
        <v>5372</v>
      </c>
      <c r="F1272" s="24" t="s">
        <v>5373</v>
      </c>
      <c r="G1272" s="23" t="s">
        <v>32</v>
      </c>
      <c r="H1272" s="22"/>
      <c r="I1272" s="22"/>
      <c r="J1272" s="22" t="s">
        <v>1165</v>
      </c>
      <c r="K1272" s="24"/>
      <c r="L1272" s="24"/>
      <c r="M1272" s="25" t="s">
        <v>5374</v>
      </c>
      <c r="N1272" s="22"/>
      <c r="O1272" s="22" t="s">
        <v>5372</v>
      </c>
      <c r="P1272" s="22" t="str">
        <f>HYPERLINK("https://ceds.ed.gov/cedselementdetails.aspx?termid=21600")</f>
        <v>https://ceds.ed.gov/cedselementdetails.aspx?termid=21600</v>
      </c>
      <c r="Q1272" s="22">
        <v>62276</v>
      </c>
    </row>
    <row r="1273" spans="1:17" ht="158.4" x14ac:dyDescent="0.3">
      <c r="A1273" s="22" t="s">
        <v>7779</v>
      </c>
      <c r="B1273" s="22" t="s">
        <v>7794</v>
      </c>
      <c r="C1273" s="22" t="s">
        <v>7716</v>
      </c>
      <c r="D1273" s="22" t="s">
        <v>7710</v>
      </c>
      <c r="E1273" s="22" t="s">
        <v>2536</v>
      </c>
      <c r="F1273" s="24" t="s">
        <v>2537</v>
      </c>
      <c r="G1273" s="23" t="s">
        <v>32</v>
      </c>
      <c r="H1273" s="22"/>
      <c r="I1273" s="22"/>
      <c r="J1273" s="22" t="s">
        <v>2538</v>
      </c>
      <c r="K1273" s="24"/>
      <c r="L1273" s="24"/>
      <c r="M1273" s="25" t="s">
        <v>2539</v>
      </c>
      <c r="N1273" s="22"/>
      <c r="O1273" s="22" t="s">
        <v>2540</v>
      </c>
      <c r="P1273" s="22" t="str">
        <f>HYPERLINK("https://ceds.ed.gov/cedselementdetails.aspx?termid=22176")</f>
        <v>https://ceds.ed.gov/cedselementdetails.aspx?termid=22176</v>
      </c>
      <c r="Q1273" s="22">
        <v>63340</v>
      </c>
    </row>
    <row r="1274" spans="1:17" ht="57.6" x14ac:dyDescent="0.3">
      <c r="A1274" s="22" t="s">
        <v>7779</v>
      </c>
      <c r="B1274" s="22" t="s">
        <v>7794</v>
      </c>
      <c r="C1274" s="22" t="s">
        <v>7716</v>
      </c>
      <c r="D1274" s="22" t="s">
        <v>7710</v>
      </c>
      <c r="E1274" s="22" t="s">
        <v>3228</v>
      </c>
      <c r="F1274" s="24" t="s">
        <v>3229</v>
      </c>
      <c r="G1274" s="26" t="s">
        <v>3039</v>
      </c>
      <c r="H1274" s="22"/>
      <c r="I1274" s="22" t="s">
        <v>172</v>
      </c>
      <c r="J1274" s="22"/>
      <c r="K1274" s="24" t="s">
        <v>7946</v>
      </c>
      <c r="L1274" s="24"/>
      <c r="M1274" s="25" t="s">
        <v>3230</v>
      </c>
      <c r="N1274" s="22"/>
      <c r="O1274" s="22" t="s">
        <v>3231</v>
      </c>
      <c r="P1274" s="22" t="str">
        <f>HYPERLINK("https://ceds.ed.gov/cedselementdetails.aspx?termid=22905")</f>
        <v>https://ceds.ed.gov/cedselementdetails.aspx?termid=22905</v>
      </c>
      <c r="Q1274" s="22">
        <v>63341</v>
      </c>
    </row>
    <row r="1275" spans="1:17" ht="72" x14ac:dyDescent="0.3">
      <c r="A1275" s="22" t="s">
        <v>7779</v>
      </c>
      <c r="B1275" s="22" t="s">
        <v>7794</v>
      </c>
      <c r="C1275" s="22" t="s">
        <v>7717</v>
      </c>
      <c r="D1275" s="22" t="s">
        <v>7710</v>
      </c>
      <c r="E1275" s="22" t="s">
        <v>7159</v>
      </c>
      <c r="F1275" s="24" t="s">
        <v>7160</v>
      </c>
      <c r="G1275" s="23" t="s">
        <v>32</v>
      </c>
      <c r="H1275" s="24" t="s">
        <v>64</v>
      </c>
      <c r="I1275" s="22"/>
      <c r="J1275" s="22" t="s">
        <v>7161</v>
      </c>
      <c r="K1275" s="24"/>
      <c r="L1275" s="24"/>
      <c r="M1275" s="25" t="s">
        <v>7162</v>
      </c>
      <c r="N1275" s="22"/>
      <c r="O1275" s="22" t="s">
        <v>7163</v>
      </c>
      <c r="P1275" s="22" t="str">
        <f>HYPERLINK("https://ceds.ed.gov/cedselementdetails.aspx?termid=21279")</f>
        <v>https://ceds.ed.gov/cedselementdetails.aspx?termid=21279</v>
      </c>
      <c r="Q1275" s="22">
        <v>59819</v>
      </c>
    </row>
    <row r="1276" spans="1:17" ht="86.4" x14ac:dyDescent="0.3">
      <c r="A1276" s="22" t="s">
        <v>7779</v>
      </c>
      <c r="B1276" s="22" t="s">
        <v>7794</v>
      </c>
      <c r="C1276" s="22" t="s">
        <v>7717</v>
      </c>
      <c r="D1276" s="22" t="s">
        <v>7710</v>
      </c>
      <c r="E1276" s="22" t="s">
        <v>7168</v>
      </c>
      <c r="F1276" s="24" t="s">
        <v>7169</v>
      </c>
      <c r="G1276" s="26" t="s">
        <v>9168</v>
      </c>
      <c r="H1276" s="24" t="s">
        <v>64</v>
      </c>
      <c r="I1276" s="22"/>
      <c r="J1276" s="22" t="s">
        <v>2543</v>
      </c>
      <c r="K1276" s="24"/>
      <c r="L1276" s="24"/>
      <c r="M1276" s="25" t="s">
        <v>7170</v>
      </c>
      <c r="N1276" s="22"/>
      <c r="O1276" s="22" t="s">
        <v>7171</v>
      </c>
      <c r="P1276" s="22" t="str">
        <f>HYPERLINK("https://ceds.ed.gov/cedselementdetails.aspx?termid=21280")</f>
        <v>https://ceds.ed.gov/cedselementdetails.aspx?termid=21280</v>
      </c>
      <c r="Q1276" s="22">
        <v>59820</v>
      </c>
    </row>
    <row r="1277" spans="1:17" ht="72" x14ac:dyDescent="0.3">
      <c r="A1277" s="22" t="s">
        <v>7779</v>
      </c>
      <c r="B1277" s="22" t="s">
        <v>7794</v>
      </c>
      <c r="C1277" s="22" t="s">
        <v>7717</v>
      </c>
      <c r="D1277" s="22" t="s">
        <v>7710</v>
      </c>
      <c r="E1277" s="22" t="s">
        <v>5965</v>
      </c>
      <c r="F1277" s="24" t="s">
        <v>5966</v>
      </c>
      <c r="G1277" s="26" t="s">
        <v>22</v>
      </c>
      <c r="H1277" s="24" t="s">
        <v>64</v>
      </c>
      <c r="I1277" s="22"/>
      <c r="J1277" s="22"/>
      <c r="K1277" s="24"/>
      <c r="L1277" s="24"/>
      <c r="M1277" s="25" t="s">
        <v>5967</v>
      </c>
      <c r="N1277" s="22"/>
      <c r="O1277" s="22" t="s">
        <v>5968</v>
      </c>
      <c r="P1277" s="22" t="str">
        <f>HYPERLINK("https://ceds.ed.gov/cedselementdetails.aspx?termid=21219")</f>
        <v>https://ceds.ed.gov/cedselementdetails.aspx?termid=21219</v>
      </c>
      <c r="Q1277" s="22">
        <v>59801</v>
      </c>
    </row>
    <row r="1278" spans="1:17" ht="57.6" x14ac:dyDescent="0.3">
      <c r="A1278" s="22" t="s">
        <v>7779</v>
      </c>
      <c r="B1278" s="22" t="s">
        <v>7794</v>
      </c>
      <c r="C1278" s="22" t="s">
        <v>7717</v>
      </c>
      <c r="D1278" s="22" t="s">
        <v>7710</v>
      </c>
      <c r="E1278" s="22" t="s">
        <v>3228</v>
      </c>
      <c r="F1278" s="24" t="s">
        <v>3229</v>
      </c>
      <c r="G1278" s="26" t="s">
        <v>3039</v>
      </c>
      <c r="H1278" s="22"/>
      <c r="I1278" s="22" t="s">
        <v>172</v>
      </c>
      <c r="J1278" s="22"/>
      <c r="K1278" s="24" t="s">
        <v>7946</v>
      </c>
      <c r="L1278" s="24"/>
      <c r="M1278" s="25" t="s">
        <v>3230</v>
      </c>
      <c r="N1278" s="22"/>
      <c r="O1278" s="22" t="s">
        <v>3231</v>
      </c>
      <c r="P1278" s="22" t="str">
        <f>HYPERLINK("https://ceds.ed.gov/cedselementdetails.aspx?termid=22905")</f>
        <v>https://ceds.ed.gov/cedselementdetails.aspx?termid=22905</v>
      </c>
      <c r="Q1278" s="22">
        <v>63343</v>
      </c>
    </row>
    <row r="1279" spans="1:17" ht="57.6" x14ac:dyDescent="0.3">
      <c r="A1279" s="22" t="s">
        <v>7779</v>
      </c>
      <c r="B1279" s="22" t="s">
        <v>7794</v>
      </c>
      <c r="C1279" s="22" t="s">
        <v>7717</v>
      </c>
      <c r="D1279" s="22" t="s">
        <v>7710</v>
      </c>
      <c r="E1279" s="22" t="s">
        <v>7164</v>
      </c>
      <c r="F1279" s="24" t="s">
        <v>7165</v>
      </c>
      <c r="G1279" s="26" t="s">
        <v>9167</v>
      </c>
      <c r="H1279" s="22"/>
      <c r="I1279" s="22"/>
      <c r="J1279" s="22"/>
      <c r="K1279" s="24"/>
      <c r="L1279" s="24"/>
      <c r="M1279" s="25" t="s">
        <v>7166</v>
      </c>
      <c r="N1279" s="22"/>
      <c r="O1279" s="22" t="s">
        <v>7167</v>
      </c>
      <c r="P1279" s="22" t="str">
        <f>HYPERLINK("https://ceds.ed.gov/cedselementdetails.aspx?termid=22911")</f>
        <v>https://ceds.ed.gov/cedselementdetails.aspx?termid=22911</v>
      </c>
      <c r="Q1279" s="22">
        <v>63344</v>
      </c>
    </row>
    <row r="1280" spans="1:17" ht="72" x14ac:dyDescent="0.3">
      <c r="A1280" s="22" t="s">
        <v>7779</v>
      </c>
      <c r="B1280" s="22" t="s">
        <v>7794</v>
      </c>
      <c r="C1280" s="22" t="s">
        <v>7718</v>
      </c>
      <c r="D1280" s="22" t="s">
        <v>7710</v>
      </c>
      <c r="E1280" s="22" t="s">
        <v>3461</v>
      </c>
      <c r="F1280" s="24" t="s">
        <v>3462</v>
      </c>
      <c r="G1280" s="23" t="s">
        <v>32</v>
      </c>
      <c r="H1280" s="24" t="s">
        <v>64</v>
      </c>
      <c r="I1280" s="22" t="s">
        <v>172</v>
      </c>
      <c r="J1280" s="22" t="s">
        <v>3463</v>
      </c>
      <c r="K1280" s="24" t="s">
        <v>7946</v>
      </c>
      <c r="L1280" s="24"/>
      <c r="M1280" s="25" t="s">
        <v>3464</v>
      </c>
      <c r="N1280" s="22" t="s">
        <v>3465</v>
      </c>
      <c r="O1280" s="22" t="s">
        <v>3466</v>
      </c>
      <c r="P1280" s="22" t="str">
        <f>HYPERLINK("https://ceds.ed.gov/cedselementdetails.aspx?termid=21088")</f>
        <v>https://ceds.ed.gov/cedselementdetails.aspx?termid=21088</v>
      </c>
      <c r="Q1280" s="22">
        <v>59742</v>
      </c>
    </row>
    <row r="1281" spans="1:17" ht="72" x14ac:dyDescent="0.3">
      <c r="A1281" s="22" t="s">
        <v>7779</v>
      </c>
      <c r="B1281" s="22" t="s">
        <v>7794</v>
      </c>
      <c r="C1281" s="22" t="s">
        <v>7718</v>
      </c>
      <c r="D1281" s="22" t="s">
        <v>7710</v>
      </c>
      <c r="E1281" s="22" t="s">
        <v>3467</v>
      </c>
      <c r="F1281" s="24" t="s">
        <v>3468</v>
      </c>
      <c r="G1281" s="26" t="s">
        <v>8430</v>
      </c>
      <c r="H1281" s="24" t="s">
        <v>64</v>
      </c>
      <c r="I1281" s="22" t="s">
        <v>172</v>
      </c>
      <c r="J1281" s="22"/>
      <c r="K1281" s="24" t="s">
        <v>7946</v>
      </c>
      <c r="L1281" s="24"/>
      <c r="M1281" s="25" t="s">
        <v>3469</v>
      </c>
      <c r="N1281" s="22" t="s">
        <v>3470</v>
      </c>
      <c r="O1281" s="22" t="s">
        <v>3471</v>
      </c>
      <c r="P1281" s="22" t="str">
        <f>HYPERLINK("https://ceds.ed.gov/cedselementdetails.aspx?termid=21089")</f>
        <v>https://ceds.ed.gov/cedselementdetails.aspx?termid=21089</v>
      </c>
      <c r="Q1281" s="22">
        <v>59743</v>
      </c>
    </row>
    <row r="1282" spans="1:17" ht="57.6" x14ac:dyDescent="0.3">
      <c r="A1282" s="22" t="s">
        <v>7779</v>
      </c>
      <c r="B1282" s="22" t="s">
        <v>7794</v>
      </c>
      <c r="C1282" s="22" t="s">
        <v>7718</v>
      </c>
      <c r="D1282" s="22" t="s">
        <v>7710</v>
      </c>
      <c r="E1282" s="22" t="s">
        <v>3228</v>
      </c>
      <c r="F1282" s="24" t="s">
        <v>3229</v>
      </c>
      <c r="G1282" s="26" t="s">
        <v>3039</v>
      </c>
      <c r="H1282" s="22"/>
      <c r="I1282" s="22" t="s">
        <v>172</v>
      </c>
      <c r="J1282" s="22"/>
      <c r="K1282" s="24" t="s">
        <v>7946</v>
      </c>
      <c r="L1282" s="24"/>
      <c r="M1282" s="25" t="s">
        <v>3230</v>
      </c>
      <c r="N1282" s="22"/>
      <c r="O1282" s="22" t="s">
        <v>3231</v>
      </c>
      <c r="P1282" s="22" t="str">
        <f>HYPERLINK("https://ceds.ed.gov/cedselementdetails.aspx?termid=22905")</f>
        <v>https://ceds.ed.gov/cedselementdetails.aspx?termid=22905</v>
      </c>
      <c r="Q1282" s="22">
        <v>63342</v>
      </c>
    </row>
    <row r="1283" spans="1:17" ht="201.6" x14ac:dyDescent="0.3">
      <c r="A1283" s="22" t="s">
        <v>7779</v>
      </c>
      <c r="B1283" s="22" t="s">
        <v>7794</v>
      </c>
      <c r="C1283" s="22" t="s">
        <v>7742</v>
      </c>
      <c r="D1283" s="22" t="s">
        <v>7710</v>
      </c>
      <c r="E1283" s="22" t="s">
        <v>1544</v>
      </c>
      <c r="F1283" s="24" t="s">
        <v>1545</v>
      </c>
      <c r="G1283" s="23" t="s">
        <v>32</v>
      </c>
      <c r="H1283" s="24" t="s">
        <v>1547</v>
      </c>
      <c r="I1283" s="22"/>
      <c r="J1283" s="22" t="s">
        <v>118</v>
      </c>
      <c r="K1283" s="24"/>
      <c r="L1283" s="24"/>
      <c r="M1283" s="25" t="s">
        <v>1546</v>
      </c>
      <c r="N1283" s="22"/>
      <c r="O1283" s="22" t="s">
        <v>1544</v>
      </c>
      <c r="P1283" s="22" t="str">
        <f>HYPERLINK("https://ceds.ed.gov/cedselementdetails.aspx?termid=21033")</f>
        <v>https://ceds.ed.gov/cedselementdetails.aspx?termid=21033</v>
      </c>
      <c r="Q1283" s="22">
        <v>58995</v>
      </c>
    </row>
    <row r="1284" spans="1:17" ht="28.8" x14ac:dyDescent="0.3">
      <c r="A1284" s="22" t="s">
        <v>7779</v>
      </c>
      <c r="B1284" s="22" t="s">
        <v>7794</v>
      </c>
      <c r="C1284" s="22" t="s">
        <v>7742</v>
      </c>
      <c r="D1284" s="22" t="s">
        <v>7710</v>
      </c>
      <c r="E1284" s="22" t="s">
        <v>1548</v>
      </c>
      <c r="F1284" s="24" t="s">
        <v>1549</v>
      </c>
      <c r="G1284" s="23" t="s">
        <v>32</v>
      </c>
      <c r="H1284" s="22" t="s">
        <v>1553</v>
      </c>
      <c r="I1284" s="22"/>
      <c r="J1284" s="22" t="s">
        <v>157</v>
      </c>
      <c r="K1284" s="24"/>
      <c r="L1284" s="24"/>
      <c r="M1284" s="25" t="s">
        <v>1551</v>
      </c>
      <c r="N1284" s="22"/>
      <c r="O1284" s="22" t="s">
        <v>1552</v>
      </c>
      <c r="P1284" s="22" t="str">
        <f>HYPERLINK("https://ceds.ed.gov/cedselementdetails.aspx?termid=21418")</f>
        <v>https://ceds.ed.gov/cedselementdetails.aspx?termid=21418</v>
      </c>
      <c r="Q1284" s="22">
        <v>61823</v>
      </c>
    </row>
    <row r="1285" spans="1:17" ht="216" x14ac:dyDescent="0.3">
      <c r="A1285" s="22" t="s">
        <v>7779</v>
      </c>
      <c r="B1285" s="22" t="s">
        <v>7794</v>
      </c>
      <c r="C1285" s="22" t="s">
        <v>7742</v>
      </c>
      <c r="D1285" s="22" t="s">
        <v>7710</v>
      </c>
      <c r="E1285" s="22" t="s">
        <v>6763</v>
      </c>
      <c r="F1285" s="24" t="s">
        <v>6764</v>
      </c>
      <c r="G1285" s="26" t="s">
        <v>9142</v>
      </c>
      <c r="H1285" s="24" t="s">
        <v>6767</v>
      </c>
      <c r="I1285" s="22"/>
      <c r="J1285" s="22"/>
      <c r="K1285" s="24"/>
      <c r="L1285" s="24" t="s">
        <v>6765</v>
      </c>
      <c r="M1285" s="25" t="s">
        <v>6766</v>
      </c>
      <c r="N1285" s="22"/>
      <c r="O1285" s="22" t="s">
        <v>6763</v>
      </c>
      <c r="P1285" s="22" t="str">
        <f>HYPERLINK("https://ceds.ed.gov/cedselementdetails.aspx?termid=21255")</f>
        <v>https://ceds.ed.gov/cedselementdetails.aspx?termid=21255</v>
      </c>
      <c r="Q1285" s="22">
        <v>59811</v>
      </c>
    </row>
    <row r="1286" spans="1:17" ht="201.6" x14ac:dyDescent="0.3">
      <c r="A1286" s="22" t="s">
        <v>7779</v>
      </c>
      <c r="B1286" s="22" t="s">
        <v>7794</v>
      </c>
      <c r="C1286" s="22" t="s">
        <v>7742</v>
      </c>
      <c r="D1286" s="22" t="s">
        <v>7710</v>
      </c>
      <c r="E1286" s="22" t="s">
        <v>360</v>
      </c>
      <c r="F1286" s="24" t="s">
        <v>361</v>
      </c>
      <c r="G1286" s="26" t="s">
        <v>8601</v>
      </c>
      <c r="H1286" s="24" t="s">
        <v>365</v>
      </c>
      <c r="I1286" s="22"/>
      <c r="J1286" s="22"/>
      <c r="K1286" s="24"/>
      <c r="L1286" s="24" t="s">
        <v>7958</v>
      </c>
      <c r="M1286" s="25" t="s">
        <v>362</v>
      </c>
      <c r="N1286" s="22" t="s">
        <v>363</v>
      </c>
      <c r="O1286" s="22" t="s">
        <v>364</v>
      </c>
      <c r="P1286" s="22" t="str">
        <f>HYPERLINK("https://ceds.ed.gov/cedselementdetails.aspx?termid=21655")</f>
        <v>https://ceds.ed.gov/cedselementdetails.aspx?termid=21655</v>
      </c>
      <c r="Q1286" s="22">
        <v>59907</v>
      </c>
    </row>
    <row r="1287" spans="1:17" ht="201.6" x14ac:dyDescent="0.3">
      <c r="A1287" s="22" t="s">
        <v>7779</v>
      </c>
      <c r="B1287" s="22" t="s">
        <v>7794</v>
      </c>
      <c r="C1287" s="22" t="s">
        <v>7742</v>
      </c>
      <c r="D1287" s="22" t="s">
        <v>7710</v>
      </c>
      <c r="E1287" s="22" t="s">
        <v>400</v>
      </c>
      <c r="F1287" s="24" t="s">
        <v>401</v>
      </c>
      <c r="G1287" s="26" t="s">
        <v>8601</v>
      </c>
      <c r="H1287" s="24" t="s">
        <v>365</v>
      </c>
      <c r="I1287" s="22"/>
      <c r="J1287" s="22"/>
      <c r="K1287" s="24"/>
      <c r="L1287" s="24" t="s">
        <v>7958</v>
      </c>
      <c r="M1287" s="25" t="s">
        <v>402</v>
      </c>
      <c r="N1287" s="22" t="s">
        <v>403</v>
      </c>
      <c r="O1287" s="22" t="s">
        <v>400</v>
      </c>
      <c r="P1287" s="22" t="str">
        <f>HYPERLINK("https://ceds.ed.gov/cedselementdetails.aspx?termid=21656")</f>
        <v>https://ceds.ed.gov/cedselementdetails.aspx?termid=21656</v>
      </c>
      <c r="Q1287" s="22">
        <v>59908</v>
      </c>
    </row>
    <row r="1288" spans="1:17" ht="201.6" x14ac:dyDescent="0.3">
      <c r="A1288" s="22" t="s">
        <v>7779</v>
      </c>
      <c r="B1288" s="22" t="s">
        <v>7794</v>
      </c>
      <c r="C1288" s="22" t="s">
        <v>7742</v>
      </c>
      <c r="D1288" s="22" t="s">
        <v>7710</v>
      </c>
      <c r="E1288" s="22" t="s">
        <v>1554</v>
      </c>
      <c r="F1288" s="24" t="s">
        <v>1555</v>
      </c>
      <c r="G1288" s="26" t="s">
        <v>8601</v>
      </c>
      <c r="H1288" s="24" t="s">
        <v>365</v>
      </c>
      <c r="I1288" s="22"/>
      <c r="J1288" s="22"/>
      <c r="K1288" s="24"/>
      <c r="L1288" s="24" t="s">
        <v>7958</v>
      </c>
      <c r="M1288" s="25" t="s">
        <v>1556</v>
      </c>
      <c r="N1288" s="22" t="s">
        <v>1557</v>
      </c>
      <c r="O1288" s="22" t="s">
        <v>1558</v>
      </c>
      <c r="P1288" s="22" t="str">
        <f>HYPERLINK("https://ceds.ed.gov/cedselementdetails.aspx?termid=21657")</f>
        <v>https://ceds.ed.gov/cedselementdetails.aspx?termid=21657</v>
      </c>
      <c r="Q1288" s="22">
        <v>59909</v>
      </c>
    </row>
    <row r="1289" spans="1:17" ht="201.6" x14ac:dyDescent="0.3">
      <c r="A1289" s="22" t="s">
        <v>7779</v>
      </c>
      <c r="B1289" s="22" t="s">
        <v>7794</v>
      </c>
      <c r="C1289" s="22" t="s">
        <v>7742</v>
      </c>
      <c r="D1289" s="22" t="s">
        <v>7710</v>
      </c>
      <c r="E1289" s="22" t="s">
        <v>5548</v>
      </c>
      <c r="F1289" s="24" t="s">
        <v>5549</v>
      </c>
      <c r="G1289" s="26" t="s">
        <v>8601</v>
      </c>
      <c r="H1289" s="24" t="s">
        <v>365</v>
      </c>
      <c r="I1289" s="22"/>
      <c r="J1289" s="22"/>
      <c r="K1289" s="24"/>
      <c r="L1289" s="24" t="s">
        <v>7958</v>
      </c>
      <c r="M1289" s="25" t="s">
        <v>5550</v>
      </c>
      <c r="N1289" s="22" t="s">
        <v>5551</v>
      </c>
      <c r="O1289" s="22" t="s">
        <v>5552</v>
      </c>
      <c r="P1289" s="22" t="str">
        <f>HYPERLINK("https://ceds.ed.gov/cedselementdetails.aspx?termid=21658")</f>
        <v>https://ceds.ed.gov/cedselementdetails.aspx?termid=21658</v>
      </c>
      <c r="Q1289" s="22">
        <v>59910</v>
      </c>
    </row>
    <row r="1290" spans="1:17" ht="201.6" x14ac:dyDescent="0.3">
      <c r="A1290" s="22" t="s">
        <v>7779</v>
      </c>
      <c r="B1290" s="22" t="s">
        <v>7794</v>
      </c>
      <c r="C1290" s="22" t="s">
        <v>7742</v>
      </c>
      <c r="D1290" s="22" t="s">
        <v>7710</v>
      </c>
      <c r="E1290" s="22" t="s">
        <v>7390</v>
      </c>
      <c r="F1290" s="24" t="s">
        <v>7391</v>
      </c>
      <c r="G1290" s="26" t="s">
        <v>8601</v>
      </c>
      <c r="H1290" s="24" t="s">
        <v>365</v>
      </c>
      <c r="I1290" s="22"/>
      <c r="J1290" s="22"/>
      <c r="K1290" s="24"/>
      <c r="L1290" s="24" t="s">
        <v>7958</v>
      </c>
      <c r="M1290" s="25" t="s">
        <v>7392</v>
      </c>
      <c r="N1290" s="22" t="s">
        <v>7393</v>
      </c>
      <c r="O1290" s="22" t="s">
        <v>7390</v>
      </c>
      <c r="P1290" s="22" t="str">
        <f>HYPERLINK("https://ceds.ed.gov/cedselementdetails.aspx?termid=21659")</f>
        <v>https://ceds.ed.gov/cedselementdetails.aspx?termid=21659</v>
      </c>
      <c r="Q1290" s="22">
        <v>59911</v>
      </c>
    </row>
    <row r="1291" spans="1:17" ht="72" x14ac:dyDescent="0.3">
      <c r="A1291" s="22" t="s">
        <v>7779</v>
      </c>
      <c r="B1291" s="22" t="s">
        <v>7794</v>
      </c>
      <c r="C1291" s="22" t="s">
        <v>7742</v>
      </c>
      <c r="D1291" s="22" t="s">
        <v>7710</v>
      </c>
      <c r="E1291" s="22" t="s">
        <v>3090</v>
      </c>
      <c r="F1291" s="24" t="s">
        <v>3091</v>
      </c>
      <c r="G1291" s="26" t="s">
        <v>22</v>
      </c>
      <c r="H1291" s="22"/>
      <c r="I1291" s="22"/>
      <c r="J1291" s="22"/>
      <c r="K1291" s="24"/>
      <c r="L1291" s="24" t="s">
        <v>3092</v>
      </c>
      <c r="M1291" s="25" t="s">
        <v>3093</v>
      </c>
      <c r="N1291" s="22"/>
      <c r="O1291" s="22" t="s">
        <v>3094</v>
      </c>
      <c r="P1291" s="22" t="str">
        <f>HYPERLINK("https://ceds.ed.gov/cedselementdetails.aspx?termid=21974")</f>
        <v>https://ceds.ed.gov/cedselementdetails.aspx?termid=21974</v>
      </c>
      <c r="Q1291" s="22">
        <v>59425</v>
      </c>
    </row>
    <row r="1292" spans="1:17" ht="201.6" x14ac:dyDescent="0.3">
      <c r="A1292" s="22" t="s">
        <v>7779</v>
      </c>
      <c r="B1292" s="22" t="s">
        <v>7794</v>
      </c>
      <c r="C1292" s="22" t="s">
        <v>7742</v>
      </c>
      <c r="D1292" s="22" t="s">
        <v>7710</v>
      </c>
      <c r="E1292" s="22" t="s">
        <v>4347</v>
      </c>
      <c r="F1292" s="24" t="s">
        <v>4348</v>
      </c>
      <c r="G1292" s="26" t="s">
        <v>8601</v>
      </c>
      <c r="H1292" s="24" t="s">
        <v>365</v>
      </c>
      <c r="I1292" s="22"/>
      <c r="J1292" s="22"/>
      <c r="K1292" s="24"/>
      <c r="L1292" s="24" t="s">
        <v>7958</v>
      </c>
      <c r="M1292" s="25" t="s">
        <v>4349</v>
      </c>
      <c r="N1292" s="22"/>
      <c r="O1292" s="22" t="s">
        <v>4350</v>
      </c>
      <c r="P1292" s="22" t="str">
        <f>HYPERLINK("https://ceds.ed.gov/cedselementdetails.aspx?termid=21144")</f>
        <v>https://ceds.ed.gov/cedselementdetails.aspx?termid=21144</v>
      </c>
      <c r="Q1292" s="22">
        <v>59765</v>
      </c>
    </row>
    <row r="1293" spans="1:17" ht="409.6" x14ac:dyDescent="0.3">
      <c r="A1293" s="22" t="s">
        <v>7779</v>
      </c>
      <c r="B1293" s="22" t="s">
        <v>7794</v>
      </c>
      <c r="C1293" s="22" t="s">
        <v>7742</v>
      </c>
      <c r="D1293" s="22" t="s">
        <v>7710</v>
      </c>
      <c r="E1293" s="22" t="s">
        <v>2531</v>
      </c>
      <c r="F1293" s="24" t="s">
        <v>2532</v>
      </c>
      <c r="G1293" s="26" t="s">
        <v>8743</v>
      </c>
      <c r="H1293" s="24" t="s">
        <v>2535</v>
      </c>
      <c r="I1293" s="22"/>
      <c r="J1293" s="22"/>
      <c r="K1293" s="24"/>
      <c r="L1293" s="24" t="s">
        <v>8055</v>
      </c>
      <c r="M1293" s="25" t="s">
        <v>2533</v>
      </c>
      <c r="N1293" s="22"/>
      <c r="O1293" s="22" t="s">
        <v>2534</v>
      </c>
      <c r="P1293" s="22" t="str">
        <f>HYPERLINK("https://ceds.ed.gov/cedselementdetails.aspx?termid=21051")</f>
        <v>https://ceds.ed.gov/cedselementdetails.aspx?termid=21051</v>
      </c>
      <c r="Q1293" s="22">
        <v>59002</v>
      </c>
    </row>
    <row r="1294" spans="1:17" ht="409.6" x14ac:dyDescent="0.3">
      <c r="A1294" s="22" t="s">
        <v>7779</v>
      </c>
      <c r="B1294" s="22" t="s">
        <v>7794</v>
      </c>
      <c r="C1294" s="22" t="s">
        <v>7742</v>
      </c>
      <c r="D1294" s="22" t="s">
        <v>7710</v>
      </c>
      <c r="E1294" s="22" t="s">
        <v>6987</v>
      </c>
      <c r="F1294" s="24" t="s">
        <v>6988</v>
      </c>
      <c r="G1294" s="26" t="s">
        <v>8538</v>
      </c>
      <c r="H1294" s="22" t="s">
        <v>1553</v>
      </c>
      <c r="I1294" s="22" t="s">
        <v>172</v>
      </c>
      <c r="J1294" s="22"/>
      <c r="K1294" s="24" t="s">
        <v>7946</v>
      </c>
      <c r="L1294" s="24"/>
      <c r="M1294" s="25" t="s">
        <v>6989</v>
      </c>
      <c r="N1294" s="22"/>
      <c r="O1294" s="22" t="s">
        <v>6990</v>
      </c>
      <c r="P1294" s="22" t="str">
        <f>HYPERLINK("https://ceds.ed.gov/cedselementdetails.aspx?termid=21417")</f>
        <v>https://ceds.ed.gov/cedselementdetails.aspx?termid=21417</v>
      </c>
      <c r="Q1294" s="22">
        <v>59837</v>
      </c>
    </row>
    <row r="1295" spans="1:17" ht="28.8" x14ac:dyDescent="0.3">
      <c r="A1295" s="22" t="s">
        <v>7779</v>
      </c>
      <c r="B1295" s="22" t="s">
        <v>7794</v>
      </c>
      <c r="C1295" s="22" t="s">
        <v>7742</v>
      </c>
      <c r="D1295" s="22" t="s">
        <v>7710</v>
      </c>
      <c r="E1295" s="22" t="s">
        <v>2055</v>
      </c>
      <c r="F1295" s="24" t="s">
        <v>8039</v>
      </c>
      <c r="G1295" s="23" t="s">
        <v>32</v>
      </c>
      <c r="H1295" s="22" t="s">
        <v>1553</v>
      </c>
      <c r="I1295" s="22"/>
      <c r="J1295" s="22" t="s">
        <v>85</v>
      </c>
      <c r="K1295" s="24"/>
      <c r="L1295" s="24"/>
      <c r="M1295" s="25" t="s">
        <v>2057</v>
      </c>
      <c r="N1295" s="22"/>
      <c r="O1295" s="22" t="s">
        <v>2058</v>
      </c>
      <c r="P1295" s="22" t="str">
        <f>HYPERLINK("https://ceds.ed.gov/cedselementdetails.aspx?termid=21416")</f>
        <v>https://ceds.ed.gov/cedselementdetails.aspx?termid=21416</v>
      </c>
      <c r="Q1295" s="22">
        <v>59836</v>
      </c>
    </row>
    <row r="1296" spans="1:17" ht="129.6" x14ac:dyDescent="0.3">
      <c r="A1296" s="22" t="s">
        <v>7779</v>
      </c>
      <c r="B1296" s="22" t="s">
        <v>7794</v>
      </c>
      <c r="C1296" s="22" t="s">
        <v>7742</v>
      </c>
      <c r="D1296" s="22" t="s">
        <v>7710</v>
      </c>
      <c r="E1296" s="22" t="s">
        <v>6279</v>
      </c>
      <c r="F1296" s="24" t="s">
        <v>6280</v>
      </c>
      <c r="G1296" s="26" t="s">
        <v>8508</v>
      </c>
      <c r="H1296" s="22"/>
      <c r="I1296" s="22" t="s">
        <v>172</v>
      </c>
      <c r="J1296" s="22"/>
      <c r="K1296" s="24" t="s">
        <v>7946</v>
      </c>
      <c r="L1296" s="24"/>
      <c r="M1296" s="25" t="s">
        <v>6281</v>
      </c>
      <c r="N1296" s="22"/>
      <c r="O1296" s="22" t="s">
        <v>6282</v>
      </c>
      <c r="P1296" s="22" t="str">
        <f>HYPERLINK("https://ceds.ed.gov/cedselementdetails.aspx?termid=21523")</f>
        <v>https://ceds.ed.gov/cedselementdetails.aspx?termid=21523</v>
      </c>
      <c r="Q1296" s="22">
        <v>59863</v>
      </c>
    </row>
    <row r="1297" spans="1:17" ht="57.6" x14ac:dyDescent="0.3">
      <c r="A1297" s="22" t="s">
        <v>7779</v>
      </c>
      <c r="B1297" s="22" t="s">
        <v>7794</v>
      </c>
      <c r="C1297" s="22" t="s">
        <v>7742</v>
      </c>
      <c r="D1297" s="22" t="s">
        <v>7710</v>
      </c>
      <c r="E1297" s="22" t="s">
        <v>7288</v>
      </c>
      <c r="F1297" s="24" t="s">
        <v>7289</v>
      </c>
      <c r="G1297" s="23" t="s">
        <v>7423</v>
      </c>
      <c r="H1297" s="22"/>
      <c r="I1297" s="22"/>
      <c r="J1297" s="22"/>
      <c r="K1297" s="24"/>
      <c r="L1297" s="24"/>
      <c r="M1297" s="25" t="s">
        <v>7290</v>
      </c>
      <c r="N1297" s="22"/>
      <c r="O1297" s="22" t="s">
        <v>7291</v>
      </c>
      <c r="P1297" s="22" t="str">
        <f>HYPERLINK("https://ceds.ed.gov/cedselementdetails.aspx?termid=22638")</f>
        <v>https://ceds.ed.gov/cedselementdetails.aspx?termid=22638</v>
      </c>
      <c r="Q1297" s="22">
        <v>62355</v>
      </c>
    </row>
    <row r="1298" spans="1:17" ht="100.8" x14ac:dyDescent="0.3">
      <c r="A1298" s="22" t="s">
        <v>7779</v>
      </c>
      <c r="B1298" s="22" t="s">
        <v>7794</v>
      </c>
      <c r="C1298" s="22" t="s">
        <v>7742</v>
      </c>
      <c r="D1298" s="22" t="s">
        <v>7710</v>
      </c>
      <c r="E1298" s="22" t="s">
        <v>5486</v>
      </c>
      <c r="F1298" s="24" t="s">
        <v>8254</v>
      </c>
      <c r="G1298" s="26" t="s">
        <v>9036</v>
      </c>
      <c r="H1298" s="22"/>
      <c r="I1298" s="22"/>
      <c r="J1298" s="22"/>
      <c r="K1298" s="24"/>
      <c r="L1298" s="24"/>
      <c r="M1298" s="25" t="s">
        <v>5487</v>
      </c>
      <c r="N1298" s="22"/>
      <c r="O1298" s="22" t="s">
        <v>5488</v>
      </c>
      <c r="P1298" s="22" t="str">
        <f>HYPERLINK("https://ceds.ed.gov/cedselementdetails.aspx?termid=22621")</f>
        <v>https://ceds.ed.gov/cedselementdetails.aspx?termid=22621</v>
      </c>
      <c r="Q1298" s="22">
        <v>62309</v>
      </c>
    </row>
    <row r="1299" spans="1:17" ht="72" x14ac:dyDescent="0.3">
      <c r="A1299" s="22" t="s">
        <v>7779</v>
      </c>
      <c r="B1299" s="22" t="s">
        <v>7794</v>
      </c>
      <c r="C1299" s="22" t="s">
        <v>7742</v>
      </c>
      <c r="D1299" s="22" t="s">
        <v>7710</v>
      </c>
      <c r="E1299" s="22" t="s">
        <v>5489</v>
      </c>
      <c r="F1299" s="24" t="s">
        <v>5490</v>
      </c>
      <c r="G1299" s="26" t="s">
        <v>8477</v>
      </c>
      <c r="H1299" s="22"/>
      <c r="I1299" s="22" t="s">
        <v>172</v>
      </c>
      <c r="J1299" s="22"/>
      <c r="K1299" s="24" t="s">
        <v>7946</v>
      </c>
      <c r="L1299" s="24"/>
      <c r="M1299" s="25" t="s">
        <v>5491</v>
      </c>
      <c r="N1299" s="22"/>
      <c r="O1299" s="22" t="s">
        <v>5492</v>
      </c>
      <c r="P1299" s="22" t="str">
        <f>HYPERLINK("https://ceds.ed.gov/cedselementdetails.aspx?termid=22555")</f>
        <v>https://ceds.ed.gov/cedselementdetails.aspx?termid=22555</v>
      </c>
      <c r="Q1299" s="22">
        <v>61933</v>
      </c>
    </row>
    <row r="1300" spans="1:17" ht="115.2" x14ac:dyDescent="0.3">
      <c r="A1300" s="22" t="s">
        <v>7779</v>
      </c>
      <c r="B1300" s="22" t="s">
        <v>7794</v>
      </c>
      <c r="C1300" s="22" t="s">
        <v>7742</v>
      </c>
      <c r="D1300" s="22" t="s">
        <v>7710</v>
      </c>
      <c r="E1300" s="22" t="s">
        <v>6924</v>
      </c>
      <c r="F1300" s="24" t="s">
        <v>8326</v>
      </c>
      <c r="G1300" s="23" t="s">
        <v>32</v>
      </c>
      <c r="H1300" s="22" t="s">
        <v>69</v>
      </c>
      <c r="I1300" s="22"/>
      <c r="J1300" s="22" t="s">
        <v>6925</v>
      </c>
      <c r="K1300" s="24"/>
      <c r="L1300" s="24"/>
      <c r="M1300" s="25" t="s">
        <v>6926</v>
      </c>
      <c r="N1300" s="22"/>
      <c r="O1300" s="22" t="s">
        <v>6927</v>
      </c>
      <c r="P1300" s="22" t="str">
        <f>HYPERLINK("https://ceds.ed.gov/cedselementdetails.aspx?termid=21707")</f>
        <v>https://ceds.ed.gov/cedselementdetails.aspx?termid=21707</v>
      </c>
      <c r="Q1300" s="22">
        <v>63345</v>
      </c>
    </row>
    <row r="1301" spans="1:17" ht="57.6" x14ac:dyDescent="0.3">
      <c r="A1301" s="22" t="s">
        <v>7779</v>
      </c>
      <c r="B1301" s="22" t="s">
        <v>7794</v>
      </c>
      <c r="C1301" s="22" t="s">
        <v>7742</v>
      </c>
      <c r="D1301" s="22" t="s">
        <v>7710</v>
      </c>
      <c r="E1301" s="22" t="s">
        <v>7528</v>
      </c>
      <c r="F1301" s="24" t="s">
        <v>7529</v>
      </c>
      <c r="G1301" s="26" t="s">
        <v>22</v>
      </c>
      <c r="H1301" s="22"/>
      <c r="I1301" s="22"/>
      <c r="J1301" s="22"/>
      <c r="K1301" s="24"/>
      <c r="L1301" s="24"/>
      <c r="M1301" s="25" t="s">
        <v>7530</v>
      </c>
      <c r="N1301" s="22"/>
      <c r="O1301" s="22" t="s">
        <v>7531</v>
      </c>
      <c r="P1301" s="22" t="str">
        <f>HYPERLINK("https://ceds.ed.gov/cedselementdetails.aspx?termid=22932")</f>
        <v>https://ceds.ed.gov/cedselementdetails.aspx?termid=22932</v>
      </c>
      <c r="Q1301" s="22">
        <v>63546</v>
      </c>
    </row>
    <row r="1302" spans="1:17" ht="115.2" x14ac:dyDescent="0.3">
      <c r="A1302" s="22" t="s">
        <v>7779</v>
      </c>
      <c r="B1302" s="22" t="s">
        <v>7794</v>
      </c>
      <c r="C1302" s="22" t="s">
        <v>7742</v>
      </c>
      <c r="D1302" s="22" t="s">
        <v>7710</v>
      </c>
      <c r="E1302" s="22" t="s">
        <v>7532</v>
      </c>
      <c r="F1302" s="24" t="s">
        <v>7533</v>
      </c>
      <c r="G1302" s="26" t="s">
        <v>3039</v>
      </c>
      <c r="H1302" s="22"/>
      <c r="I1302" s="22"/>
      <c r="J1302" s="22"/>
      <c r="K1302" s="24"/>
      <c r="L1302" s="24"/>
      <c r="M1302" s="25" t="s">
        <v>7534</v>
      </c>
      <c r="N1302" s="22"/>
      <c r="O1302" s="22" t="s">
        <v>7535</v>
      </c>
      <c r="P1302" s="22" t="str">
        <f>HYPERLINK("https://ceds.ed.gov/cedselementdetails.aspx?termid=22933")</f>
        <v>https://ceds.ed.gov/cedselementdetails.aspx?termid=22933</v>
      </c>
      <c r="Q1302" s="22">
        <v>63547</v>
      </c>
    </row>
    <row r="1303" spans="1:17" ht="144" x14ac:dyDescent="0.3">
      <c r="A1303" s="22" t="s">
        <v>7779</v>
      </c>
      <c r="B1303" s="22" t="s">
        <v>7794</v>
      </c>
      <c r="C1303" s="22" t="s">
        <v>7742</v>
      </c>
      <c r="D1303" s="22" t="s">
        <v>7710</v>
      </c>
      <c r="E1303" s="22" t="s">
        <v>7640</v>
      </c>
      <c r="F1303" s="24" t="s">
        <v>7641</v>
      </c>
      <c r="G1303" s="26" t="s">
        <v>9121</v>
      </c>
      <c r="H1303" s="22"/>
      <c r="I1303" s="22"/>
      <c r="J1303" s="22"/>
      <c r="K1303" s="24"/>
      <c r="L1303" s="24" t="s">
        <v>7642</v>
      </c>
      <c r="M1303" s="25" t="s">
        <v>7643</v>
      </c>
      <c r="N1303" s="22"/>
      <c r="O1303" s="22" t="s">
        <v>7640</v>
      </c>
      <c r="P1303" s="22" t="str">
        <f>HYPERLINK("https://ceds.ed.gov/cedselementdetails.aspx?termid=22955")</f>
        <v>https://ceds.ed.gov/cedselementdetails.aspx?termid=22955</v>
      </c>
      <c r="Q1303" s="22">
        <v>63548</v>
      </c>
    </row>
    <row r="1304" spans="1:17" x14ac:dyDescent="0.3">
      <c r="A1304" s="22" t="s">
        <v>7779</v>
      </c>
      <c r="B1304" s="22" t="s">
        <v>7794</v>
      </c>
      <c r="C1304" s="22" t="s">
        <v>7743</v>
      </c>
      <c r="D1304" s="22" t="s">
        <v>7710</v>
      </c>
      <c r="E1304" s="22" t="s">
        <v>6383</v>
      </c>
      <c r="F1304" s="24" t="s">
        <v>6384</v>
      </c>
      <c r="G1304" s="23" t="s">
        <v>32</v>
      </c>
      <c r="H1304" s="22"/>
      <c r="I1304" s="22"/>
      <c r="J1304" s="22" t="s">
        <v>118</v>
      </c>
      <c r="K1304" s="24"/>
      <c r="L1304" s="24"/>
      <c r="M1304" s="25" t="s">
        <v>6385</v>
      </c>
      <c r="N1304" s="22"/>
      <c r="O1304" s="22" t="s">
        <v>6386</v>
      </c>
      <c r="P1304" s="22" t="str">
        <f>HYPERLINK("https://ceds.ed.gov/cedselementdetails.aspx?termid=22453")</f>
        <v>https://ceds.ed.gov/cedselementdetails.aspx?termid=22453</v>
      </c>
      <c r="Q1304" s="22">
        <v>62829</v>
      </c>
    </row>
    <row r="1305" spans="1:17" x14ac:dyDescent="0.3">
      <c r="A1305" s="22" t="s">
        <v>7779</v>
      </c>
      <c r="B1305" s="22" t="s">
        <v>7794</v>
      </c>
      <c r="C1305" s="22" t="s">
        <v>7743</v>
      </c>
      <c r="D1305" s="22" t="s">
        <v>7710</v>
      </c>
      <c r="E1305" s="22" t="s">
        <v>6395</v>
      </c>
      <c r="F1305" s="24" t="s">
        <v>6396</v>
      </c>
      <c r="G1305" s="23" t="s">
        <v>32</v>
      </c>
      <c r="H1305" s="22"/>
      <c r="I1305" s="22"/>
      <c r="J1305" s="22" t="s">
        <v>328</v>
      </c>
      <c r="K1305" s="24"/>
      <c r="L1305" s="24"/>
      <c r="M1305" s="25" t="s">
        <v>6397</v>
      </c>
      <c r="N1305" s="22"/>
      <c r="O1305" s="22" t="s">
        <v>6398</v>
      </c>
      <c r="P1305" s="22" t="str">
        <f>HYPERLINK("https://ceds.ed.gov/cedselementdetails.aspx?termid=22455")</f>
        <v>https://ceds.ed.gov/cedselementdetails.aspx?termid=22455</v>
      </c>
      <c r="Q1305" s="22">
        <v>62831</v>
      </c>
    </row>
    <row r="1306" spans="1:17" ht="28.8" x14ac:dyDescent="0.3">
      <c r="A1306" s="22" t="s">
        <v>7779</v>
      </c>
      <c r="B1306" s="22" t="s">
        <v>7794</v>
      </c>
      <c r="C1306" s="22" t="s">
        <v>7743</v>
      </c>
      <c r="D1306" s="22" t="s">
        <v>7710</v>
      </c>
      <c r="E1306" s="22" t="s">
        <v>6399</v>
      </c>
      <c r="F1306" s="24" t="s">
        <v>6400</v>
      </c>
      <c r="G1306" s="23" t="s">
        <v>32</v>
      </c>
      <c r="H1306" s="22"/>
      <c r="I1306" s="22"/>
      <c r="J1306" s="22" t="s">
        <v>157</v>
      </c>
      <c r="K1306" s="24"/>
      <c r="L1306" s="24"/>
      <c r="M1306" s="25" t="s">
        <v>6401</v>
      </c>
      <c r="N1306" s="22"/>
      <c r="O1306" s="22" t="s">
        <v>6402</v>
      </c>
      <c r="P1306" s="22" t="str">
        <f>HYPERLINK("https://ceds.ed.gov/cedselementdetails.aspx?termid=22456")</f>
        <v>https://ceds.ed.gov/cedselementdetails.aspx?termid=22456</v>
      </c>
      <c r="Q1306" s="22">
        <v>62833</v>
      </c>
    </row>
    <row r="1307" spans="1:17" ht="57.6" x14ac:dyDescent="0.3">
      <c r="A1307" s="22" t="s">
        <v>7779</v>
      </c>
      <c r="B1307" s="22" t="s">
        <v>7794</v>
      </c>
      <c r="C1307" s="22" t="s">
        <v>7744</v>
      </c>
      <c r="D1307" s="22" t="s">
        <v>7710</v>
      </c>
      <c r="E1307" s="22" t="s">
        <v>5392</v>
      </c>
      <c r="F1307" s="24" t="s">
        <v>5393</v>
      </c>
      <c r="G1307" s="26" t="s">
        <v>9025</v>
      </c>
      <c r="H1307" s="22" t="s">
        <v>1553</v>
      </c>
      <c r="I1307" s="22"/>
      <c r="J1307" s="22"/>
      <c r="K1307" s="24"/>
      <c r="L1307" s="24"/>
      <c r="M1307" s="25" t="s">
        <v>5394</v>
      </c>
      <c r="N1307" s="22"/>
      <c r="O1307" s="22" t="s">
        <v>5395</v>
      </c>
      <c r="P1307" s="22" t="str">
        <f>HYPERLINK("https://ceds.ed.gov/cedselementdetails.aspx?termid=21429")</f>
        <v>https://ceds.ed.gov/cedselementdetails.aspx?termid=21429</v>
      </c>
      <c r="Q1307" s="22">
        <v>59849</v>
      </c>
    </row>
    <row r="1308" spans="1:17" ht="409.6" x14ac:dyDescent="0.3">
      <c r="A1308" s="22" t="s">
        <v>7779</v>
      </c>
      <c r="B1308" s="22" t="s">
        <v>7794</v>
      </c>
      <c r="C1308" s="22" t="s">
        <v>7744</v>
      </c>
      <c r="D1308" s="22" t="s">
        <v>7710</v>
      </c>
      <c r="E1308" s="22" t="s">
        <v>335</v>
      </c>
      <c r="F1308" s="24" t="s">
        <v>336</v>
      </c>
      <c r="G1308" s="26" t="s">
        <v>8598</v>
      </c>
      <c r="H1308" s="22"/>
      <c r="I1308" s="22"/>
      <c r="J1308" s="22"/>
      <c r="K1308" s="24"/>
      <c r="L1308" s="24" t="s">
        <v>337</v>
      </c>
      <c r="M1308" s="25" t="s">
        <v>338</v>
      </c>
      <c r="N1308" s="22"/>
      <c r="O1308" s="22" t="s">
        <v>339</v>
      </c>
      <c r="P1308" s="22" t="str">
        <f>HYPERLINK("https://ceds.ed.gov/cedselementdetails.aspx?termid=22249")</f>
        <v>https://ceds.ed.gov/cedselementdetails.aspx?termid=22249</v>
      </c>
      <c r="Q1308" s="22">
        <v>61066</v>
      </c>
    </row>
    <row r="1309" spans="1:17" ht="43.2" x14ac:dyDescent="0.3">
      <c r="A1309" s="22" t="s">
        <v>7779</v>
      </c>
      <c r="B1309" s="22" t="s">
        <v>7794</v>
      </c>
      <c r="C1309" s="22" t="s">
        <v>7744</v>
      </c>
      <c r="D1309" s="22" t="s">
        <v>7710</v>
      </c>
      <c r="E1309" s="22" t="s">
        <v>326</v>
      </c>
      <c r="F1309" s="24" t="s">
        <v>327</v>
      </c>
      <c r="G1309" s="23" t="s">
        <v>32</v>
      </c>
      <c r="H1309" s="22"/>
      <c r="I1309" s="22"/>
      <c r="J1309" s="22" t="s">
        <v>328</v>
      </c>
      <c r="K1309" s="24"/>
      <c r="L1309" s="24"/>
      <c r="M1309" s="25" t="s">
        <v>329</v>
      </c>
      <c r="N1309" s="22"/>
      <c r="O1309" s="22" t="s">
        <v>330</v>
      </c>
      <c r="P1309" s="22" t="str">
        <f>HYPERLINK("https://ceds.ed.gov/cedselementdetails.aspx?termid=22247")</f>
        <v>https://ceds.ed.gov/cedselementdetails.aspx?termid=22247</v>
      </c>
      <c r="Q1309" s="22">
        <v>61064</v>
      </c>
    </row>
    <row r="1310" spans="1:17" ht="43.2" x14ac:dyDescent="0.3">
      <c r="A1310" s="22" t="s">
        <v>7779</v>
      </c>
      <c r="B1310" s="22" t="s">
        <v>7794</v>
      </c>
      <c r="C1310" s="22" t="s">
        <v>7744</v>
      </c>
      <c r="D1310" s="22" t="s">
        <v>7710</v>
      </c>
      <c r="E1310" s="22" t="s">
        <v>331</v>
      </c>
      <c r="F1310" s="24" t="s">
        <v>332</v>
      </c>
      <c r="G1310" s="26" t="s">
        <v>8597</v>
      </c>
      <c r="H1310" s="22"/>
      <c r="I1310" s="22"/>
      <c r="J1310" s="22"/>
      <c r="K1310" s="24"/>
      <c r="L1310" s="24"/>
      <c r="M1310" s="25" t="s">
        <v>333</v>
      </c>
      <c r="N1310" s="22"/>
      <c r="O1310" s="22" t="s">
        <v>334</v>
      </c>
      <c r="P1310" s="22" t="str">
        <f>HYPERLINK("https://ceds.ed.gov/cedselementdetails.aspx?termid=22248")</f>
        <v>https://ceds.ed.gov/cedselementdetails.aspx?termid=22248</v>
      </c>
      <c r="Q1310" s="22">
        <v>61065</v>
      </c>
    </row>
    <row r="1311" spans="1:17" ht="43.2" x14ac:dyDescent="0.3">
      <c r="A1311" s="22" t="s">
        <v>7779</v>
      </c>
      <c r="B1311" s="22" t="s">
        <v>7794</v>
      </c>
      <c r="C1311" s="22" t="s">
        <v>7744</v>
      </c>
      <c r="D1311" s="22" t="s">
        <v>7710</v>
      </c>
      <c r="E1311" s="22" t="s">
        <v>4281</v>
      </c>
      <c r="F1311" s="24" t="s">
        <v>4282</v>
      </c>
      <c r="G1311" s="23" t="s">
        <v>32</v>
      </c>
      <c r="H1311" s="22"/>
      <c r="I1311" s="22"/>
      <c r="J1311" s="22" t="s">
        <v>113</v>
      </c>
      <c r="K1311" s="24"/>
      <c r="L1311" s="24"/>
      <c r="M1311" s="25" t="s">
        <v>4283</v>
      </c>
      <c r="N1311" s="22"/>
      <c r="O1311" s="22" t="s">
        <v>4284</v>
      </c>
      <c r="P1311" s="22" t="str">
        <f>HYPERLINK("https://ceds.ed.gov/cedselementdetails.aspx?termid=22325")</f>
        <v>https://ceds.ed.gov/cedselementdetails.aspx?termid=22325</v>
      </c>
      <c r="Q1311" s="22">
        <v>62467</v>
      </c>
    </row>
    <row r="1312" spans="1:17" ht="28.8" x14ac:dyDescent="0.3">
      <c r="A1312" s="22" t="s">
        <v>7779</v>
      </c>
      <c r="B1312" s="22" t="s">
        <v>7794</v>
      </c>
      <c r="C1312" s="22" t="s">
        <v>7744</v>
      </c>
      <c r="D1312" s="22" t="s">
        <v>7710</v>
      </c>
      <c r="E1312" s="22" t="s">
        <v>4285</v>
      </c>
      <c r="F1312" s="24" t="s">
        <v>4286</v>
      </c>
      <c r="G1312" s="23" t="s">
        <v>32</v>
      </c>
      <c r="H1312" s="22"/>
      <c r="I1312" s="22"/>
      <c r="J1312" s="22" t="s">
        <v>328</v>
      </c>
      <c r="K1312" s="24"/>
      <c r="L1312" s="24"/>
      <c r="M1312" s="25" t="s">
        <v>4287</v>
      </c>
      <c r="N1312" s="22"/>
      <c r="O1312" s="22" t="s">
        <v>4288</v>
      </c>
      <c r="P1312" s="22" t="str">
        <f>HYPERLINK("https://ceds.ed.gov/cedselementdetails.aspx?termid=22326")</f>
        <v>https://ceds.ed.gov/cedselementdetails.aspx?termid=22326</v>
      </c>
      <c r="Q1312" s="22">
        <v>62468</v>
      </c>
    </row>
    <row r="1313" spans="1:17" ht="28.8" x14ac:dyDescent="0.3">
      <c r="A1313" s="22" t="s">
        <v>7779</v>
      </c>
      <c r="B1313" s="22" t="s">
        <v>7794</v>
      </c>
      <c r="C1313" s="22" t="s">
        <v>7748</v>
      </c>
      <c r="D1313" s="22" t="s">
        <v>7710</v>
      </c>
      <c r="E1313" s="22" t="s">
        <v>3100</v>
      </c>
      <c r="F1313" s="24" t="s">
        <v>3101</v>
      </c>
      <c r="G1313" s="23" t="s">
        <v>32</v>
      </c>
      <c r="H1313" s="22"/>
      <c r="I1313" s="22"/>
      <c r="J1313" s="22" t="s">
        <v>118</v>
      </c>
      <c r="K1313" s="24"/>
      <c r="L1313" s="24"/>
      <c r="M1313" s="25" t="s">
        <v>3102</v>
      </c>
      <c r="N1313" s="22"/>
      <c r="O1313" s="22" t="s">
        <v>3103</v>
      </c>
      <c r="P1313" s="22" t="str">
        <f>HYPERLINK("https://ceds.ed.gov/cedselementdetails.aspx?termid=21682")</f>
        <v>https://ceds.ed.gov/cedselementdetails.aspx?termid=21682</v>
      </c>
      <c r="Q1313" s="22">
        <v>62710</v>
      </c>
    </row>
    <row r="1314" spans="1:17" ht="115.2" x14ac:dyDescent="0.3">
      <c r="A1314" s="22" t="s">
        <v>7779</v>
      </c>
      <c r="B1314" s="22" t="s">
        <v>7794</v>
      </c>
      <c r="C1314" s="22" t="s">
        <v>7748</v>
      </c>
      <c r="D1314" s="22" t="s">
        <v>7710</v>
      </c>
      <c r="E1314" s="22" t="s">
        <v>3104</v>
      </c>
      <c r="F1314" s="24" t="s">
        <v>3105</v>
      </c>
      <c r="G1314" s="26" t="s">
        <v>8789</v>
      </c>
      <c r="H1314" s="22" t="s">
        <v>2015</v>
      </c>
      <c r="I1314" s="22"/>
      <c r="J1314" s="22"/>
      <c r="K1314" s="24"/>
      <c r="L1314" s="24"/>
      <c r="M1314" s="25" t="s">
        <v>3106</v>
      </c>
      <c r="N1314" s="22"/>
      <c r="O1314" s="22" t="s">
        <v>3107</v>
      </c>
      <c r="P1314" s="22" t="str">
        <f>HYPERLINK("https://ceds.ed.gov/cedselementdetails.aspx?termid=21310")</f>
        <v>https://ceds.ed.gov/cedselementdetails.aspx?termid=21310</v>
      </c>
      <c r="Q1314" s="22">
        <v>62711</v>
      </c>
    </row>
    <row r="1315" spans="1:17" ht="28.8" x14ac:dyDescent="0.3">
      <c r="A1315" s="22" t="s">
        <v>7779</v>
      </c>
      <c r="B1315" s="22" t="s">
        <v>7794</v>
      </c>
      <c r="C1315" s="22" t="s">
        <v>7747</v>
      </c>
      <c r="D1315" s="22" t="s">
        <v>7710</v>
      </c>
      <c r="E1315" s="22" t="s">
        <v>4289</v>
      </c>
      <c r="F1315" s="24" t="s">
        <v>4290</v>
      </c>
      <c r="G1315" s="23" t="s">
        <v>32</v>
      </c>
      <c r="H1315" s="22"/>
      <c r="I1315" s="22"/>
      <c r="J1315" s="22" t="s">
        <v>118</v>
      </c>
      <c r="K1315" s="24"/>
      <c r="L1315" s="24"/>
      <c r="M1315" s="25" t="s">
        <v>4291</v>
      </c>
      <c r="N1315" s="22"/>
      <c r="O1315" s="22" t="s">
        <v>4292</v>
      </c>
      <c r="P1315" s="22" t="str">
        <f>HYPERLINK("https://ceds.ed.gov/cedselementdetails.aspx?termid=21681")</f>
        <v>https://ceds.ed.gov/cedselementdetails.aspx?termid=21681</v>
      </c>
      <c r="Q1315" s="22">
        <v>61711</v>
      </c>
    </row>
    <row r="1316" spans="1:17" ht="43.2" x14ac:dyDescent="0.3">
      <c r="A1316" s="22" t="s">
        <v>7779</v>
      </c>
      <c r="B1316" s="22" t="s">
        <v>7794</v>
      </c>
      <c r="C1316" s="22" t="s">
        <v>7747</v>
      </c>
      <c r="D1316" s="22" t="s">
        <v>7710</v>
      </c>
      <c r="E1316" s="22" t="s">
        <v>4293</v>
      </c>
      <c r="F1316" s="24" t="s">
        <v>4294</v>
      </c>
      <c r="G1316" s="26" t="s">
        <v>8917</v>
      </c>
      <c r="H1316" s="22" t="s">
        <v>2015</v>
      </c>
      <c r="I1316" s="22"/>
      <c r="J1316" s="22"/>
      <c r="K1316" s="24"/>
      <c r="L1316" s="24"/>
      <c r="M1316" s="25" t="s">
        <v>4295</v>
      </c>
      <c r="N1316" s="22"/>
      <c r="O1316" s="22" t="s">
        <v>4296</v>
      </c>
      <c r="P1316" s="22" t="str">
        <f>HYPERLINK("https://ceds.ed.gov/cedselementdetails.aspx?termid=21309")</f>
        <v>https://ceds.ed.gov/cedselementdetails.aspx?termid=21309</v>
      </c>
      <c r="Q1316" s="22">
        <v>61712</v>
      </c>
    </row>
    <row r="1317" spans="1:17" ht="72" x14ac:dyDescent="0.3">
      <c r="A1317" s="22" t="s">
        <v>7779</v>
      </c>
      <c r="B1317" s="22" t="s">
        <v>7794</v>
      </c>
      <c r="C1317" s="22" t="s">
        <v>7745</v>
      </c>
      <c r="D1317" s="22" t="s">
        <v>7710</v>
      </c>
      <c r="E1317" s="22" t="s">
        <v>4512</v>
      </c>
      <c r="F1317" s="24" t="s">
        <v>4513</v>
      </c>
      <c r="G1317" s="23" t="s">
        <v>32</v>
      </c>
      <c r="H1317" s="24" t="s">
        <v>4516</v>
      </c>
      <c r="I1317" s="22"/>
      <c r="J1317" s="22" t="s">
        <v>118</v>
      </c>
      <c r="K1317" s="24"/>
      <c r="L1317" s="24"/>
      <c r="M1317" s="25" t="s">
        <v>4514</v>
      </c>
      <c r="N1317" s="22"/>
      <c r="O1317" s="22" t="s">
        <v>4515</v>
      </c>
      <c r="P1317" s="22" t="str">
        <f>HYPERLINK("https://ceds.ed.gov/cedselementdetails.aspx?termid=21306")</f>
        <v>https://ceds.ed.gov/cedselementdetails.aspx?termid=21306</v>
      </c>
      <c r="Q1317" s="22">
        <v>59721</v>
      </c>
    </row>
    <row r="1318" spans="1:17" ht="288" x14ac:dyDescent="0.3">
      <c r="A1318" s="22" t="s">
        <v>7779</v>
      </c>
      <c r="B1318" s="22" t="s">
        <v>7794</v>
      </c>
      <c r="C1318" s="22" t="s">
        <v>7745</v>
      </c>
      <c r="D1318" s="22" t="s">
        <v>7710</v>
      </c>
      <c r="E1318" s="22" t="s">
        <v>4525</v>
      </c>
      <c r="F1318" s="24" t="s">
        <v>4526</v>
      </c>
      <c r="G1318" s="26" t="s">
        <v>8943</v>
      </c>
      <c r="H1318" s="22"/>
      <c r="I1318" s="22"/>
      <c r="J1318" s="22"/>
      <c r="K1318" s="24"/>
      <c r="L1318" s="24"/>
      <c r="M1318" s="25" t="s">
        <v>4527</v>
      </c>
      <c r="N1318" s="22"/>
      <c r="O1318" s="22" t="s">
        <v>4528</v>
      </c>
      <c r="P1318" s="22" t="str">
        <f>HYPERLINK("https://ceds.ed.gov/cedselementdetails.aspx?termid=22214")</f>
        <v>https://ceds.ed.gov/cedselementdetails.aspx?termid=22214</v>
      </c>
      <c r="Q1318" s="22">
        <v>59720</v>
      </c>
    </row>
    <row r="1319" spans="1:17" ht="158.4" x14ac:dyDescent="0.3">
      <c r="A1319" s="22" t="s">
        <v>7779</v>
      </c>
      <c r="B1319" s="22" t="s">
        <v>7794</v>
      </c>
      <c r="C1319" s="22" t="s">
        <v>7749</v>
      </c>
      <c r="D1319" s="22" t="s">
        <v>7710</v>
      </c>
      <c r="E1319" s="22" t="s">
        <v>4826</v>
      </c>
      <c r="F1319" s="24" t="s">
        <v>4827</v>
      </c>
      <c r="G1319" s="26" t="s">
        <v>8786</v>
      </c>
      <c r="H1319" s="22" t="s">
        <v>3099</v>
      </c>
      <c r="I1319" s="22"/>
      <c r="J1319" s="22"/>
      <c r="K1319" s="24"/>
      <c r="L1319" s="24" t="s">
        <v>8077</v>
      </c>
      <c r="M1319" s="25" t="s">
        <v>4828</v>
      </c>
      <c r="N1319" s="22"/>
      <c r="O1319" s="22" t="s">
        <v>4829</v>
      </c>
      <c r="P1319" s="22" t="str">
        <f>HYPERLINK("https://ceds.ed.gov/cedselementdetails.aspx?termid=21334")</f>
        <v>https://ceds.ed.gov/cedselementdetails.aspx?termid=21334</v>
      </c>
      <c r="Q1319" s="22">
        <v>62712</v>
      </c>
    </row>
    <row r="1320" spans="1:17" ht="158.4" x14ac:dyDescent="0.3">
      <c r="A1320" s="22" t="s">
        <v>7779</v>
      </c>
      <c r="B1320" s="22" t="s">
        <v>7794</v>
      </c>
      <c r="C1320" s="22" t="s">
        <v>7749</v>
      </c>
      <c r="D1320" s="22" t="s">
        <v>7710</v>
      </c>
      <c r="E1320" s="22" t="s">
        <v>3095</v>
      </c>
      <c r="F1320" s="24" t="s">
        <v>3096</v>
      </c>
      <c r="G1320" s="26" t="s">
        <v>8786</v>
      </c>
      <c r="H1320" s="22" t="s">
        <v>3099</v>
      </c>
      <c r="I1320" s="22"/>
      <c r="J1320" s="22"/>
      <c r="K1320" s="24"/>
      <c r="L1320" s="24" t="s">
        <v>8077</v>
      </c>
      <c r="M1320" s="25" t="s">
        <v>3097</v>
      </c>
      <c r="N1320" s="22"/>
      <c r="O1320" s="22" t="s">
        <v>3098</v>
      </c>
      <c r="P1320" s="22" t="str">
        <f>HYPERLINK("https://ceds.ed.gov/cedselementdetails.aspx?termid=21335")</f>
        <v>https://ceds.ed.gov/cedselementdetails.aspx?termid=21335</v>
      </c>
      <c r="Q1320" s="22">
        <v>62713</v>
      </c>
    </row>
    <row r="1321" spans="1:17" ht="28.8" x14ac:dyDescent="0.3">
      <c r="A1321" s="22" t="s">
        <v>7779</v>
      </c>
      <c r="B1321" s="22" t="s">
        <v>7794</v>
      </c>
      <c r="C1321" s="22" t="s">
        <v>7746</v>
      </c>
      <c r="D1321" s="22" t="s">
        <v>7710</v>
      </c>
      <c r="E1321" s="22" t="s">
        <v>7345</v>
      </c>
      <c r="F1321" s="24" t="s">
        <v>7346</v>
      </c>
      <c r="G1321" s="23" t="s">
        <v>32</v>
      </c>
      <c r="H1321" s="22"/>
      <c r="I1321" s="22"/>
      <c r="J1321" s="22" t="s">
        <v>118</v>
      </c>
      <c r="K1321" s="24"/>
      <c r="L1321" s="24"/>
      <c r="M1321" s="25" t="s">
        <v>7347</v>
      </c>
      <c r="N1321" s="22"/>
      <c r="O1321" s="22" t="s">
        <v>7348</v>
      </c>
      <c r="P1321" s="22" t="str">
        <f>HYPERLINK("https://ceds.ed.gov/cedselementdetails.aspx?termid=21680")</f>
        <v>https://ceds.ed.gov/cedselementdetails.aspx?termid=21680</v>
      </c>
      <c r="Q1321" s="22">
        <v>61709</v>
      </c>
    </row>
    <row r="1322" spans="1:17" ht="43.2" x14ac:dyDescent="0.3">
      <c r="A1322" s="22" t="s">
        <v>7779</v>
      </c>
      <c r="B1322" s="22" t="s">
        <v>7794</v>
      </c>
      <c r="C1322" s="22" t="s">
        <v>7746</v>
      </c>
      <c r="D1322" s="22" t="s">
        <v>7710</v>
      </c>
      <c r="E1322" s="22" t="s">
        <v>7349</v>
      </c>
      <c r="F1322" s="24" t="s">
        <v>7350</v>
      </c>
      <c r="G1322" s="26" t="s">
        <v>8917</v>
      </c>
      <c r="H1322" s="22" t="s">
        <v>2015</v>
      </c>
      <c r="I1322" s="22"/>
      <c r="J1322" s="22"/>
      <c r="K1322" s="24"/>
      <c r="L1322" s="24"/>
      <c r="M1322" s="25" t="s">
        <v>7351</v>
      </c>
      <c r="N1322" s="22"/>
      <c r="O1322" s="22" t="s">
        <v>7352</v>
      </c>
      <c r="P1322" s="22" t="str">
        <f>HYPERLINK("https://ceds.ed.gov/cedselementdetails.aspx?termid=21308")</f>
        <v>https://ceds.ed.gov/cedselementdetails.aspx?termid=21308</v>
      </c>
      <c r="Q1322" s="22">
        <v>61710</v>
      </c>
    </row>
    <row r="1323" spans="1:17" ht="172.8" x14ac:dyDescent="0.3">
      <c r="A1323" s="22" t="s">
        <v>7779</v>
      </c>
      <c r="B1323" s="22" t="s">
        <v>7794</v>
      </c>
      <c r="C1323" s="22" t="s">
        <v>7755</v>
      </c>
      <c r="D1323" s="22" t="s">
        <v>7710</v>
      </c>
      <c r="E1323" s="22" t="s">
        <v>5343</v>
      </c>
      <c r="F1323" s="24" t="s">
        <v>5344</v>
      </c>
      <c r="G1323" s="23" t="s">
        <v>32</v>
      </c>
      <c r="H1323" s="24" t="s">
        <v>5342</v>
      </c>
      <c r="I1323" s="22" t="s">
        <v>172</v>
      </c>
      <c r="J1323" s="22" t="s">
        <v>132</v>
      </c>
      <c r="K1323" s="24" t="s">
        <v>7946</v>
      </c>
      <c r="L1323" s="24" t="s">
        <v>8043</v>
      </c>
      <c r="M1323" s="25" t="s">
        <v>5345</v>
      </c>
      <c r="N1323" s="22" t="s">
        <v>5346</v>
      </c>
      <c r="O1323" s="22" t="s">
        <v>5347</v>
      </c>
      <c r="P1323" s="22" t="str">
        <f>HYPERLINK("https://ceds.ed.gov/cedselementdetails.aspx?termid=21153")</f>
        <v>https://ceds.ed.gov/cedselementdetails.aspx?termid=21153</v>
      </c>
      <c r="Q1323" s="22">
        <v>59773</v>
      </c>
    </row>
    <row r="1324" spans="1:17" ht="172.8" x14ac:dyDescent="0.3">
      <c r="A1324" s="22" t="s">
        <v>7779</v>
      </c>
      <c r="B1324" s="22" t="s">
        <v>7794</v>
      </c>
      <c r="C1324" s="22" t="s">
        <v>7755</v>
      </c>
      <c r="D1324" s="22" t="s">
        <v>7710</v>
      </c>
      <c r="E1324" s="22" t="s">
        <v>5337</v>
      </c>
      <c r="F1324" s="24" t="s">
        <v>5338</v>
      </c>
      <c r="G1324" s="26" t="s">
        <v>8472</v>
      </c>
      <c r="H1324" s="24" t="s">
        <v>5342</v>
      </c>
      <c r="I1324" s="22" t="s">
        <v>172</v>
      </c>
      <c r="J1324" s="22"/>
      <c r="K1324" s="24" t="s">
        <v>7946</v>
      </c>
      <c r="L1324" s="24"/>
      <c r="M1324" s="25" t="s">
        <v>5339</v>
      </c>
      <c r="N1324" s="22" t="s">
        <v>5340</v>
      </c>
      <c r="O1324" s="22" t="s">
        <v>5341</v>
      </c>
      <c r="P1324" s="22" t="str">
        <f>HYPERLINK("https://ceds.ed.gov/cedselementdetails.aspx?termid=21159")</f>
        <v>https://ceds.ed.gov/cedselementdetails.aspx?termid=21159</v>
      </c>
      <c r="Q1324" s="22">
        <v>59777</v>
      </c>
    </row>
    <row r="1325" spans="1:17" ht="172.8" x14ac:dyDescent="0.3">
      <c r="A1325" s="22" t="s">
        <v>7779</v>
      </c>
      <c r="B1325" s="22" t="s">
        <v>7794</v>
      </c>
      <c r="C1325" s="22" t="s">
        <v>7755</v>
      </c>
      <c r="D1325" s="22" t="s">
        <v>7710</v>
      </c>
      <c r="E1325" s="22" t="s">
        <v>6625</v>
      </c>
      <c r="F1325" s="24" t="s">
        <v>280</v>
      </c>
      <c r="G1325" s="23" t="s">
        <v>32</v>
      </c>
      <c r="H1325" s="24" t="s">
        <v>6624</v>
      </c>
      <c r="I1325" s="22" t="s">
        <v>172</v>
      </c>
      <c r="J1325" s="22" t="s">
        <v>132</v>
      </c>
      <c r="K1325" s="24" t="s">
        <v>7946</v>
      </c>
      <c r="L1325" s="24" t="s">
        <v>7945</v>
      </c>
      <c r="M1325" s="25" t="s">
        <v>6626</v>
      </c>
      <c r="N1325" s="22"/>
      <c r="O1325" s="22" t="s">
        <v>6627</v>
      </c>
      <c r="P1325" s="22" t="str">
        <f>HYPERLINK("https://ceds.ed.gov/cedselementdetails.aspx?termid=21155")</f>
        <v>https://ceds.ed.gov/cedselementdetails.aspx?termid=21155</v>
      </c>
      <c r="Q1325" s="22">
        <v>59774</v>
      </c>
    </row>
    <row r="1326" spans="1:17" ht="187.2" x14ac:dyDescent="0.3">
      <c r="A1326" s="22" t="s">
        <v>7779</v>
      </c>
      <c r="B1326" s="22" t="s">
        <v>7794</v>
      </c>
      <c r="C1326" s="22" t="s">
        <v>7755</v>
      </c>
      <c r="D1326" s="22" t="s">
        <v>7710</v>
      </c>
      <c r="E1326" s="22" t="s">
        <v>6621</v>
      </c>
      <c r="F1326" s="24" t="s">
        <v>275</v>
      </c>
      <c r="G1326" s="26" t="s">
        <v>8521</v>
      </c>
      <c r="H1326" s="24" t="s">
        <v>6624</v>
      </c>
      <c r="I1326" s="22" t="s">
        <v>172</v>
      </c>
      <c r="J1326" s="22"/>
      <c r="K1326" s="24" t="s">
        <v>7946</v>
      </c>
      <c r="L1326" s="24"/>
      <c r="M1326" s="25" t="s">
        <v>6622</v>
      </c>
      <c r="N1326" s="22"/>
      <c r="O1326" s="22" t="s">
        <v>6623</v>
      </c>
      <c r="P1326" s="22" t="str">
        <f>HYPERLINK("https://ceds.ed.gov/cedselementdetails.aspx?termid=21161")</f>
        <v>https://ceds.ed.gov/cedselementdetails.aspx?termid=21161</v>
      </c>
      <c r="Q1326" s="22">
        <v>59778</v>
      </c>
    </row>
    <row r="1327" spans="1:17" ht="187.2" x14ac:dyDescent="0.3">
      <c r="A1327" s="22" t="s">
        <v>7779</v>
      </c>
      <c r="B1327" s="22" t="s">
        <v>7794</v>
      </c>
      <c r="C1327" s="22" t="s">
        <v>7755</v>
      </c>
      <c r="D1327" s="22" t="s">
        <v>7710</v>
      </c>
      <c r="E1327" s="22" t="s">
        <v>5679</v>
      </c>
      <c r="F1327" s="24" t="s">
        <v>5680</v>
      </c>
      <c r="G1327" s="26" t="s">
        <v>8485</v>
      </c>
      <c r="H1327" s="22" t="s">
        <v>109</v>
      </c>
      <c r="I1327" s="22" t="s">
        <v>172</v>
      </c>
      <c r="J1327" s="22"/>
      <c r="K1327" s="24" t="s">
        <v>7946</v>
      </c>
      <c r="L1327" s="24"/>
      <c r="M1327" s="25" t="s">
        <v>5681</v>
      </c>
      <c r="N1327" s="22"/>
      <c r="O1327" s="22" t="s">
        <v>5682</v>
      </c>
      <c r="P1327" s="22" t="str">
        <f>HYPERLINK("https://ceds.ed.gov/cedselementdetails.aspx?termid=21827")</f>
        <v>https://ceds.ed.gov/cedselementdetails.aspx?termid=21827</v>
      </c>
      <c r="Q1327" s="22">
        <v>62378</v>
      </c>
    </row>
    <row r="1328" spans="1:17" ht="172.8" x14ac:dyDescent="0.3">
      <c r="A1328" s="22" t="s">
        <v>7779</v>
      </c>
      <c r="B1328" s="22" t="s">
        <v>7794</v>
      </c>
      <c r="C1328" s="22" t="s">
        <v>7755</v>
      </c>
      <c r="D1328" s="22" t="s">
        <v>7710</v>
      </c>
      <c r="E1328" s="22" t="s">
        <v>6443</v>
      </c>
      <c r="F1328" s="24" t="s">
        <v>6444</v>
      </c>
      <c r="G1328" s="23" t="s">
        <v>32</v>
      </c>
      <c r="H1328" s="22" t="s">
        <v>226</v>
      </c>
      <c r="I1328" s="22"/>
      <c r="J1328" s="22" t="s">
        <v>132</v>
      </c>
      <c r="K1328" s="24"/>
      <c r="L1328" s="24" t="s">
        <v>7945</v>
      </c>
      <c r="M1328" s="25" t="s">
        <v>6445</v>
      </c>
      <c r="N1328" s="22"/>
      <c r="O1328" s="22" t="s">
        <v>6446</v>
      </c>
      <c r="P1328" s="22" t="str">
        <f>HYPERLINK("https://ceds.ed.gov/cedselementdetails.aspx?termid=21639")</f>
        <v>https://ceds.ed.gov/cedselementdetails.aspx?termid=21639</v>
      </c>
      <c r="Q1328" s="22">
        <v>59905</v>
      </c>
    </row>
    <row r="1329" spans="1:17" ht="144" x14ac:dyDescent="0.3">
      <c r="A1329" s="22" t="s">
        <v>7779</v>
      </c>
      <c r="B1329" s="22" t="s">
        <v>7794</v>
      </c>
      <c r="C1329" s="22" t="s">
        <v>7755</v>
      </c>
      <c r="D1329" s="22" t="s">
        <v>7710</v>
      </c>
      <c r="E1329" s="22" t="s">
        <v>6447</v>
      </c>
      <c r="F1329" s="24" t="s">
        <v>6448</v>
      </c>
      <c r="G1329" s="26" t="s">
        <v>8512</v>
      </c>
      <c r="H1329" s="22" t="s">
        <v>226</v>
      </c>
      <c r="I1329" s="22"/>
      <c r="J1329" s="22"/>
      <c r="K1329" s="24"/>
      <c r="L1329" s="24"/>
      <c r="M1329" s="25" t="s">
        <v>6449</v>
      </c>
      <c r="N1329" s="22"/>
      <c r="O1329" s="22" t="s">
        <v>6450</v>
      </c>
      <c r="P1329" s="22" t="str">
        <f>HYPERLINK("https://ceds.ed.gov/cedselementdetails.aspx?termid=21587")</f>
        <v>https://ceds.ed.gov/cedselementdetails.aspx?termid=21587</v>
      </c>
      <c r="Q1329" s="22">
        <v>59893</v>
      </c>
    </row>
    <row r="1330" spans="1:17" ht="172.8" x14ac:dyDescent="0.3">
      <c r="A1330" s="22" t="s">
        <v>7779</v>
      </c>
      <c r="B1330" s="22" t="s">
        <v>7794</v>
      </c>
      <c r="C1330" s="22" t="s">
        <v>7755</v>
      </c>
      <c r="D1330" s="22" t="s">
        <v>7710</v>
      </c>
      <c r="E1330" s="22" t="s">
        <v>6459</v>
      </c>
      <c r="F1330" s="24" t="s">
        <v>6460</v>
      </c>
      <c r="G1330" s="23" t="s">
        <v>32</v>
      </c>
      <c r="H1330" s="22" t="s">
        <v>226</v>
      </c>
      <c r="I1330" s="22"/>
      <c r="J1330" s="22" t="s">
        <v>132</v>
      </c>
      <c r="K1330" s="24"/>
      <c r="L1330" s="24" t="s">
        <v>7945</v>
      </c>
      <c r="M1330" s="25" t="s">
        <v>6461</v>
      </c>
      <c r="N1330" s="22"/>
      <c r="O1330" s="22" t="s">
        <v>6462</v>
      </c>
      <c r="P1330" s="22" t="str">
        <f>HYPERLINK("https://ceds.ed.gov/cedselementdetails.aspx?termid=21640")</f>
        <v>https://ceds.ed.gov/cedselementdetails.aspx?termid=21640</v>
      </c>
      <c r="Q1330" s="22">
        <v>59906</v>
      </c>
    </row>
    <row r="1331" spans="1:17" ht="144" x14ac:dyDescent="0.3">
      <c r="A1331" s="22" t="s">
        <v>7779</v>
      </c>
      <c r="B1331" s="22" t="s">
        <v>7794</v>
      </c>
      <c r="C1331" s="22" t="s">
        <v>7755</v>
      </c>
      <c r="D1331" s="22" t="s">
        <v>7710</v>
      </c>
      <c r="E1331" s="22" t="s">
        <v>6463</v>
      </c>
      <c r="F1331" s="24" t="s">
        <v>6464</v>
      </c>
      <c r="G1331" s="26" t="s">
        <v>8512</v>
      </c>
      <c r="H1331" s="22" t="s">
        <v>226</v>
      </c>
      <c r="I1331" s="22" t="s">
        <v>172</v>
      </c>
      <c r="J1331" s="22"/>
      <c r="K1331" s="24" t="s">
        <v>7946</v>
      </c>
      <c r="L1331" s="24"/>
      <c r="M1331" s="25" t="s">
        <v>6465</v>
      </c>
      <c r="N1331" s="22"/>
      <c r="O1331" s="22" t="s">
        <v>6466</v>
      </c>
      <c r="P1331" s="22" t="str">
        <f>HYPERLINK("https://ceds.ed.gov/cedselementdetails.aspx?termid=21588")</f>
        <v>https://ceds.ed.gov/cedselementdetails.aspx?termid=21588</v>
      </c>
      <c r="Q1331" s="22">
        <v>59894</v>
      </c>
    </row>
    <row r="1332" spans="1:17" ht="230.4" x14ac:dyDescent="0.3">
      <c r="A1332" s="22" t="s">
        <v>7779</v>
      </c>
      <c r="B1332" s="22" t="s">
        <v>7794</v>
      </c>
      <c r="C1332" s="22" t="s">
        <v>7755</v>
      </c>
      <c r="D1332" s="22" t="s">
        <v>7710</v>
      </c>
      <c r="E1332" s="22" t="s">
        <v>6451</v>
      </c>
      <c r="F1332" s="24" t="s">
        <v>8296</v>
      </c>
      <c r="G1332" s="23" t="s">
        <v>32</v>
      </c>
      <c r="H1332" s="22"/>
      <c r="I1332" s="22"/>
      <c r="J1332" s="22" t="s">
        <v>132</v>
      </c>
      <c r="K1332" s="24"/>
      <c r="L1332" s="24" t="s">
        <v>8297</v>
      </c>
      <c r="M1332" s="25" t="s">
        <v>6453</v>
      </c>
      <c r="N1332" s="22"/>
      <c r="O1332" s="22" t="s">
        <v>6454</v>
      </c>
      <c r="P1332" s="22" t="str">
        <f>HYPERLINK("https://ceds.ed.gov/cedselementdetails.aspx?termid=22438")</f>
        <v>https://ceds.ed.gov/cedselementdetails.aspx?termid=22438</v>
      </c>
      <c r="Q1332" s="22">
        <v>62382</v>
      </c>
    </row>
    <row r="1333" spans="1:17" ht="115.2" x14ac:dyDescent="0.3">
      <c r="A1333" s="22" t="s">
        <v>7779</v>
      </c>
      <c r="B1333" s="22" t="s">
        <v>7794</v>
      </c>
      <c r="C1333" s="22" t="s">
        <v>7755</v>
      </c>
      <c r="D1333" s="22" t="s">
        <v>7710</v>
      </c>
      <c r="E1333" s="22" t="s">
        <v>6455</v>
      </c>
      <c r="F1333" s="24" t="s">
        <v>6456</v>
      </c>
      <c r="G1333" s="26" t="s">
        <v>9132</v>
      </c>
      <c r="H1333" s="22"/>
      <c r="I1333" s="22"/>
      <c r="J1333" s="22"/>
      <c r="K1333" s="24"/>
      <c r="L1333" s="24" t="s">
        <v>6452</v>
      </c>
      <c r="M1333" s="25" t="s">
        <v>6457</v>
      </c>
      <c r="N1333" s="22"/>
      <c r="O1333" s="22" t="s">
        <v>6458</v>
      </c>
      <c r="P1333" s="22" t="str">
        <f>HYPERLINK("https://ceds.ed.gov/cedselementdetails.aspx?termid=22439")</f>
        <v>https://ceds.ed.gov/cedselementdetails.aspx?termid=22439</v>
      </c>
      <c r="Q1333" s="22">
        <v>62385</v>
      </c>
    </row>
    <row r="1334" spans="1:17" ht="57.6" x14ac:dyDescent="0.3">
      <c r="A1334" s="22" t="s">
        <v>7779</v>
      </c>
      <c r="B1334" s="22" t="s">
        <v>7794</v>
      </c>
      <c r="C1334" s="22" t="s">
        <v>7755</v>
      </c>
      <c r="D1334" s="22" t="s">
        <v>7710</v>
      </c>
      <c r="E1334" s="22" t="s">
        <v>8234</v>
      </c>
      <c r="F1334" s="24" t="s">
        <v>4959</v>
      </c>
      <c r="G1334" s="26" t="s">
        <v>8991</v>
      </c>
      <c r="H1334" s="22"/>
      <c r="I1334" s="22"/>
      <c r="J1334" s="22"/>
      <c r="K1334" s="24"/>
      <c r="L1334" s="24"/>
      <c r="M1334" s="25" t="s">
        <v>4960</v>
      </c>
      <c r="N1334" s="22"/>
      <c r="O1334" s="22" t="s">
        <v>4961</v>
      </c>
      <c r="P1334" s="22" t="str">
        <f>HYPERLINK("https://ceds.ed.gov/cedselementdetails.aspx?termid=21690")</f>
        <v>https://ceds.ed.gov/cedselementdetails.aspx?termid=21690</v>
      </c>
      <c r="Q1334" s="22">
        <v>59914</v>
      </c>
    </row>
    <row r="1335" spans="1:17" ht="72" x14ac:dyDescent="0.3">
      <c r="A1335" s="22" t="s">
        <v>7779</v>
      </c>
      <c r="B1335" s="22" t="s">
        <v>7794</v>
      </c>
      <c r="C1335" s="22" t="s">
        <v>7755</v>
      </c>
      <c r="D1335" s="22" t="s">
        <v>7710</v>
      </c>
      <c r="E1335" s="22" t="s">
        <v>4120</v>
      </c>
      <c r="F1335" s="24" t="s">
        <v>4121</v>
      </c>
      <c r="G1335" s="26" t="s">
        <v>3039</v>
      </c>
      <c r="H1335" s="24" t="s">
        <v>64</v>
      </c>
      <c r="I1335" s="22"/>
      <c r="J1335" s="22"/>
      <c r="K1335" s="24"/>
      <c r="L1335" s="24"/>
      <c r="M1335" s="25" t="s">
        <v>4122</v>
      </c>
      <c r="N1335" s="22"/>
      <c r="O1335" s="22" t="s">
        <v>4123</v>
      </c>
      <c r="P1335" s="22" t="str">
        <f>HYPERLINK("https://ceds.ed.gov/cedselementdetails.aspx?termid=21122")</f>
        <v>https://ceds.ed.gov/cedselementdetails.aspx?termid=21122</v>
      </c>
      <c r="Q1335" s="22">
        <v>59756</v>
      </c>
    </row>
    <row r="1336" spans="1:17" ht="72" x14ac:dyDescent="0.3">
      <c r="A1336" s="22" t="s">
        <v>7779</v>
      </c>
      <c r="B1336" s="22" t="s">
        <v>7794</v>
      </c>
      <c r="C1336" s="22" t="s">
        <v>7755</v>
      </c>
      <c r="D1336" s="22" t="s">
        <v>7710</v>
      </c>
      <c r="E1336" s="22" t="s">
        <v>3599</v>
      </c>
      <c r="F1336" s="24" t="s">
        <v>3600</v>
      </c>
      <c r="G1336" s="26" t="s">
        <v>8855</v>
      </c>
      <c r="H1336" s="22" t="s">
        <v>226</v>
      </c>
      <c r="I1336" s="22"/>
      <c r="J1336" s="22"/>
      <c r="K1336" s="24"/>
      <c r="L1336" s="24"/>
      <c r="M1336" s="25" t="s">
        <v>3601</v>
      </c>
      <c r="N1336" s="22"/>
      <c r="O1336" s="22" t="s">
        <v>3602</v>
      </c>
      <c r="P1336" s="22" t="str">
        <f>HYPERLINK("https://ceds.ed.gov/cedselementdetails.aspx?termid=21094")</f>
        <v>https://ceds.ed.gov/cedselementdetails.aspx?termid=21094</v>
      </c>
      <c r="Q1336" s="22">
        <v>59746</v>
      </c>
    </row>
    <row r="1337" spans="1:17" ht="172.8" x14ac:dyDescent="0.3">
      <c r="A1337" s="22" t="s">
        <v>7779</v>
      </c>
      <c r="B1337" s="22" t="s">
        <v>7794</v>
      </c>
      <c r="C1337" s="22" t="s">
        <v>7755</v>
      </c>
      <c r="D1337" s="22" t="s">
        <v>7710</v>
      </c>
      <c r="E1337" s="22" t="s">
        <v>3585</v>
      </c>
      <c r="F1337" s="24" t="s">
        <v>3586</v>
      </c>
      <c r="G1337" s="23" t="s">
        <v>32</v>
      </c>
      <c r="H1337" s="24" t="s">
        <v>3589</v>
      </c>
      <c r="I1337" s="22" t="s">
        <v>172</v>
      </c>
      <c r="J1337" s="22" t="s">
        <v>118</v>
      </c>
      <c r="K1337" s="24" t="s">
        <v>7946</v>
      </c>
      <c r="L1337" s="24"/>
      <c r="M1337" s="25" t="s">
        <v>3587</v>
      </c>
      <c r="N1337" s="22"/>
      <c r="O1337" s="22" t="s">
        <v>3588</v>
      </c>
      <c r="P1337" s="22" t="str">
        <f>HYPERLINK("https://ceds.ed.gov/cedselementdetails.aspx?termid=21097")</f>
        <v>https://ceds.ed.gov/cedselementdetails.aspx?termid=21097</v>
      </c>
      <c r="Q1337" s="22">
        <v>59747</v>
      </c>
    </row>
    <row r="1338" spans="1:17" ht="331.2" x14ac:dyDescent="0.3">
      <c r="A1338" s="22" t="s">
        <v>7779</v>
      </c>
      <c r="B1338" s="22" t="s">
        <v>7794</v>
      </c>
      <c r="C1338" s="22" t="s">
        <v>7755</v>
      </c>
      <c r="D1338" s="22" t="s">
        <v>7710</v>
      </c>
      <c r="E1338" s="22" t="s">
        <v>3607</v>
      </c>
      <c r="F1338" s="24" t="s">
        <v>3608</v>
      </c>
      <c r="G1338" s="26" t="s">
        <v>8458</v>
      </c>
      <c r="H1338" s="24" t="s">
        <v>1901</v>
      </c>
      <c r="I1338" s="22"/>
      <c r="J1338" s="22"/>
      <c r="K1338" s="24"/>
      <c r="L1338" s="24"/>
      <c r="M1338" s="25" t="s">
        <v>3610</v>
      </c>
      <c r="N1338" s="22"/>
      <c r="O1338" s="22" t="s">
        <v>3611</v>
      </c>
      <c r="P1338" s="22" t="str">
        <f>HYPERLINK("https://ceds.ed.gov/cedselementdetails.aspx?termid=21100")</f>
        <v>https://ceds.ed.gov/cedselementdetails.aspx?termid=21100</v>
      </c>
      <c r="Q1338" s="22">
        <v>59749</v>
      </c>
    </row>
    <row r="1339" spans="1:17" ht="409.6" x14ac:dyDescent="0.3">
      <c r="A1339" s="22" t="s">
        <v>7779</v>
      </c>
      <c r="B1339" s="22" t="s">
        <v>7794</v>
      </c>
      <c r="C1339" s="22" t="s">
        <v>7755</v>
      </c>
      <c r="D1339" s="22" t="s">
        <v>7710</v>
      </c>
      <c r="E1339" s="22" t="s">
        <v>3612</v>
      </c>
      <c r="F1339" s="24" t="s">
        <v>3613</v>
      </c>
      <c r="G1339" s="26" t="s">
        <v>8856</v>
      </c>
      <c r="H1339" s="24" t="s">
        <v>64</v>
      </c>
      <c r="I1339" s="22"/>
      <c r="J1339" s="22"/>
      <c r="K1339" s="24"/>
      <c r="L1339" s="24"/>
      <c r="M1339" s="25" t="s">
        <v>3614</v>
      </c>
      <c r="N1339" s="22"/>
      <c r="O1339" s="22" t="s">
        <v>3615</v>
      </c>
      <c r="P1339" s="22" t="str">
        <f>HYPERLINK("https://ceds.ed.gov/cedselementdetails.aspx?termid=21099")</f>
        <v>https://ceds.ed.gov/cedselementdetails.aspx?termid=21099</v>
      </c>
      <c r="Q1339" s="22">
        <v>59748</v>
      </c>
    </row>
    <row r="1340" spans="1:17" ht="57.6" x14ac:dyDescent="0.3">
      <c r="A1340" s="22" t="s">
        <v>7779</v>
      </c>
      <c r="B1340" s="22" t="s">
        <v>7794</v>
      </c>
      <c r="C1340" s="22" t="s">
        <v>7755</v>
      </c>
      <c r="D1340" s="22" t="s">
        <v>7710</v>
      </c>
      <c r="E1340" s="22" t="s">
        <v>3590</v>
      </c>
      <c r="F1340" s="24" t="s">
        <v>3591</v>
      </c>
      <c r="G1340" s="23" t="s">
        <v>32</v>
      </c>
      <c r="H1340" s="22" t="s">
        <v>58</v>
      </c>
      <c r="I1340" s="22"/>
      <c r="J1340" s="22" t="s">
        <v>118</v>
      </c>
      <c r="K1340" s="24"/>
      <c r="L1340" s="24" t="s">
        <v>143</v>
      </c>
      <c r="M1340" s="25" t="s">
        <v>3592</v>
      </c>
      <c r="N1340" s="22"/>
      <c r="O1340" s="22" t="s">
        <v>3593</v>
      </c>
      <c r="P1340" s="22" t="str">
        <f>HYPERLINK("https://ceds.ed.gov/cedselementdetails.aspx?termid=21107")</f>
        <v>https://ceds.ed.gov/cedselementdetails.aspx?termid=21107</v>
      </c>
      <c r="Q1340" s="22">
        <v>59750</v>
      </c>
    </row>
    <row r="1341" spans="1:17" ht="331.2" x14ac:dyDescent="0.3">
      <c r="A1341" s="22" t="s">
        <v>7779</v>
      </c>
      <c r="B1341" s="22" t="s">
        <v>7794</v>
      </c>
      <c r="C1341" s="22" t="s">
        <v>7755</v>
      </c>
      <c r="D1341" s="22" t="s">
        <v>7710</v>
      </c>
      <c r="E1341" s="22" t="s">
        <v>3616</v>
      </c>
      <c r="F1341" s="24" t="s">
        <v>3617</v>
      </c>
      <c r="G1341" s="26" t="s">
        <v>8433</v>
      </c>
      <c r="H1341" s="22"/>
      <c r="I1341" s="22" t="s">
        <v>172</v>
      </c>
      <c r="J1341" s="22"/>
      <c r="K1341" s="24" t="s">
        <v>7995</v>
      </c>
      <c r="L1341" s="24"/>
      <c r="M1341" s="25" t="s">
        <v>3618</v>
      </c>
      <c r="N1341" s="22"/>
      <c r="O1341" s="22" t="s">
        <v>3619</v>
      </c>
      <c r="P1341" s="22" t="str">
        <f>HYPERLINK("https://ceds.ed.gov/cedselementdetails.aspx?termid=22177")</f>
        <v>https://ceds.ed.gov/cedselementdetails.aspx?termid=22177</v>
      </c>
      <c r="Q1341" s="22">
        <v>59623</v>
      </c>
    </row>
    <row r="1342" spans="1:17" ht="409.6" x14ac:dyDescent="0.3">
      <c r="A1342" s="22" t="s">
        <v>7779</v>
      </c>
      <c r="B1342" s="22" t="s">
        <v>7794</v>
      </c>
      <c r="C1342" s="22" t="s">
        <v>7755</v>
      </c>
      <c r="D1342" s="22" t="s">
        <v>7710</v>
      </c>
      <c r="E1342" s="22" t="s">
        <v>3625</v>
      </c>
      <c r="F1342" s="24" t="s">
        <v>8114</v>
      </c>
      <c r="G1342" s="26" t="s">
        <v>8857</v>
      </c>
      <c r="H1342" s="24" t="s">
        <v>3628</v>
      </c>
      <c r="I1342" s="22"/>
      <c r="J1342" s="22"/>
      <c r="K1342" s="24"/>
      <c r="L1342" s="24" t="s">
        <v>8115</v>
      </c>
      <c r="M1342" s="25" t="s">
        <v>3626</v>
      </c>
      <c r="N1342" s="22"/>
      <c r="O1342" s="22" t="s">
        <v>3627</v>
      </c>
      <c r="P1342" s="22" t="str">
        <f>HYPERLINK("https://ceds.ed.gov/cedselementdetails.aspx?termid=21110")</f>
        <v>https://ceds.ed.gov/cedselementdetails.aspx?termid=21110</v>
      </c>
      <c r="Q1342" s="22">
        <v>59752</v>
      </c>
    </row>
    <row r="1343" spans="1:17" ht="43.2" x14ac:dyDescent="0.3">
      <c r="A1343" s="22" t="s">
        <v>7779</v>
      </c>
      <c r="B1343" s="22" t="s">
        <v>7794</v>
      </c>
      <c r="C1343" s="22" t="s">
        <v>7755</v>
      </c>
      <c r="D1343" s="22" t="s">
        <v>7710</v>
      </c>
      <c r="E1343" s="22" t="s">
        <v>3620</v>
      </c>
      <c r="F1343" s="24" t="s">
        <v>3621</v>
      </c>
      <c r="G1343" s="26" t="s">
        <v>8434</v>
      </c>
      <c r="H1343" s="22" t="s">
        <v>2707</v>
      </c>
      <c r="I1343" s="22" t="s">
        <v>172</v>
      </c>
      <c r="J1343" s="22"/>
      <c r="K1343" s="24" t="s">
        <v>7946</v>
      </c>
      <c r="L1343" s="24"/>
      <c r="M1343" s="25" t="s">
        <v>3623</v>
      </c>
      <c r="N1343" s="22"/>
      <c r="O1343" s="22" t="s">
        <v>3624</v>
      </c>
      <c r="P1343" s="22" t="str">
        <f>HYPERLINK("https://ceds.ed.gov/cedselementdetails.aspx?termid=21108")</f>
        <v>https://ceds.ed.gov/cedselementdetails.aspx?termid=21108</v>
      </c>
      <c r="Q1343" s="22">
        <v>59751</v>
      </c>
    </row>
    <row r="1344" spans="1:17" ht="57.6" x14ac:dyDescent="0.3">
      <c r="A1344" s="22" t="s">
        <v>7779</v>
      </c>
      <c r="B1344" s="22" t="s">
        <v>7794</v>
      </c>
      <c r="C1344" s="22" t="s">
        <v>7755</v>
      </c>
      <c r="D1344" s="22" t="s">
        <v>7710</v>
      </c>
      <c r="E1344" s="22" t="s">
        <v>2122</v>
      </c>
      <c r="F1344" s="24" t="s">
        <v>2123</v>
      </c>
      <c r="G1344" s="23" t="s">
        <v>32</v>
      </c>
      <c r="H1344" s="24" t="s">
        <v>1965</v>
      </c>
      <c r="I1344" s="22"/>
      <c r="J1344" s="22" t="s">
        <v>1844</v>
      </c>
      <c r="K1344" s="24"/>
      <c r="L1344" s="24"/>
      <c r="M1344" s="25" t="s">
        <v>2125</v>
      </c>
      <c r="N1344" s="22"/>
      <c r="O1344" s="22" t="s">
        <v>2126</v>
      </c>
      <c r="P1344" s="22" t="str">
        <f>HYPERLINK("https://ceds.ed.gov/cedselementdetails.aspx?termid=21046")</f>
        <v>https://ceds.ed.gov/cedselementdetails.aspx?termid=21046</v>
      </c>
      <c r="Q1344" s="22">
        <v>59000</v>
      </c>
    </row>
    <row r="1345" spans="1:17" ht="43.2" x14ac:dyDescent="0.3">
      <c r="A1345" s="22" t="s">
        <v>7779</v>
      </c>
      <c r="B1345" s="22" t="s">
        <v>7794</v>
      </c>
      <c r="C1345" s="22" t="s">
        <v>7755</v>
      </c>
      <c r="D1345" s="22" t="s">
        <v>7710</v>
      </c>
      <c r="E1345" s="22" t="s">
        <v>2117</v>
      </c>
      <c r="F1345" s="24" t="s">
        <v>7452</v>
      </c>
      <c r="G1345" s="23" t="s">
        <v>32</v>
      </c>
      <c r="H1345" s="24" t="s">
        <v>2121</v>
      </c>
      <c r="I1345" s="22"/>
      <c r="J1345" s="22" t="s">
        <v>1844</v>
      </c>
      <c r="K1345" s="24"/>
      <c r="L1345" s="24"/>
      <c r="M1345" s="25" t="s">
        <v>2119</v>
      </c>
      <c r="N1345" s="22"/>
      <c r="O1345" s="22" t="s">
        <v>2120</v>
      </c>
      <c r="P1345" s="22" t="str">
        <f>HYPERLINK("https://ceds.ed.gov/cedselementdetails.aspx?termid=21577")</f>
        <v>https://ceds.ed.gov/cedselementdetails.aspx?termid=21577</v>
      </c>
      <c r="Q1345" s="22">
        <v>59888</v>
      </c>
    </row>
    <row r="1346" spans="1:17" ht="43.2" x14ac:dyDescent="0.3">
      <c r="A1346" s="22" t="s">
        <v>7779</v>
      </c>
      <c r="B1346" s="22" t="s">
        <v>7794</v>
      </c>
      <c r="C1346" s="22" t="s">
        <v>7755</v>
      </c>
      <c r="D1346" s="22" t="s">
        <v>7710</v>
      </c>
      <c r="E1346" s="22" t="s">
        <v>4110</v>
      </c>
      <c r="F1346" s="24" t="s">
        <v>4111</v>
      </c>
      <c r="G1346" s="26" t="s">
        <v>22</v>
      </c>
      <c r="H1346" s="22" t="s">
        <v>25</v>
      </c>
      <c r="I1346" s="22"/>
      <c r="J1346" s="22"/>
      <c r="K1346" s="24"/>
      <c r="L1346" s="24"/>
      <c r="M1346" s="25" t="s">
        <v>4112</v>
      </c>
      <c r="N1346" s="22"/>
      <c r="O1346" s="22" t="s">
        <v>4113</v>
      </c>
      <c r="P1346" s="22" t="str">
        <f>HYPERLINK("https://ceds.ed.gov/cedselementdetails.aspx?termid=21120")</f>
        <v>https://ceds.ed.gov/cedselementdetails.aspx?termid=21120</v>
      </c>
      <c r="Q1346" s="22">
        <v>59754</v>
      </c>
    </row>
    <row r="1347" spans="1:17" ht="43.2" x14ac:dyDescent="0.3">
      <c r="A1347" s="22" t="s">
        <v>7779</v>
      </c>
      <c r="B1347" s="22" t="s">
        <v>7794</v>
      </c>
      <c r="C1347" s="22" t="s">
        <v>7755</v>
      </c>
      <c r="D1347" s="22" t="s">
        <v>7710</v>
      </c>
      <c r="E1347" s="22" t="s">
        <v>3212</v>
      </c>
      <c r="F1347" s="24" t="s">
        <v>3213</v>
      </c>
      <c r="G1347" s="26" t="s">
        <v>22</v>
      </c>
      <c r="H1347" s="22"/>
      <c r="I1347" s="22"/>
      <c r="J1347" s="22"/>
      <c r="K1347" s="24"/>
      <c r="L1347" s="24"/>
      <c r="M1347" s="25" t="s">
        <v>3215</v>
      </c>
      <c r="N1347" s="22"/>
      <c r="O1347" s="22" t="s">
        <v>3216</v>
      </c>
      <c r="P1347" s="22" t="str">
        <f>HYPERLINK("https://ceds.ed.gov/cedselementdetails.aspx?termid=21603")</f>
        <v>https://ceds.ed.gov/cedselementdetails.aspx?termid=21603</v>
      </c>
      <c r="Q1347" s="22">
        <v>59899</v>
      </c>
    </row>
    <row r="1348" spans="1:17" ht="144" x14ac:dyDescent="0.3">
      <c r="A1348" s="22" t="s">
        <v>7779</v>
      </c>
      <c r="B1348" s="22" t="s">
        <v>7794</v>
      </c>
      <c r="C1348" s="22" t="s">
        <v>7755</v>
      </c>
      <c r="D1348" s="22" t="s">
        <v>7710</v>
      </c>
      <c r="E1348" s="22" t="s">
        <v>7296</v>
      </c>
      <c r="F1348" s="24" t="s">
        <v>7297</v>
      </c>
      <c r="G1348" s="26" t="s">
        <v>22</v>
      </c>
      <c r="H1348" s="22" t="s">
        <v>226</v>
      </c>
      <c r="I1348" s="22"/>
      <c r="J1348" s="22"/>
      <c r="K1348" s="24"/>
      <c r="L1348" s="24" t="s">
        <v>8344</v>
      </c>
      <c r="M1348" s="25" t="s">
        <v>7298</v>
      </c>
      <c r="N1348" s="22"/>
      <c r="O1348" s="22" t="s">
        <v>7299</v>
      </c>
      <c r="P1348" s="22" t="str">
        <f>HYPERLINK("https://ceds.ed.gov/cedselementdetails.aspx?termid=21561")</f>
        <v>https://ceds.ed.gov/cedselementdetails.aspx?termid=21561</v>
      </c>
      <c r="Q1348" s="22">
        <v>59879</v>
      </c>
    </row>
    <row r="1349" spans="1:17" ht="72" x14ac:dyDescent="0.3">
      <c r="A1349" s="22" t="s">
        <v>7779</v>
      </c>
      <c r="B1349" s="22" t="s">
        <v>7794</v>
      </c>
      <c r="C1349" s="22" t="s">
        <v>7755</v>
      </c>
      <c r="D1349" s="22" t="s">
        <v>7710</v>
      </c>
      <c r="E1349" s="22" t="s">
        <v>3149</v>
      </c>
      <c r="F1349" s="24" t="s">
        <v>3150</v>
      </c>
      <c r="G1349" s="26" t="s">
        <v>8794</v>
      </c>
      <c r="H1349" s="24" t="s">
        <v>3154</v>
      </c>
      <c r="I1349" s="22"/>
      <c r="J1349" s="22"/>
      <c r="K1349" s="24"/>
      <c r="L1349" s="24"/>
      <c r="M1349" s="25" t="s">
        <v>3152</v>
      </c>
      <c r="N1349" s="22"/>
      <c r="O1349" s="22" t="s">
        <v>3153</v>
      </c>
      <c r="P1349" s="22" t="str">
        <f>HYPERLINK("https://ceds.ed.gov/cedselementdetails.aspx?termid=22569")</f>
        <v>https://ceds.ed.gov/cedselementdetails.aspx?termid=22569</v>
      </c>
      <c r="Q1349" s="22">
        <v>62143</v>
      </c>
    </row>
    <row r="1350" spans="1:17" ht="302.39999999999998" x14ac:dyDescent="0.3">
      <c r="A1350" s="22" t="s">
        <v>7779</v>
      </c>
      <c r="B1350" s="22" t="s">
        <v>7794</v>
      </c>
      <c r="C1350" s="22" t="s">
        <v>7755</v>
      </c>
      <c r="D1350" s="22" t="s">
        <v>7710</v>
      </c>
      <c r="E1350" s="22" t="s">
        <v>6165</v>
      </c>
      <c r="F1350" s="24" t="s">
        <v>6166</v>
      </c>
      <c r="G1350" s="26" t="s">
        <v>9107</v>
      </c>
      <c r="H1350" s="22"/>
      <c r="I1350" s="22"/>
      <c r="J1350" s="22"/>
      <c r="K1350" s="24"/>
      <c r="L1350" s="24"/>
      <c r="M1350" s="25" t="s">
        <v>6168</v>
      </c>
      <c r="N1350" s="22"/>
      <c r="O1350" s="22" t="s">
        <v>6169</v>
      </c>
      <c r="P1350" s="22" t="str">
        <f>HYPERLINK("https://ceds.ed.gov/cedselementdetails.aspx?termid=22210")</f>
        <v>https://ceds.ed.gov/cedselementdetails.aspx?termid=22210</v>
      </c>
      <c r="Q1350" s="22">
        <v>61695</v>
      </c>
    </row>
    <row r="1351" spans="1:17" ht="86.4" x14ac:dyDescent="0.3">
      <c r="A1351" s="22" t="s">
        <v>7779</v>
      </c>
      <c r="B1351" s="22" t="s">
        <v>7794</v>
      </c>
      <c r="C1351" s="22" t="s">
        <v>7755</v>
      </c>
      <c r="D1351" s="22" t="s">
        <v>7710</v>
      </c>
      <c r="E1351" s="22" t="s">
        <v>7031</v>
      </c>
      <c r="F1351" s="24" t="s">
        <v>7032</v>
      </c>
      <c r="G1351" s="26" t="s">
        <v>9154</v>
      </c>
      <c r="H1351" s="22"/>
      <c r="I1351" s="22"/>
      <c r="J1351" s="22"/>
      <c r="K1351" s="24"/>
      <c r="L1351" s="24"/>
      <c r="M1351" s="25" t="s">
        <v>7033</v>
      </c>
      <c r="N1351" s="22"/>
      <c r="O1351" s="22" t="s">
        <v>7034</v>
      </c>
      <c r="P1351" s="22" t="str">
        <f>HYPERLINK("https://ceds.ed.gov/cedselementdetails.aspx?termid=22843")</f>
        <v>https://ceds.ed.gov/cedselementdetails.aspx?termid=22843</v>
      </c>
      <c r="Q1351" s="22">
        <v>63148</v>
      </c>
    </row>
    <row r="1352" spans="1:17" ht="72" x14ac:dyDescent="0.3">
      <c r="A1352" s="22" t="s">
        <v>7779</v>
      </c>
      <c r="B1352" s="22" t="s">
        <v>7794</v>
      </c>
      <c r="C1352" s="22" t="s">
        <v>7755</v>
      </c>
      <c r="D1352" s="22" t="s">
        <v>7710</v>
      </c>
      <c r="E1352" s="22" t="s">
        <v>4088</v>
      </c>
      <c r="F1352" s="24" t="s">
        <v>4089</v>
      </c>
      <c r="G1352" s="23" t="s">
        <v>32</v>
      </c>
      <c r="H1352" s="22"/>
      <c r="I1352" s="22"/>
      <c r="J1352" s="22" t="s">
        <v>4090</v>
      </c>
      <c r="K1352" s="24"/>
      <c r="L1352" s="24"/>
      <c r="M1352" s="25" t="s">
        <v>4091</v>
      </c>
      <c r="N1352" s="22"/>
      <c r="O1352" s="22" t="s">
        <v>4092</v>
      </c>
      <c r="P1352" s="22" t="str">
        <f>HYPERLINK("https://ceds.ed.gov/cedselementdetails.aspx?termid=22906")</f>
        <v>https://ceds.ed.gov/cedselementdetails.aspx?termid=22906</v>
      </c>
      <c r="Q1352" s="22">
        <v>63346</v>
      </c>
    </row>
    <row r="1353" spans="1:17" ht="43.2" x14ac:dyDescent="0.3">
      <c r="A1353" s="22" t="s">
        <v>7779</v>
      </c>
      <c r="B1353" s="22" t="s">
        <v>7794</v>
      </c>
      <c r="C1353" s="22" t="s">
        <v>7755</v>
      </c>
      <c r="D1353" s="22" t="s">
        <v>7710</v>
      </c>
      <c r="E1353" s="22" t="s">
        <v>396</v>
      </c>
      <c r="F1353" s="24" t="s">
        <v>7963</v>
      </c>
      <c r="G1353" s="23" t="s">
        <v>32</v>
      </c>
      <c r="H1353" s="24" t="s">
        <v>399</v>
      </c>
      <c r="I1353" s="22"/>
      <c r="J1353" s="22" t="s">
        <v>118</v>
      </c>
      <c r="K1353" s="24"/>
      <c r="L1353" s="24"/>
      <c r="M1353" s="25" t="s">
        <v>397</v>
      </c>
      <c r="N1353" s="22"/>
      <c r="O1353" s="22" t="s">
        <v>398</v>
      </c>
      <c r="P1353" s="22" t="str">
        <f>HYPERLINK("https://ceds.ed.gov/cedselementdetails.aspx?termid=21323")</f>
        <v>https://ceds.ed.gov/cedselementdetails.aspx?termid=21323</v>
      </c>
      <c r="Q1353" s="22">
        <v>63567</v>
      </c>
    </row>
    <row r="1354" spans="1:17" ht="216" x14ac:dyDescent="0.3">
      <c r="A1354" s="22" t="s">
        <v>7779</v>
      </c>
      <c r="B1354" s="22" t="s">
        <v>7794</v>
      </c>
      <c r="C1354" s="22" t="s">
        <v>7755</v>
      </c>
      <c r="D1354" s="22" t="s">
        <v>7710</v>
      </c>
      <c r="E1354" s="22" t="s">
        <v>7656</v>
      </c>
      <c r="F1354" s="24" t="s">
        <v>7657</v>
      </c>
      <c r="G1354" s="26" t="s">
        <v>8514</v>
      </c>
      <c r="H1354" s="22"/>
      <c r="I1354" s="22" t="s">
        <v>172</v>
      </c>
      <c r="J1354" s="22"/>
      <c r="K1354" s="24" t="s">
        <v>7995</v>
      </c>
      <c r="L1354" s="24"/>
      <c r="M1354" s="25" t="s">
        <v>7658</v>
      </c>
      <c r="N1354" s="22"/>
      <c r="O1354" s="22" t="s">
        <v>7656</v>
      </c>
      <c r="P1354" s="22" t="str">
        <f>HYPERLINK("https://ceds.ed.gov/cedselementdetails.aspx?termid=22959")</f>
        <v>https://ceds.ed.gov/cedselementdetails.aspx?termid=22959</v>
      </c>
      <c r="Q1354" s="22">
        <v>63568</v>
      </c>
    </row>
    <row r="1355" spans="1:17" ht="86.4" x14ac:dyDescent="0.3">
      <c r="A1355" s="22" t="s">
        <v>7779</v>
      </c>
      <c r="B1355" s="22" t="s">
        <v>7794</v>
      </c>
      <c r="C1355" s="22" t="s">
        <v>7755</v>
      </c>
      <c r="D1355" s="22" t="s">
        <v>7710</v>
      </c>
      <c r="E1355" s="22" t="s">
        <v>7692</v>
      </c>
      <c r="F1355" s="24" t="s">
        <v>7693</v>
      </c>
      <c r="G1355" s="26" t="s">
        <v>8379</v>
      </c>
      <c r="H1355" s="22"/>
      <c r="I1355" s="22"/>
      <c r="J1355" s="22"/>
      <c r="K1355" s="24"/>
      <c r="L1355" s="24" t="s">
        <v>7694</v>
      </c>
      <c r="M1355" s="25" t="s">
        <v>7695</v>
      </c>
      <c r="N1355" s="22"/>
      <c r="O1355" s="22" t="s">
        <v>7696</v>
      </c>
      <c r="P1355" s="22" t="str">
        <f>HYPERLINK("https://ceds.ed.gov/cedselementdetails.aspx?termid=22968")</f>
        <v>https://ceds.ed.gov/cedselementdetails.aspx?termid=22968</v>
      </c>
      <c r="Q1355" s="22">
        <v>63569</v>
      </c>
    </row>
    <row r="1356" spans="1:17" ht="172.8" x14ac:dyDescent="0.3">
      <c r="A1356" s="22" t="s">
        <v>7779</v>
      </c>
      <c r="B1356" s="22" t="s">
        <v>7794</v>
      </c>
      <c r="C1356" s="22" t="s">
        <v>7795</v>
      </c>
      <c r="D1356" s="22" t="s">
        <v>7710</v>
      </c>
      <c r="E1356" s="22" t="s">
        <v>130</v>
      </c>
      <c r="F1356" s="24" t="s">
        <v>131</v>
      </c>
      <c r="G1356" s="23" t="s">
        <v>32</v>
      </c>
      <c r="H1356" s="24" t="s">
        <v>64</v>
      </c>
      <c r="I1356" s="22"/>
      <c r="J1356" s="22" t="s">
        <v>132</v>
      </c>
      <c r="K1356" s="24"/>
      <c r="L1356" s="24" t="s">
        <v>7945</v>
      </c>
      <c r="M1356" s="25" t="s">
        <v>134</v>
      </c>
      <c r="N1356" s="22"/>
      <c r="O1356" s="22" t="s">
        <v>135</v>
      </c>
      <c r="P1356" s="22" t="str">
        <f>HYPERLINK("https://ceds.ed.gov/cedselementdetails.aspx?termid=21006")</f>
        <v>https://ceds.ed.gov/cedselementdetails.aspx?termid=21006</v>
      </c>
      <c r="Q1356" s="22">
        <v>58989</v>
      </c>
    </row>
    <row r="1357" spans="1:17" ht="72" x14ac:dyDescent="0.3">
      <c r="A1357" s="22" t="s">
        <v>7779</v>
      </c>
      <c r="B1357" s="22" t="s">
        <v>7794</v>
      </c>
      <c r="C1357" s="22" t="s">
        <v>7795</v>
      </c>
      <c r="D1357" s="22" t="s">
        <v>7710</v>
      </c>
      <c r="E1357" s="22" t="s">
        <v>155</v>
      </c>
      <c r="F1357" s="24" t="s">
        <v>156</v>
      </c>
      <c r="G1357" s="23" t="s">
        <v>32</v>
      </c>
      <c r="H1357" s="24" t="s">
        <v>64</v>
      </c>
      <c r="I1357" s="22"/>
      <c r="J1357" s="22" t="s">
        <v>157</v>
      </c>
      <c r="K1357" s="24"/>
      <c r="L1357" s="24"/>
      <c r="M1357" s="25" t="s">
        <v>158</v>
      </c>
      <c r="N1357" s="22"/>
      <c r="O1357" s="22" t="s">
        <v>159</v>
      </c>
      <c r="P1357" s="22" t="str">
        <f>HYPERLINK("https://ceds.ed.gov/cedselementdetails.aspx?termid=21009")</f>
        <v>https://ceds.ed.gov/cedselementdetails.aspx?termid=21009</v>
      </c>
      <c r="Q1357" s="22">
        <v>58992</v>
      </c>
    </row>
    <row r="1358" spans="1:17" ht="72" x14ac:dyDescent="0.3">
      <c r="A1358" s="22" t="s">
        <v>7779</v>
      </c>
      <c r="B1358" s="22" t="s">
        <v>7794</v>
      </c>
      <c r="C1358" s="22" t="s">
        <v>7795</v>
      </c>
      <c r="D1358" s="22" t="s">
        <v>7710</v>
      </c>
      <c r="E1358" s="22" t="s">
        <v>125</v>
      </c>
      <c r="F1358" s="24" t="s">
        <v>126</v>
      </c>
      <c r="G1358" s="23" t="s">
        <v>32</v>
      </c>
      <c r="H1358" s="22"/>
      <c r="I1358" s="22"/>
      <c r="J1358" s="22" t="s">
        <v>113</v>
      </c>
      <c r="K1358" s="24"/>
      <c r="L1358" s="24"/>
      <c r="M1358" s="25" t="s">
        <v>128</v>
      </c>
      <c r="N1358" s="22"/>
      <c r="O1358" s="22" t="s">
        <v>129</v>
      </c>
      <c r="P1358" s="22" t="str">
        <f>HYPERLINK("https://ceds.ed.gov/cedselementdetails.aspx?termid=22505")</f>
        <v>https://ceds.ed.gov/cedselementdetails.aspx?termid=22505</v>
      </c>
      <c r="Q1358" s="22">
        <v>61768</v>
      </c>
    </row>
    <row r="1359" spans="1:17" ht="72" x14ac:dyDescent="0.3">
      <c r="A1359" s="22" t="s">
        <v>7779</v>
      </c>
      <c r="B1359" s="22" t="s">
        <v>7794</v>
      </c>
      <c r="C1359" s="22" t="s">
        <v>7795</v>
      </c>
      <c r="D1359" s="22" t="s">
        <v>7710</v>
      </c>
      <c r="E1359" s="22" t="s">
        <v>137</v>
      </c>
      <c r="F1359" s="24" t="s">
        <v>138</v>
      </c>
      <c r="G1359" s="23" t="s">
        <v>32</v>
      </c>
      <c r="H1359" s="24" t="s">
        <v>64</v>
      </c>
      <c r="I1359" s="22"/>
      <c r="J1359" s="22" t="s">
        <v>118</v>
      </c>
      <c r="K1359" s="24"/>
      <c r="L1359" s="24"/>
      <c r="M1359" s="25" t="s">
        <v>139</v>
      </c>
      <c r="N1359" s="22"/>
      <c r="O1359" s="22" t="s">
        <v>140</v>
      </c>
      <c r="P1359" s="22" t="str">
        <f>HYPERLINK("https://ceds.ed.gov/cedselementdetails.aspx?termid=21007")</f>
        <v>https://ceds.ed.gov/cedselementdetails.aspx?termid=21007</v>
      </c>
      <c r="Q1359" s="22">
        <v>58990</v>
      </c>
    </row>
    <row r="1360" spans="1:17" ht="72" x14ac:dyDescent="0.3">
      <c r="A1360" s="22" t="s">
        <v>7779</v>
      </c>
      <c r="B1360" s="22" t="s">
        <v>7794</v>
      </c>
      <c r="C1360" s="22" t="s">
        <v>7795</v>
      </c>
      <c r="D1360" s="22" t="s">
        <v>7710</v>
      </c>
      <c r="E1360" s="22" t="s">
        <v>141</v>
      </c>
      <c r="F1360" s="24" t="s">
        <v>142</v>
      </c>
      <c r="G1360" s="23" t="s">
        <v>32</v>
      </c>
      <c r="H1360" s="24" t="s">
        <v>64</v>
      </c>
      <c r="I1360" s="22"/>
      <c r="J1360" s="22" t="s">
        <v>118</v>
      </c>
      <c r="K1360" s="24"/>
      <c r="L1360" s="24" t="s">
        <v>143</v>
      </c>
      <c r="M1360" s="25" t="s">
        <v>144</v>
      </c>
      <c r="N1360" s="22"/>
      <c r="O1360" s="22" t="s">
        <v>145</v>
      </c>
      <c r="P1360" s="22" t="str">
        <f>HYPERLINK("https://ceds.ed.gov/cedselementdetails.aspx?termid=21008")</f>
        <v>https://ceds.ed.gov/cedselementdetails.aspx?termid=21008</v>
      </c>
      <c r="Q1360" s="22">
        <v>58991</v>
      </c>
    </row>
    <row r="1361" spans="1:17" ht="72" x14ac:dyDescent="0.3">
      <c r="A1361" s="22" t="s">
        <v>7779</v>
      </c>
      <c r="B1361" s="22" t="s">
        <v>7794</v>
      </c>
      <c r="C1361" s="22" t="s">
        <v>7795</v>
      </c>
      <c r="D1361" s="22" t="s">
        <v>7710</v>
      </c>
      <c r="E1361" s="22" t="s">
        <v>146</v>
      </c>
      <c r="F1361" s="24" t="s">
        <v>147</v>
      </c>
      <c r="G1361" s="23" t="s">
        <v>32</v>
      </c>
      <c r="H1361" s="22"/>
      <c r="I1361" s="22"/>
      <c r="J1361" s="22" t="s">
        <v>148</v>
      </c>
      <c r="K1361" s="24"/>
      <c r="L1361" s="24"/>
      <c r="M1361" s="25" t="s">
        <v>149</v>
      </c>
      <c r="N1361" s="22"/>
      <c r="O1361" s="22" t="s">
        <v>150</v>
      </c>
      <c r="P1361" s="22" t="str">
        <f>HYPERLINK("https://ceds.ed.gov/cedselementdetails.aspx?termid=22502")</f>
        <v>https://ceds.ed.gov/cedselementdetails.aspx?termid=22502</v>
      </c>
      <c r="Q1361" s="22">
        <v>61758</v>
      </c>
    </row>
    <row r="1362" spans="1:17" ht="86.4" x14ac:dyDescent="0.3">
      <c r="A1362" s="22" t="s">
        <v>7779</v>
      </c>
      <c r="B1362" s="22" t="s">
        <v>7794</v>
      </c>
      <c r="C1362" s="22" t="s">
        <v>7795</v>
      </c>
      <c r="D1362" s="22" t="s">
        <v>7710</v>
      </c>
      <c r="E1362" s="22" t="s">
        <v>151</v>
      </c>
      <c r="F1362" s="24" t="s">
        <v>152</v>
      </c>
      <c r="G1362" s="26" t="s">
        <v>8572</v>
      </c>
      <c r="H1362" s="22"/>
      <c r="I1362" s="22"/>
      <c r="J1362" s="22"/>
      <c r="K1362" s="24"/>
      <c r="L1362" s="24"/>
      <c r="M1362" s="25" t="s">
        <v>153</v>
      </c>
      <c r="N1362" s="22"/>
      <c r="O1362" s="22" t="s">
        <v>154</v>
      </c>
      <c r="P1362" s="22" t="str">
        <f>HYPERLINK("https://ceds.ed.gov/cedselementdetails.aspx?termid=22503")</f>
        <v>https://ceds.ed.gov/cedselementdetails.aspx?termid=22503</v>
      </c>
      <c r="Q1362" s="22">
        <v>61760</v>
      </c>
    </row>
    <row r="1363" spans="1:17" ht="230.4" x14ac:dyDescent="0.3">
      <c r="A1363" s="22" t="s">
        <v>7779</v>
      </c>
      <c r="B1363" s="22" t="s">
        <v>7794</v>
      </c>
      <c r="C1363" s="22" t="s">
        <v>7796</v>
      </c>
      <c r="D1363" s="22" t="s">
        <v>7710</v>
      </c>
      <c r="E1363" s="22" t="s">
        <v>5612</v>
      </c>
      <c r="F1363" s="24" t="s">
        <v>5613</v>
      </c>
      <c r="G1363" s="23" t="s">
        <v>32</v>
      </c>
      <c r="H1363" s="24" t="s">
        <v>5616</v>
      </c>
      <c r="I1363" s="22" t="s">
        <v>172</v>
      </c>
      <c r="J1363" s="22" t="s">
        <v>1518</v>
      </c>
      <c r="K1363" s="24" t="s">
        <v>7946</v>
      </c>
      <c r="L1363" s="24" t="s">
        <v>8258</v>
      </c>
      <c r="M1363" s="25" t="s">
        <v>5614</v>
      </c>
      <c r="N1363" s="22"/>
      <c r="O1363" s="22" t="s">
        <v>5615</v>
      </c>
      <c r="P1363" s="22" t="str">
        <f>HYPERLINK("https://ceds.ed.gov/cedselementdetails.aspx?termid=21202")</f>
        <v>https://ceds.ed.gov/cedselementdetails.aspx?termid=21202</v>
      </c>
      <c r="Q1363" s="22">
        <v>59796</v>
      </c>
    </row>
    <row r="1364" spans="1:17" ht="100.8" x14ac:dyDescent="0.3">
      <c r="A1364" s="22" t="s">
        <v>7779</v>
      </c>
      <c r="B1364" s="22" t="s">
        <v>7794</v>
      </c>
      <c r="C1364" s="22" t="s">
        <v>7796</v>
      </c>
      <c r="D1364" s="22" t="s">
        <v>7710</v>
      </c>
      <c r="E1364" s="22" t="s">
        <v>5603</v>
      </c>
      <c r="F1364" s="24" t="s">
        <v>5604</v>
      </c>
      <c r="G1364" s="23" t="s">
        <v>32</v>
      </c>
      <c r="H1364" s="24" t="s">
        <v>5607</v>
      </c>
      <c r="I1364" s="22" t="s">
        <v>172</v>
      </c>
      <c r="J1364" s="22" t="s">
        <v>1518</v>
      </c>
      <c r="K1364" s="24" t="s">
        <v>7946</v>
      </c>
      <c r="L1364" s="24"/>
      <c r="M1364" s="25" t="s">
        <v>5605</v>
      </c>
      <c r="N1364" s="22"/>
      <c r="O1364" s="22" t="s">
        <v>5606</v>
      </c>
      <c r="P1364" s="22" t="str">
        <f>HYPERLINK("https://ceds.ed.gov/cedselementdetails.aspx?termid=21201")</f>
        <v>https://ceds.ed.gov/cedselementdetails.aspx?termid=21201</v>
      </c>
      <c r="Q1364" s="22">
        <v>59795</v>
      </c>
    </row>
    <row r="1365" spans="1:17" ht="115.2" x14ac:dyDescent="0.3">
      <c r="A1365" s="22" t="s">
        <v>7779</v>
      </c>
      <c r="B1365" s="22" t="s">
        <v>7794</v>
      </c>
      <c r="C1365" s="22" t="s">
        <v>7796</v>
      </c>
      <c r="D1365" s="22" t="s">
        <v>7710</v>
      </c>
      <c r="E1365" s="22" t="s">
        <v>7012</v>
      </c>
      <c r="F1365" s="24" t="s">
        <v>7013</v>
      </c>
      <c r="G1365" s="23" t="s">
        <v>32</v>
      </c>
      <c r="H1365" s="22" t="s">
        <v>226</v>
      </c>
      <c r="I1365" s="22"/>
      <c r="J1365" s="22" t="s">
        <v>7014</v>
      </c>
      <c r="K1365" s="24"/>
      <c r="L1365" s="24"/>
      <c r="M1365" s="25" t="s">
        <v>7015</v>
      </c>
      <c r="N1365" s="22"/>
      <c r="O1365" s="22" t="s">
        <v>7016</v>
      </c>
      <c r="P1365" s="22" t="str">
        <f>HYPERLINK("https://ceds.ed.gov/cedselementdetails.aspx?termid=21271")</f>
        <v>https://ceds.ed.gov/cedselementdetails.aspx?termid=21271</v>
      </c>
      <c r="Q1365" s="22">
        <v>59816</v>
      </c>
    </row>
    <row r="1366" spans="1:17" ht="129.6" x14ac:dyDescent="0.3">
      <c r="A1366" s="22" t="s">
        <v>7779</v>
      </c>
      <c r="B1366" s="22" t="s">
        <v>7794</v>
      </c>
      <c r="C1366" s="22" t="s">
        <v>7796</v>
      </c>
      <c r="D1366" s="22" t="s">
        <v>7710</v>
      </c>
      <c r="E1366" s="22" t="s">
        <v>5944</v>
      </c>
      <c r="F1366" s="24" t="s">
        <v>5945</v>
      </c>
      <c r="G1366" s="26" t="s">
        <v>9074</v>
      </c>
      <c r="H1366" s="22"/>
      <c r="I1366" s="22"/>
      <c r="J1366" s="22"/>
      <c r="K1366" s="24"/>
      <c r="L1366" s="24"/>
      <c r="M1366" s="25" t="s">
        <v>5946</v>
      </c>
      <c r="N1366" s="22"/>
      <c r="O1366" s="22" t="s">
        <v>5947</v>
      </c>
      <c r="P1366" s="22" t="str">
        <f>HYPERLINK("https://ceds.ed.gov/cedselementdetails.aspx?termid=21593")</f>
        <v>https://ceds.ed.gov/cedselementdetails.aspx?termid=21593</v>
      </c>
      <c r="Q1366" s="22">
        <v>59896</v>
      </c>
    </row>
    <row r="1367" spans="1:17" ht="187.2" x14ac:dyDescent="0.3">
      <c r="A1367" s="22" t="s">
        <v>7779</v>
      </c>
      <c r="B1367" s="22" t="s">
        <v>7794</v>
      </c>
      <c r="C1367" s="22" t="s">
        <v>7796</v>
      </c>
      <c r="D1367" s="22" t="s">
        <v>7710</v>
      </c>
      <c r="E1367" s="22" t="s">
        <v>26</v>
      </c>
      <c r="F1367" s="24" t="s">
        <v>7940</v>
      </c>
      <c r="G1367" s="26" t="s">
        <v>8561</v>
      </c>
      <c r="H1367" s="22"/>
      <c r="I1367" s="22"/>
      <c r="J1367" s="22"/>
      <c r="K1367" s="24"/>
      <c r="L1367" s="24"/>
      <c r="M1367" s="25" t="s">
        <v>28</v>
      </c>
      <c r="N1367" s="22"/>
      <c r="O1367" s="22" t="s">
        <v>29</v>
      </c>
      <c r="P1367" s="22" t="str">
        <f>HYPERLINK("https://ceds.ed.gov/cedselementdetails.aspx?termid=21592")</f>
        <v>https://ceds.ed.gov/cedselementdetails.aspx?termid=21592</v>
      </c>
      <c r="Q1367" s="22">
        <v>59895</v>
      </c>
    </row>
    <row r="1368" spans="1:17" ht="72" x14ac:dyDescent="0.3">
      <c r="A1368" s="22" t="s">
        <v>7779</v>
      </c>
      <c r="B1368" s="22" t="s">
        <v>7794</v>
      </c>
      <c r="C1368" s="22" t="s">
        <v>7796</v>
      </c>
      <c r="D1368" s="22" t="s">
        <v>7710</v>
      </c>
      <c r="E1368" s="22" t="s">
        <v>1451</v>
      </c>
      <c r="F1368" s="24" t="s">
        <v>1452</v>
      </c>
      <c r="G1368" s="26" t="s">
        <v>8649</v>
      </c>
      <c r="H1368" s="22"/>
      <c r="I1368" s="22"/>
      <c r="J1368" s="22"/>
      <c r="K1368" s="24"/>
      <c r="L1368" s="24"/>
      <c r="M1368" s="25" t="s">
        <v>1454</v>
      </c>
      <c r="N1368" s="22"/>
      <c r="O1368" s="22" t="s">
        <v>1455</v>
      </c>
      <c r="P1368" s="22" t="str">
        <f>HYPERLINK("https://ceds.ed.gov/cedselementdetails.aspx?termid=21594")</f>
        <v>https://ceds.ed.gov/cedselementdetails.aspx?termid=21594</v>
      </c>
      <c r="Q1368" s="22">
        <v>59897</v>
      </c>
    </row>
    <row r="1369" spans="1:17" ht="28.8" x14ac:dyDescent="0.3">
      <c r="A1369" s="22" t="s">
        <v>7779</v>
      </c>
      <c r="B1369" s="22" t="s">
        <v>7794</v>
      </c>
      <c r="C1369" s="22" t="s">
        <v>7796</v>
      </c>
      <c r="D1369" s="22" t="s">
        <v>7710</v>
      </c>
      <c r="E1369" s="22" t="s">
        <v>1447</v>
      </c>
      <c r="F1369" s="24" t="s">
        <v>1448</v>
      </c>
      <c r="G1369" s="23" t="s">
        <v>32</v>
      </c>
      <c r="H1369" s="22"/>
      <c r="I1369" s="22" t="s">
        <v>172</v>
      </c>
      <c r="J1369" s="22" t="s">
        <v>118</v>
      </c>
      <c r="K1369" s="24" t="s">
        <v>7946</v>
      </c>
      <c r="L1369" s="24"/>
      <c r="M1369" s="25" t="s">
        <v>1449</v>
      </c>
      <c r="N1369" s="22"/>
      <c r="O1369" s="22" t="s">
        <v>1450</v>
      </c>
      <c r="P1369" s="22" t="str">
        <f>HYPERLINK("https://ceds.ed.gov/cedselementdetails.aspx?termid=22630")</f>
        <v>https://ceds.ed.gov/cedselementdetails.aspx?termid=22630</v>
      </c>
      <c r="Q1369" s="22">
        <v>62343</v>
      </c>
    </row>
    <row r="1370" spans="1:17" ht="86.4" x14ac:dyDescent="0.3">
      <c r="A1370" s="22" t="s">
        <v>7779</v>
      </c>
      <c r="B1370" s="22" t="s">
        <v>7794</v>
      </c>
      <c r="C1370" s="22" t="s">
        <v>7796</v>
      </c>
      <c r="D1370" s="22" t="s">
        <v>7710</v>
      </c>
      <c r="E1370" s="22" t="s">
        <v>1456</v>
      </c>
      <c r="F1370" s="24" t="s">
        <v>1457</v>
      </c>
      <c r="G1370" s="26" t="s">
        <v>8406</v>
      </c>
      <c r="H1370" s="22"/>
      <c r="I1370" s="22" t="s">
        <v>172</v>
      </c>
      <c r="J1370" s="22"/>
      <c r="K1370" s="24" t="s">
        <v>7946</v>
      </c>
      <c r="L1370" s="24"/>
      <c r="M1370" s="25" t="s">
        <v>1458</v>
      </c>
      <c r="N1370" s="22"/>
      <c r="O1370" s="22" t="s">
        <v>1459</v>
      </c>
      <c r="P1370" s="22" t="str">
        <f>HYPERLINK("https://ceds.ed.gov/cedselementdetails.aspx?termid=21076")</f>
        <v>https://ceds.ed.gov/cedselementdetails.aspx?termid=21076</v>
      </c>
      <c r="Q1370" s="22">
        <v>59736</v>
      </c>
    </row>
    <row r="1371" spans="1:17" x14ac:dyDescent="0.3">
      <c r="A1371" s="22" t="s">
        <v>7779</v>
      </c>
      <c r="B1371" s="22" t="s">
        <v>7794</v>
      </c>
      <c r="C1371" s="22" t="s">
        <v>7796</v>
      </c>
      <c r="D1371" s="22" t="s">
        <v>7710</v>
      </c>
      <c r="E1371" s="22" t="s">
        <v>3572</v>
      </c>
      <c r="F1371" s="24" t="s">
        <v>3573</v>
      </c>
      <c r="G1371" s="23" t="s">
        <v>32</v>
      </c>
      <c r="H1371" s="22"/>
      <c r="I1371" s="22"/>
      <c r="J1371" s="22"/>
      <c r="K1371" s="24"/>
      <c r="L1371" s="24"/>
      <c r="M1371" s="25" t="s">
        <v>3575</v>
      </c>
      <c r="N1371" s="22"/>
      <c r="O1371" s="22" t="s">
        <v>3576</v>
      </c>
      <c r="P1371" s="22" t="str">
        <f>HYPERLINK("https://ceds.ed.gov/cedselementdetails.aspx?termid=22901")</f>
        <v>https://ceds.ed.gov/cedselementdetails.aspx?termid=22901</v>
      </c>
      <c r="Q1371" s="22">
        <v>63197</v>
      </c>
    </row>
    <row r="1372" spans="1:17" x14ac:dyDescent="0.3">
      <c r="A1372" s="22" t="s">
        <v>7779</v>
      </c>
      <c r="B1372" s="22" t="s">
        <v>7794</v>
      </c>
      <c r="C1372" s="22" t="s">
        <v>7796</v>
      </c>
      <c r="D1372" s="22" t="s">
        <v>7710</v>
      </c>
      <c r="E1372" s="22" t="s">
        <v>6937</v>
      </c>
      <c r="F1372" s="24" t="s">
        <v>6938</v>
      </c>
      <c r="G1372" s="23" t="s">
        <v>32</v>
      </c>
      <c r="H1372" s="22"/>
      <c r="I1372" s="22"/>
      <c r="J1372" s="22"/>
      <c r="K1372" s="24"/>
      <c r="L1372" s="24"/>
      <c r="M1372" s="25" t="s">
        <v>6939</v>
      </c>
      <c r="N1372" s="22"/>
      <c r="O1372" s="22" t="s">
        <v>6940</v>
      </c>
      <c r="P1372" s="22" t="str">
        <f>HYPERLINK("https://ceds.ed.gov/cedselementdetails.aspx?termid=22900")</f>
        <v>https://ceds.ed.gov/cedselementdetails.aspx?termid=22900</v>
      </c>
      <c r="Q1372" s="22">
        <v>63198</v>
      </c>
    </row>
    <row r="1373" spans="1:17" ht="43.2" x14ac:dyDescent="0.3">
      <c r="A1373" s="22" t="s">
        <v>7779</v>
      </c>
      <c r="B1373" s="22" t="s">
        <v>7794</v>
      </c>
      <c r="C1373" s="22" t="s">
        <v>7796</v>
      </c>
      <c r="D1373" s="22" t="s">
        <v>7710</v>
      </c>
      <c r="E1373" s="22" t="s">
        <v>7606</v>
      </c>
      <c r="F1373" s="24" t="s">
        <v>7607</v>
      </c>
      <c r="G1373" s="23" t="s">
        <v>32</v>
      </c>
      <c r="H1373" s="22"/>
      <c r="I1373" s="22"/>
      <c r="J1373" s="22" t="s">
        <v>1518</v>
      </c>
      <c r="K1373" s="24"/>
      <c r="L1373" s="24"/>
      <c r="M1373" s="25" t="s">
        <v>7608</v>
      </c>
      <c r="N1373" s="22"/>
      <c r="O1373" s="22" t="s">
        <v>7609</v>
      </c>
      <c r="P1373" s="22" t="str">
        <f>HYPERLINK("https://ceds.ed.gov/cedselementdetails.aspx?termid=22948")</f>
        <v>https://ceds.ed.gov/cedselementdetails.aspx?termid=22948</v>
      </c>
      <c r="Q1373" s="22">
        <v>63545</v>
      </c>
    </row>
    <row r="1374" spans="1:17" ht="172.8" x14ac:dyDescent="0.3">
      <c r="A1374" s="22" t="s">
        <v>7779</v>
      </c>
      <c r="B1374" s="22" t="s">
        <v>7794</v>
      </c>
      <c r="C1374" s="22" t="s">
        <v>7797</v>
      </c>
      <c r="D1374" s="22" t="s">
        <v>7710</v>
      </c>
      <c r="E1374" s="22" t="s">
        <v>2628</v>
      </c>
      <c r="F1374" s="24" t="s">
        <v>2629</v>
      </c>
      <c r="G1374" s="23" t="s">
        <v>32</v>
      </c>
      <c r="H1374" s="24" t="s">
        <v>2632</v>
      </c>
      <c r="I1374" s="22"/>
      <c r="J1374" s="22" t="s">
        <v>132</v>
      </c>
      <c r="K1374" s="24"/>
      <c r="L1374" s="24" t="s">
        <v>7945</v>
      </c>
      <c r="M1374" s="25" t="s">
        <v>2630</v>
      </c>
      <c r="N1374" s="22"/>
      <c r="O1374" s="22" t="s">
        <v>2631</v>
      </c>
      <c r="P1374" s="22" t="str">
        <f>HYPERLINK("https://ceds.ed.gov/cedselementdetails.aspx?termid=21055")</f>
        <v>https://ceds.ed.gov/cedselementdetails.aspx?termid=21055</v>
      </c>
      <c r="Q1374" s="22">
        <v>59003</v>
      </c>
    </row>
    <row r="1375" spans="1:17" ht="144" x14ac:dyDescent="0.3">
      <c r="A1375" s="22" t="s">
        <v>7779</v>
      </c>
      <c r="B1375" s="22" t="s">
        <v>7794</v>
      </c>
      <c r="C1375" s="22" t="s">
        <v>7797</v>
      </c>
      <c r="D1375" s="22" t="s">
        <v>7710</v>
      </c>
      <c r="E1375" s="22" t="s">
        <v>2579</v>
      </c>
      <c r="F1375" s="24" t="s">
        <v>2580</v>
      </c>
      <c r="G1375" s="26" t="s">
        <v>8420</v>
      </c>
      <c r="H1375" s="24" t="s">
        <v>1521</v>
      </c>
      <c r="I1375" s="22" t="s">
        <v>172</v>
      </c>
      <c r="J1375" s="22"/>
      <c r="K1375" s="24" t="s">
        <v>7946</v>
      </c>
      <c r="L1375" s="24"/>
      <c r="M1375" s="25" t="s">
        <v>2582</v>
      </c>
      <c r="N1375" s="22"/>
      <c r="O1375" s="22" t="s">
        <v>2583</v>
      </c>
      <c r="P1375" s="22" t="str">
        <f>HYPERLINK("https://ceds.ed.gov/cedselementdetails.aspx?termid=21056")</f>
        <v>https://ceds.ed.gov/cedselementdetails.aspx?termid=21056</v>
      </c>
      <c r="Q1375" s="22">
        <v>59730</v>
      </c>
    </row>
    <row r="1376" spans="1:17" ht="201.6" x14ac:dyDescent="0.3">
      <c r="A1376" s="22" t="s">
        <v>7779</v>
      </c>
      <c r="B1376" s="22" t="s">
        <v>7794</v>
      </c>
      <c r="C1376" s="22" t="s">
        <v>7797</v>
      </c>
      <c r="D1376" s="22" t="s">
        <v>7710</v>
      </c>
      <c r="E1376" s="22" t="s">
        <v>2746</v>
      </c>
      <c r="F1376" s="24" t="s">
        <v>2747</v>
      </c>
      <c r="G1376" s="23" t="s">
        <v>32</v>
      </c>
      <c r="H1376" s="24" t="s">
        <v>1521</v>
      </c>
      <c r="I1376" s="22"/>
      <c r="J1376" s="22" t="s">
        <v>157</v>
      </c>
      <c r="K1376" s="24"/>
      <c r="L1376" s="24"/>
      <c r="M1376" s="25" t="s">
        <v>2748</v>
      </c>
      <c r="N1376" s="22"/>
      <c r="O1376" s="22" t="s">
        <v>2749</v>
      </c>
      <c r="P1376" s="22" t="str">
        <f>HYPERLINK("https://ceds.ed.gov/cedselementdetails.aspx?termid=21067")</f>
        <v>https://ceds.ed.gov/cedselementdetails.aspx?termid=21067</v>
      </c>
      <c r="Q1376" s="22">
        <v>59732</v>
      </c>
    </row>
    <row r="1377" spans="1:17" ht="331.2" x14ac:dyDescent="0.3">
      <c r="A1377" s="22" t="s">
        <v>7779</v>
      </c>
      <c r="B1377" s="22" t="s">
        <v>7794</v>
      </c>
      <c r="C1377" s="22" t="s">
        <v>7797</v>
      </c>
      <c r="D1377" s="22" t="s">
        <v>7710</v>
      </c>
      <c r="E1377" s="22" t="s">
        <v>4194</v>
      </c>
      <c r="F1377" s="24" t="s">
        <v>4195</v>
      </c>
      <c r="G1377" s="26" t="s">
        <v>8433</v>
      </c>
      <c r="H1377" s="24" t="s">
        <v>64</v>
      </c>
      <c r="I1377" s="22" t="s">
        <v>172</v>
      </c>
      <c r="J1377" s="22"/>
      <c r="K1377" s="24" t="s">
        <v>7995</v>
      </c>
      <c r="L1377" s="24"/>
      <c r="M1377" s="25" t="s">
        <v>4197</v>
      </c>
      <c r="N1377" s="22"/>
      <c r="O1377" s="22" t="s">
        <v>4198</v>
      </c>
      <c r="P1377" s="22" t="str">
        <f>HYPERLINK("https://ceds.ed.gov/cedselementdetails.aspx?termid=21125")</f>
        <v>https://ceds.ed.gov/cedselementdetails.aspx?termid=21125</v>
      </c>
      <c r="Q1377" s="22">
        <v>59758</v>
      </c>
    </row>
    <row r="1378" spans="1:17" ht="129.6" x14ac:dyDescent="0.3">
      <c r="A1378" s="22" t="s">
        <v>7779</v>
      </c>
      <c r="B1378" s="22" t="s">
        <v>7794</v>
      </c>
      <c r="C1378" s="22" t="s">
        <v>7797</v>
      </c>
      <c r="D1378" s="22" t="s">
        <v>7710</v>
      </c>
      <c r="E1378" s="22" t="s">
        <v>2673</v>
      </c>
      <c r="F1378" s="24" t="s">
        <v>2674</v>
      </c>
      <c r="G1378" s="26" t="s">
        <v>8758</v>
      </c>
      <c r="H1378" s="24" t="s">
        <v>64</v>
      </c>
      <c r="I1378" s="22"/>
      <c r="J1378" s="22"/>
      <c r="K1378" s="24"/>
      <c r="L1378" s="24"/>
      <c r="M1378" s="25" t="s">
        <v>2676</v>
      </c>
      <c r="N1378" s="22"/>
      <c r="O1378" s="22" t="s">
        <v>2677</v>
      </c>
      <c r="P1378" s="22" t="str">
        <f>HYPERLINK("https://ceds.ed.gov/cedselementdetails.aspx?termid=21065")</f>
        <v>https://ceds.ed.gov/cedselementdetails.aspx?termid=21065</v>
      </c>
      <c r="Q1378" s="22">
        <v>59731</v>
      </c>
    </row>
    <row r="1379" spans="1:17" ht="72" x14ac:dyDescent="0.3">
      <c r="A1379" s="22" t="s">
        <v>7779</v>
      </c>
      <c r="B1379" s="22" t="s">
        <v>7794</v>
      </c>
      <c r="C1379" s="22" t="s">
        <v>7797</v>
      </c>
      <c r="D1379" s="22" t="s">
        <v>7710</v>
      </c>
      <c r="E1379" s="22" t="s">
        <v>5595</v>
      </c>
      <c r="F1379" s="24" t="s">
        <v>5596</v>
      </c>
      <c r="G1379" s="23" t="s">
        <v>32</v>
      </c>
      <c r="H1379" s="24" t="s">
        <v>64</v>
      </c>
      <c r="I1379" s="22"/>
      <c r="J1379" s="22" t="s">
        <v>1518</v>
      </c>
      <c r="K1379" s="24"/>
      <c r="L1379" s="24"/>
      <c r="M1379" s="25" t="s">
        <v>5597</v>
      </c>
      <c r="N1379" s="22"/>
      <c r="O1379" s="22" t="s">
        <v>5598</v>
      </c>
      <c r="P1379" s="22" t="str">
        <f>HYPERLINK("https://ceds.ed.gov/cedselementdetails.aspx?termid=21199")</f>
        <v>https://ceds.ed.gov/cedselementdetails.aspx?termid=21199</v>
      </c>
      <c r="Q1379" s="22">
        <v>59793</v>
      </c>
    </row>
    <row r="1380" spans="1:17" ht="100.8" x14ac:dyDescent="0.3">
      <c r="A1380" s="22" t="s">
        <v>7779</v>
      </c>
      <c r="B1380" s="22" t="s">
        <v>7794</v>
      </c>
      <c r="C1380" s="22" t="s">
        <v>7797</v>
      </c>
      <c r="D1380" s="22" t="s">
        <v>7710</v>
      </c>
      <c r="E1380" s="22" t="s">
        <v>5599</v>
      </c>
      <c r="F1380" s="24" t="s">
        <v>5600</v>
      </c>
      <c r="G1380" s="23" t="s">
        <v>32</v>
      </c>
      <c r="H1380" s="24" t="s">
        <v>5342</v>
      </c>
      <c r="I1380" s="22"/>
      <c r="J1380" s="22" t="s">
        <v>1518</v>
      </c>
      <c r="K1380" s="24"/>
      <c r="L1380" s="24"/>
      <c r="M1380" s="25" t="s">
        <v>5601</v>
      </c>
      <c r="N1380" s="22"/>
      <c r="O1380" s="22" t="s">
        <v>5602</v>
      </c>
      <c r="P1380" s="22" t="str">
        <f>HYPERLINK("https://ceds.ed.gov/cedselementdetails.aspx?termid=21200")</f>
        <v>https://ceds.ed.gov/cedselementdetails.aspx?termid=21200</v>
      </c>
      <c r="Q1380" s="22">
        <v>59794</v>
      </c>
    </row>
    <row r="1381" spans="1:17" ht="100.8" x14ac:dyDescent="0.3">
      <c r="A1381" s="22" t="s">
        <v>7779</v>
      </c>
      <c r="B1381" s="22" t="s">
        <v>7794</v>
      </c>
      <c r="C1381" s="22" t="s">
        <v>7797</v>
      </c>
      <c r="D1381" s="22" t="s">
        <v>7710</v>
      </c>
      <c r="E1381" s="22" t="s">
        <v>2980</v>
      </c>
      <c r="F1381" s="24" t="s">
        <v>7476</v>
      </c>
      <c r="G1381" s="23" t="s">
        <v>32</v>
      </c>
      <c r="H1381" s="24" t="s">
        <v>64</v>
      </c>
      <c r="I1381" s="22"/>
      <c r="J1381" s="22" t="s">
        <v>1518</v>
      </c>
      <c r="K1381" s="24"/>
      <c r="L1381" s="24"/>
      <c r="M1381" s="25" t="s">
        <v>2981</v>
      </c>
      <c r="N1381" s="22"/>
      <c r="O1381" s="22" t="s">
        <v>2982</v>
      </c>
      <c r="P1381" s="22" t="str">
        <f>HYPERLINK("https://ceds.ed.gov/cedselementdetails.aspx?termid=21073")</f>
        <v>https://ceds.ed.gov/cedselementdetails.aspx?termid=21073</v>
      </c>
      <c r="Q1381" s="22">
        <v>59734</v>
      </c>
    </row>
    <row r="1382" spans="1:17" ht="100.8" x14ac:dyDescent="0.3">
      <c r="A1382" s="22" t="s">
        <v>7779</v>
      </c>
      <c r="B1382" s="22" t="s">
        <v>7794</v>
      </c>
      <c r="C1382" s="22" t="s">
        <v>7797</v>
      </c>
      <c r="D1382" s="22" t="s">
        <v>7710</v>
      </c>
      <c r="E1382" s="22" t="s">
        <v>2983</v>
      </c>
      <c r="F1382" s="24" t="s">
        <v>7477</v>
      </c>
      <c r="G1382" s="23" t="s">
        <v>32</v>
      </c>
      <c r="H1382" s="24" t="s">
        <v>64</v>
      </c>
      <c r="I1382" s="22"/>
      <c r="J1382" s="22" t="s">
        <v>1518</v>
      </c>
      <c r="K1382" s="24"/>
      <c r="L1382" s="24"/>
      <c r="M1382" s="25" t="s">
        <v>2984</v>
      </c>
      <c r="N1382" s="22"/>
      <c r="O1382" s="22" t="s">
        <v>2985</v>
      </c>
      <c r="P1382" s="22" t="str">
        <f>HYPERLINK("https://ceds.ed.gov/cedselementdetails.aspx?termid=21074")</f>
        <v>https://ceds.ed.gov/cedselementdetails.aspx?termid=21074</v>
      </c>
      <c r="Q1382" s="22">
        <v>59735</v>
      </c>
    </row>
    <row r="1383" spans="1:17" ht="72" x14ac:dyDescent="0.3">
      <c r="A1383" s="22" t="s">
        <v>7779</v>
      </c>
      <c r="B1383" s="22" t="s">
        <v>7794</v>
      </c>
      <c r="C1383" s="22" t="s">
        <v>7797</v>
      </c>
      <c r="D1383" s="22" t="s">
        <v>7710</v>
      </c>
      <c r="E1383" s="22" t="s">
        <v>7017</v>
      </c>
      <c r="F1383" s="24" t="s">
        <v>7018</v>
      </c>
      <c r="G1383" s="23" t="s">
        <v>32</v>
      </c>
      <c r="H1383" s="24" t="s">
        <v>64</v>
      </c>
      <c r="I1383" s="22"/>
      <c r="J1383" s="22" t="s">
        <v>2543</v>
      </c>
      <c r="K1383" s="24"/>
      <c r="L1383" s="24"/>
      <c r="M1383" s="25" t="s">
        <v>7020</v>
      </c>
      <c r="N1383" s="22"/>
      <c r="O1383" s="22" t="s">
        <v>7021</v>
      </c>
      <c r="P1383" s="22" t="str">
        <f>HYPERLINK("https://ceds.ed.gov/cedselementdetails.aspx?termid=21124")</f>
        <v>https://ceds.ed.gov/cedselementdetails.aspx?termid=21124</v>
      </c>
      <c r="Q1383" s="22">
        <v>59757</v>
      </c>
    </row>
    <row r="1384" spans="1:17" ht="302.39999999999998" x14ac:dyDescent="0.3">
      <c r="A1384" s="22" t="s">
        <v>7779</v>
      </c>
      <c r="B1384" s="22" t="s">
        <v>7794</v>
      </c>
      <c r="C1384" s="22" t="s">
        <v>7797</v>
      </c>
      <c r="D1384" s="22" t="s">
        <v>7710</v>
      </c>
      <c r="E1384" s="22" t="s">
        <v>2970</v>
      </c>
      <c r="F1384" s="24" t="s">
        <v>2971</v>
      </c>
      <c r="G1384" s="26" t="s">
        <v>8777</v>
      </c>
      <c r="H1384" s="24" t="s">
        <v>64</v>
      </c>
      <c r="I1384" s="22"/>
      <c r="J1384" s="22"/>
      <c r="K1384" s="24"/>
      <c r="L1384" s="24"/>
      <c r="M1384" s="25" t="s">
        <v>2973</v>
      </c>
      <c r="N1384" s="22"/>
      <c r="O1384" s="22" t="s">
        <v>2974</v>
      </c>
      <c r="P1384" s="22" t="str">
        <f>HYPERLINK("https://ceds.ed.gov/cedselementdetails.aspx?termid=21072")</f>
        <v>https://ceds.ed.gov/cedselementdetails.aspx?termid=21072</v>
      </c>
      <c r="Q1384" s="22">
        <v>59733</v>
      </c>
    </row>
    <row r="1385" spans="1:17" ht="129.6" x14ac:dyDescent="0.3">
      <c r="A1385" s="22" t="s">
        <v>7779</v>
      </c>
      <c r="B1385" s="22" t="s">
        <v>7794</v>
      </c>
      <c r="C1385" s="22" t="s">
        <v>7797</v>
      </c>
      <c r="D1385" s="22" t="s">
        <v>7710</v>
      </c>
      <c r="E1385" s="22" t="s">
        <v>4235</v>
      </c>
      <c r="F1385" s="24" t="s">
        <v>4236</v>
      </c>
      <c r="G1385" s="23" t="s">
        <v>32</v>
      </c>
      <c r="H1385" s="22"/>
      <c r="I1385" s="22"/>
      <c r="J1385" s="22" t="s">
        <v>780</v>
      </c>
      <c r="K1385" s="24"/>
      <c r="L1385" s="24" t="s">
        <v>4238</v>
      </c>
      <c r="M1385" s="25" t="s">
        <v>4239</v>
      </c>
      <c r="N1385" s="22"/>
      <c r="O1385" s="22" t="s">
        <v>4240</v>
      </c>
      <c r="P1385" s="22" t="str">
        <f>HYPERLINK("https://ceds.ed.gov/cedselementdetails.aspx?termid=21609")</f>
        <v>https://ceds.ed.gov/cedselementdetails.aspx?termid=21609</v>
      </c>
      <c r="Q1385" s="22">
        <v>59900</v>
      </c>
    </row>
    <row r="1386" spans="1:17" ht="43.2" x14ac:dyDescent="0.3">
      <c r="A1386" s="22" t="s">
        <v>7779</v>
      </c>
      <c r="B1386" s="22" t="s">
        <v>7794</v>
      </c>
      <c r="C1386" s="22" t="s">
        <v>7797</v>
      </c>
      <c r="D1386" s="22" t="s">
        <v>7710</v>
      </c>
      <c r="E1386" s="22" t="s">
        <v>7151</v>
      </c>
      <c r="F1386" s="24" t="s">
        <v>7152</v>
      </c>
      <c r="G1386" s="26" t="s">
        <v>9164</v>
      </c>
      <c r="H1386" s="22" t="s">
        <v>226</v>
      </c>
      <c r="I1386" s="22"/>
      <c r="J1386" s="22"/>
      <c r="K1386" s="24"/>
      <c r="L1386" s="24"/>
      <c r="M1386" s="25" t="s">
        <v>7153</v>
      </c>
      <c r="N1386" s="22"/>
      <c r="O1386" s="22" t="s">
        <v>7154</v>
      </c>
      <c r="P1386" s="22" t="str">
        <f>HYPERLINK("https://ceds.ed.gov/cedselementdetails.aspx?termid=21558")</f>
        <v>https://ceds.ed.gov/cedselementdetails.aspx?termid=21558</v>
      </c>
      <c r="Q1386" s="22">
        <v>59878</v>
      </c>
    </row>
    <row r="1387" spans="1:17" ht="86.4" x14ac:dyDescent="0.3">
      <c r="A1387" s="22" t="s">
        <v>7779</v>
      </c>
      <c r="B1387" s="22" t="s">
        <v>7794</v>
      </c>
      <c r="C1387" s="22" t="s">
        <v>7797</v>
      </c>
      <c r="D1387" s="22" t="s">
        <v>7710</v>
      </c>
      <c r="E1387" s="22" t="s">
        <v>4231</v>
      </c>
      <c r="F1387" s="24" t="s">
        <v>4232</v>
      </c>
      <c r="G1387" s="23" t="s">
        <v>32</v>
      </c>
      <c r="H1387" s="24" t="s">
        <v>64</v>
      </c>
      <c r="I1387" s="22"/>
      <c r="J1387" s="22" t="s">
        <v>1518</v>
      </c>
      <c r="K1387" s="24"/>
      <c r="L1387" s="24"/>
      <c r="M1387" s="25" t="s">
        <v>4233</v>
      </c>
      <c r="N1387" s="22"/>
      <c r="O1387" s="22" t="s">
        <v>4234</v>
      </c>
      <c r="P1387" s="22" t="str">
        <f>HYPERLINK("https://ceds.ed.gov/cedselementdetails.aspx?termid=21130")</f>
        <v>https://ceds.ed.gov/cedselementdetails.aspx?termid=21130</v>
      </c>
      <c r="Q1387" s="22">
        <v>59761</v>
      </c>
    </row>
    <row r="1388" spans="1:17" ht="158.4" x14ac:dyDescent="0.3">
      <c r="A1388" s="22" t="s">
        <v>7779</v>
      </c>
      <c r="B1388" s="22" t="s">
        <v>7794</v>
      </c>
      <c r="C1388" s="22" t="s">
        <v>7797</v>
      </c>
      <c r="D1388" s="22" t="s">
        <v>7710</v>
      </c>
      <c r="E1388" s="22" t="s">
        <v>4206</v>
      </c>
      <c r="F1388" s="24" t="s">
        <v>4207</v>
      </c>
      <c r="G1388" s="23" t="s">
        <v>32</v>
      </c>
      <c r="H1388" s="24" t="s">
        <v>4213</v>
      </c>
      <c r="I1388" s="22"/>
      <c r="J1388" s="22" t="s">
        <v>990</v>
      </c>
      <c r="K1388" s="24"/>
      <c r="L1388" s="24" t="s">
        <v>4209</v>
      </c>
      <c r="M1388" s="25" t="s">
        <v>4210</v>
      </c>
      <c r="N1388" s="22" t="s">
        <v>4211</v>
      </c>
      <c r="O1388" s="22" t="s">
        <v>4212</v>
      </c>
      <c r="P1388" s="22" t="str">
        <f>HYPERLINK("https://ceds.ed.gov/cedselementdetails.aspx?termid=21128")</f>
        <v>https://ceds.ed.gov/cedselementdetails.aspx?termid=21128</v>
      </c>
      <c r="Q1388" s="22">
        <v>59759</v>
      </c>
    </row>
    <row r="1389" spans="1:17" ht="72" x14ac:dyDescent="0.3">
      <c r="A1389" s="22" t="s">
        <v>7779</v>
      </c>
      <c r="B1389" s="22" t="s">
        <v>7794</v>
      </c>
      <c r="C1389" s="22" t="s">
        <v>7797</v>
      </c>
      <c r="D1389" s="22" t="s">
        <v>7710</v>
      </c>
      <c r="E1389" s="22" t="s">
        <v>4220</v>
      </c>
      <c r="F1389" s="24" t="s">
        <v>4221</v>
      </c>
      <c r="G1389" s="23" t="s">
        <v>32</v>
      </c>
      <c r="H1389" s="24" t="s">
        <v>64</v>
      </c>
      <c r="I1389" s="22"/>
      <c r="J1389" s="22" t="s">
        <v>990</v>
      </c>
      <c r="K1389" s="24"/>
      <c r="L1389" s="24"/>
      <c r="M1389" s="25" t="s">
        <v>4222</v>
      </c>
      <c r="N1389" s="22" t="s">
        <v>4223</v>
      </c>
      <c r="O1389" s="22" t="s">
        <v>4224</v>
      </c>
      <c r="P1389" s="22" t="str">
        <f>HYPERLINK("https://ceds.ed.gov/cedselementdetails.aspx?termid=21129")</f>
        <v>https://ceds.ed.gov/cedselementdetails.aspx?termid=21129</v>
      </c>
      <c r="Q1389" s="22">
        <v>59760</v>
      </c>
    </row>
    <row r="1390" spans="1:17" ht="100.8" x14ac:dyDescent="0.3">
      <c r="A1390" s="22" t="s">
        <v>7779</v>
      </c>
      <c r="B1390" s="22" t="s">
        <v>7794</v>
      </c>
      <c r="C1390" s="22" t="s">
        <v>7797</v>
      </c>
      <c r="D1390" s="22" t="s">
        <v>7710</v>
      </c>
      <c r="E1390" s="22" t="s">
        <v>4322</v>
      </c>
      <c r="F1390" s="24" t="s">
        <v>4323</v>
      </c>
      <c r="G1390" s="23" t="s">
        <v>32</v>
      </c>
      <c r="H1390" s="24" t="s">
        <v>4327</v>
      </c>
      <c r="I1390" s="22"/>
      <c r="J1390" s="22" t="s">
        <v>317</v>
      </c>
      <c r="K1390" s="24"/>
      <c r="L1390" s="24"/>
      <c r="M1390" s="25" t="s">
        <v>4325</v>
      </c>
      <c r="N1390" s="22"/>
      <c r="O1390" s="22" t="s">
        <v>4326</v>
      </c>
      <c r="P1390" s="22" t="str">
        <f>HYPERLINK("https://ceds.ed.gov/cedselementdetails.aspx?termid=21041")</f>
        <v>https://ceds.ed.gov/cedselementdetails.aspx?termid=21041</v>
      </c>
      <c r="Q1390" s="22">
        <v>58998</v>
      </c>
    </row>
    <row r="1391" spans="1:17" ht="72" x14ac:dyDescent="0.3">
      <c r="A1391" s="22" t="s">
        <v>7779</v>
      </c>
      <c r="B1391" s="22" t="s">
        <v>7794</v>
      </c>
      <c r="C1391" s="22" t="s">
        <v>7797</v>
      </c>
      <c r="D1391" s="22" t="s">
        <v>7710</v>
      </c>
      <c r="E1391" s="22" t="s">
        <v>2077</v>
      </c>
      <c r="F1391" s="24" t="s">
        <v>2078</v>
      </c>
      <c r="G1391" s="23" t="s">
        <v>32</v>
      </c>
      <c r="H1391" s="24" t="s">
        <v>64</v>
      </c>
      <c r="I1391" s="22"/>
      <c r="J1391" s="22" t="s">
        <v>2079</v>
      </c>
      <c r="K1391" s="24"/>
      <c r="L1391" s="24"/>
      <c r="M1391" s="25" t="s">
        <v>2080</v>
      </c>
      <c r="N1391" s="22"/>
      <c r="O1391" s="22" t="s">
        <v>2081</v>
      </c>
      <c r="P1391" s="22" t="str">
        <f>HYPERLINK("https://ceds.ed.gov/cedselementdetails.aspx?termid=21042")</f>
        <v>https://ceds.ed.gov/cedselementdetails.aspx?termid=21042</v>
      </c>
      <c r="Q1391" s="22">
        <v>58999</v>
      </c>
    </row>
    <row r="1392" spans="1:17" ht="100.8" x14ac:dyDescent="0.3">
      <c r="A1392" s="22" t="s">
        <v>7779</v>
      </c>
      <c r="B1392" s="22" t="s">
        <v>7794</v>
      </c>
      <c r="C1392" s="22" t="s">
        <v>7797</v>
      </c>
      <c r="D1392" s="22" t="s">
        <v>7710</v>
      </c>
      <c r="E1392" s="22" t="s">
        <v>6794</v>
      </c>
      <c r="F1392" s="24" t="s">
        <v>6795</v>
      </c>
      <c r="G1392" s="23" t="s">
        <v>32</v>
      </c>
      <c r="H1392" s="24" t="s">
        <v>4327</v>
      </c>
      <c r="I1392" s="22"/>
      <c r="J1392" s="22" t="s">
        <v>317</v>
      </c>
      <c r="K1392" s="24"/>
      <c r="L1392" s="24"/>
      <c r="M1392" s="25" t="s">
        <v>6796</v>
      </c>
      <c r="N1392" s="22"/>
      <c r="O1392" s="22" t="s">
        <v>6797</v>
      </c>
      <c r="P1392" s="22" t="str">
        <f>HYPERLINK("https://ceds.ed.gov/cedselementdetails.aspx?termid=21294")</f>
        <v>https://ceds.ed.gov/cedselementdetails.aspx?termid=21294</v>
      </c>
      <c r="Q1392" s="22">
        <v>59827</v>
      </c>
    </row>
    <row r="1393" spans="1:17" ht="72" x14ac:dyDescent="0.3">
      <c r="A1393" s="22" t="s">
        <v>7779</v>
      </c>
      <c r="B1393" s="22" t="s">
        <v>7794</v>
      </c>
      <c r="C1393" s="22" t="s">
        <v>7797</v>
      </c>
      <c r="D1393" s="22" t="s">
        <v>7710</v>
      </c>
      <c r="E1393" s="22" t="s">
        <v>6246</v>
      </c>
      <c r="F1393" s="24" t="s">
        <v>6247</v>
      </c>
      <c r="G1393" s="23" t="s">
        <v>32</v>
      </c>
      <c r="H1393" s="24" t="s">
        <v>64</v>
      </c>
      <c r="I1393" s="22"/>
      <c r="J1393" s="22" t="s">
        <v>3145</v>
      </c>
      <c r="K1393" s="24"/>
      <c r="L1393" s="24"/>
      <c r="M1393" s="25" t="s">
        <v>6248</v>
      </c>
      <c r="N1393" s="22"/>
      <c r="O1393" s="22" t="s">
        <v>6249</v>
      </c>
      <c r="P1393" s="22" t="str">
        <f>HYPERLINK("https://ceds.ed.gov/cedselementdetails.aspx?termid=21226")</f>
        <v>https://ceds.ed.gov/cedselementdetails.aspx?termid=21226</v>
      </c>
      <c r="Q1393" s="22">
        <v>59803</v>
      </c>
    </row>
    <row r="1394" spans="1:17" ht="302.39999999999998" x14ac:dyDescent="0.3">
      <c r="A1394" s="22" t="s">
        <v>7779</v>
      </c>
      <c r="B1394" s="22" t="s">
        <v>7794</v>
      </c>
      <c r="C1394" s="22" t="s">
        <v>7797</v>
      </c>
      <c r="D1394" s="22" t="s">
        <v>7710</v>
      </c>
      <c r="E1394" s="22" t="s">
        <v>59</v>
      </c>
      <c r="F1394" s="24" t="s">
        <v>60</v>
      </c>
      <c r="G1394" s="26" t="s">
        <v>8564</v>
      </c>
      <c r="H1394" s="24" t="s">
        <v>64</v>
      </c>
      <c r="I1394" s="22"/>
      <c r="J1394" s="22"/>
      <c r="K1394" s="24"/>
      <c r="L1394" s="24"/>
      <c r="M1394" s="25" t="s">
        <v>62</v>
      </c>
      <c r="N1394" s="22"/>
      <c r="O1394" s="22" t="s">
        <v>63</v>
      </c>
      <c r="P1394" s="22" t="str">
        <f>HYPERLINK("https://ceds.ed.gov/cedselementdetails.aspx?termid=21004")</f>
        <v>https://ceds.ed.gov/cedselementdetails.aspx?termid=21004</v>
      </c>
      <c r="Q1394" s="22">
        <v>58988</v>
      </c>
    </row>
    <row r="1395" spans="1:17" ht="72" x14ac:dyDescent="0.3">
      <c r="A1395" s="22" t="s">
        <v>7779</v>
      </c>
      <c r="B1395" s="22" t="s">
        <v>7794</v>
      </c>
      <c r="C1395" s="22" t="s">
        <v>7797</v>
      </c>
      <c r="D1395" s="22" t="s">
        <v>7710</v>
      </c>
      <c r="E1395" s="22" t="s">
        <v>4368</v>
      </c>
      <c r="F1395" s="24" t="s">
        <v>4369</v>
      </c>
      <c r="G1395" s="23" t="s">
        <v>32</v>
      </c>
      <c r="H1395" s="24" t="s">
        <v>64</v>
      </c>
      <c r="I1395" s="22"/>
      <c r="J1395" s="22" t="s">
        <v>55</v>
      </c>
      <c r="K1395" s="24"/>
      <c r="L1395" s="24"/>
      <c r="M1395" s="25" t="s">
        <v>4370</v>
      </c>
      <c r="N1395" s="22"/>
      <c r="O1395" s="22" t="s">
        <v>4371</v>
      </c>
      <c r="P1395" s="22" t="str">
        <f>HYPERLINK("https://ceds.ed.gov/cedselementdetails.aspx?termid=21150")</f>
        <v>https://ceds.ed.gov/cedselementdetails.aspx?termid=21150</v>
      </c>
      <c r="Q1395" s="22">
        <v>59770</v>
      </c>
    </row>
    <row r="1396" spans="1:17" ht="72" x14ac:dyDescent="0.3">
      <c r="A1396" s="22" t="s">
        <v>7779</v>
      </c>
      <c r="B1396" s="22" t="s">
        <v>7794</v>
      </c>
      <c r="C1396" s="22" t="s">
        <v>7797</v>
      </c>
      <c r="D1396" s="22" t="s">
        <v>7710</v>
      </c>
      <c r="E1396" s="22" t="s">
        <v>1889</v>
      </c>
      <c r="F1396" s="24" t="s">
        <v>1890</v>
      </c>
      <c r="G1396" s="26" t="s">
        <v>22</v>
      </c>
      <c r="H1396" s="24" t="s">
        <v>64</v>
      </c>
      <c r="I1396" s="22"/>
      <c r="J1396" s="22"/>
      <c r="K1396" s="24"/>
      <c r="L1396" s="24"/>
      <c r="M1396" s="25" t="s">
        <v>1892</v>
      </c>
      <c r="N1396" s="22" t="s">
        <v>1893</v>
      </c>
      <c r="O1396" s="22" t="s">
        <v>1894</v>
      </c>
      <c r="P1396" s="22" t="str">
        <f>HYPERLINK("https://ceds.ed.gov/cedselementdetails.aspx?termid=21036")</f>
        <v>https://ceds.ed.gov/cedselementdetails.aspx?termid=21036</v>
      </c>
      <c r="Q1396" s="22">
        <v>60835</v>
      </c>
    </row>
    <row r="1397" spans="1:17" ht="201.6" x14ac:dyDescent="0.3">
      <c r="A1397" s="22" t="s">
        <v>7779</v>
      </c>
      <c r="B1397" s="22" t="s">
        <v>7794</v>
      </c>
      <c r="C1397" s="22" t="s">
        <v>7797</v>
      </c>
      <c r="D1397" s="22" t="s">
        <v>7710</v>
      </c>
      <c r="E1397" s="22" t="s">
        <v>6365</v>
      </c>
      <c r="F1397" s="24" t="s">
        <v>6366</v>
      </c>
      <c r="G1397" s="26" t="s">
        <v>9125</v>
      </c>
      <c r="H1397" s="24" t="s">
        <v>64</v>
      </c>
      <c r="I1397" s="22"/>
      <c r="J1397" s="22"/>
      <c r="K1397" s="24"/>
      <c r="L1397" s="24"/>
      <c r="M1397" s="25" t="s">
        <v>6367</v>
      </c>
      <c r="N1397" s="22"/>
      <c r="O1397" s="22" t="s">
        <v>6368</v>
      </c>
      <c r="P1397" s="22" t="str">
        <f>HYPERLINK("https://ceds.ed.gov/cedselementdetails.aspx?termid=21229")</f>
        <v>https://ceds.ed.gov/cedselementdetails.aspx?termid=21229</v>
      </c>
      <c r="Q1397" s="22">
        <v>59805</v>
      </c>
    </row>
    <row r="1398" spans="1:17" ht="43.2" x14ac:dyDescent="0.3">
      <c r="A1398" s="22" t="s">
        <v>7779</v>
      </c>
      <c r="B1398" s="22" t="s">
        <v>7794</v>
      </c>
      <c r="C1398" s="22" t="s">
        <v>7797</v>
      </c>
      <c r="D1398" s="22" t="s">
        <v>7710</v>
      </c>
      <c r="E1398" s="22" t="s">
        <v>3568</v>
      </c>
      <c r="F1398" s="24" t="s">
        <v>3569</v>
      </c>
      <c r="G1398" s="26" t="s">
        <v>8852</v>
      </c>
      <c r="H1398" s="22" t="s">
        <v>25</v>
      </c>
      <c r="I1398" s="22"/>
      <c r="J1398" s="22"/>
      <c r="K1398" s="24"/>
      <c r="L1398" s="24"/>
      <c r="M1398" s="25" t="s">
        <v>3570</v>
      </c>
      <c r="N1398" s="22"/>
      <c r="O1398" s="22" t="s">
        <v>3571</v>
      </c>
      <c r="P1398" s="22" t="str">
        <f>HYPERLINK("https://ceds.ed.gov/cedselementdetails.aspx?termid=21093")</f>
        <v>https://ceds.ed.gov/cedselementdetails.aspx?termid=21093</v>
      </c>
      <c r="Q1398" s="22">
        <v>59745</v>
      </c>
    </row>
    <row r="1399" spans="1:17" ht="100.8" x14ac:dyDescent="0.3">
      <c r="A1399" s="22" t="s">
        <v>7779</v>
      </c>
      <c r="B1399" s="22" t="s">
        <v>7794</v>
      </c>
      <c r="C1399" s="22" t="s">
        <v>7797</v>
      </c>
      <c r="D1399" s="22" t="s">
        <v>7710</v>
      </c>
      <c r="E1399" s="22" t="s">
        <v>6250</v>
      </c>
      <c r="F1399" s="24" t="s">
        <v>6251</v>
      </c>
      <c r="G1399" s="26" t="s">
        <v>9114</v>
      </c>
      <c r="H1399" s="22"/>
      <c r="I1399" s="22"/>
      <c r="J1399" s="22"/>
      <c r="K1399" s="24"/>
      <c r="L1399" s="24"/>
      <c r="M1399" s="25" t="s">
        <v>6252</v>
      </c>
      <c r="N1399" s="22"/>
      <c r="O1399" s="22" t="s">
        <v>6253</v>
      </c>
      <c r="P1399" s="22" t="str">
        <f>HYPERLINK("https://ceds.ed.gov/cedselementdetails.aspx?termid=21521")</f>
        <v>https://ceds.ed.gov/cedselementdetails.aspx?termid=21521</v>
      </c>
      <c r="Q1399" s="22">
        <v>59861</v>
      </c>
    </row>
    <row r="1400" spans="1:17" ht="115.2" x14ac:dyDescent="0.3">
      <c r="A1400" s="22" t="s">
        <v>7779</v>
      </c>
      <c r="B1400" s="22" t="s">
        <v>7794</v>
      </c>
      <c r="C1400" s="22" t="s">
        <v>7797</v>
      </c>
      <c r="D1400" s="22" t="s">
        <v>7710</v>
      </c>
      <c r="E1400" s="22" t="s">
        <v>5579</v>
      </c>
      <c r="F1400" s="24" t="s">
        <v>5580</v>
      </c>
      <c r="G1400" s="26" t="s">
        <v>9042</v>
      </c>
      <c r="H1400" s="22"/>
      <c r="I1400" s="22"/>
      <c r="J1400" s="22"/>
      <c r="K1400" s="24"/>
      <c r="L1400" s="24"/>
      <c r="M1400" s="25" t="s">
        <v>5581</v>
      </c>
      <c r="N1400" s="22"/>
      <c r="O1400" s="22" t="s">
        <v>5582</v>
      </c>
      <c r="P1400" s="22" t="str">
        <f>HYPERLINK("https://ceds.ed.gov/cedselementdetails.aspx?termid=21522")</f>
        <v>https://ceds.ed.gov/cedselementdetails.aspx?termid=21522</v>
      </c>
      <c r="Q1400" s="22">
        <v>59862</v>
      </c>
    </row>
    <row r="1401" spans="1:17" ht="216" x14ac:dyDescent="0.3">
      <c r="A1401" s="22" t="s">
        <v>7779</v>
      </c>
      <c r="B1401" s="22" t="s">
        <v>7794</v>
      </c>
      <c r="C1401" s="22" t="s">
        <v>7797</v>
      </c>
      <c r="D1401" s="22" t="s">
        <v>7710</v>
      </c>
      <c r="E1401" s="22" t="s">
        <v>5315</v>
      </c>
      <c r="F1401" s="24" t="s">
        <v>5316</v>
      </c>
      <c r="G1401" s="26" t="s">
        <v>9018</v>
      </c>
      <c r="H1401" s="22" t="s">
        <v>214</v>
      </c>
      <c r="I1401" s="22"/>
      <c r="J1401" s="22"/>
      <c r="K1401" s="24"/>
      <c r="L1401" s="24"/>
      <c r="M1401" s="25" t="s">
        <v>5317</v>
      </c>
      <c r="N1401" s="22"/>
      <c r="O1401" s="22" t="s">
        <v>5318</v>
      </c>
      <c r="P1401" s="22" t="str">
        <f>HYPERLINK("https://ceds.ed.gov/cedselementdetails.aspx?termid=21456")</f>
        <v>https://ceds.ed.gov/cedselementdetails.aspx?termid=21456</v>
      </c>
      <c r="Q1401" s="22">
        <v>60856</v>
      </c>
    </row>
    <row r="1402" spans="1:17" ht="43.2" x14ac:dyDescent="0.3">
      <c r="A1402" s="22" t="s">
        <v>7779</v>
      </c>
      <c r="B1402" s="22" t="s">
        <v>7794</v>
      </c>
      <c r="C1402" s="22" t="s">
        <v>7797</v>
      </c>
      <c r="D1402" s="22" t="s">
        <v>7710</v>
      </c>
      <c r="E1402" s="22" t="s">
        <v>5327</v>
      </c>
      <c r="F1402" s="24" t="s">
        <v>5328</v>
      </c>
      <c r="G1402" s="26" t="s">
        <v>22</v>
      </c>
      <c r="H1402" s="22" t="s">
        <v>214</v>
      </c>
      <c r="I1402" s="22"/>
      <c r="J1402" s="22"/>
      <c r="K1402" s="24"/>
      <c r="L1402" s="24"/>
      <c r="M1402" s="25" t="s">
        <v>5329</v>
      </c>
      <c r="N1402" s="22"/>
      <c r="O1402" s="22" t="s">
        <v>5330</v>
      </c>
      <c r="P1402" s="22" t="str">
        <f>HYPERLINK("https://ceds.ed.gov/cedselementdetails.aspx?termid=21459")</f>
        <v>https://ceds.ed.gov/cedselementdetails.aspx?termid=21459</v>
      </c>
      <c r="Q1402" s="22">
        <v>59853</v>
      </c>
    </row>
    <row r="1403" spans="1:17" ht="43.2" x14ac:dyDescent="0.3">
      <c r="A1403" s="22" t="s">
        <v>7779</v>
      </c>
      <c r="B1403" s="22" t="s">
        <v>7794</v>
      </c>
      <c r="C1403" s="22" t="s">
        <v>7797</v>
      </c>
      <c r="D1403" s="22" t="s">
        <v>7710</v>
      </c>
      <c r="E1403" s="22" t="s">
        <v>5323</v>
      </c>
      <c r="F1403" s="24" t="s">
        <v>5324</v>
      </c>
      <c r="G1403" s="26" t="s">
        <v>22</v>
      </c>
      <c r="H1403" s="22" t="s">
        <v>214</v>
      </c>
      <c r="I1403" s="22"/>
      <c r="J1403" s="22"/>
      <c r="K1403" s="24"/>
      <c r="L1403" s="24"/>
      <c r="M1403" s="25" t="s">
        <v>5325</v>
      </c>
      <c r="N1403" s="22"/>
      <c r="O1403" s="22" t="s">
        <v>5326</v>
      </c>
      <c r="P1403" s="22" t="str">
        <f>HYPERLINK("https://ceds.ed.gov/cedselementdetails.aspx?termid=21458")</f>
        <v>https://ceds.ed.gov/cedselementdetails.aspx?termid=21458</v>
      </c>
      <c r="Q1403" s="22">
        <v>59852</v>
      </c>
    </row>
    <row r="1404" spans="1:17" ht="57.6" x14ac:dyDescent="0.3">
      <c r="A1404" s="22" t="s">
        <v>7779</v>
      </c>
      <c r="B1404" s="22" t="s">
        <v>7794</v>
      </c>
      <c r="C1404" s="22" t="s">
        <v>7797</v>
      </c>
      <c r="D1404" s="22" t="s">
        <v>7710</v>
      </c>
      <c r="E1404" s="22" t="s">
        <v>5319</v>
      </c>
      <c r="F1404" s="24" t="s">
        <v>5320</v>
      </c>
      <c r="G1404" s="26" t="s">
        <v>22</v>
      </c>
      <c r="H1404" s="22" t="s">
        <v>214</v>
      </c>
      <c r="I1404" s="22"/>
      <c r="J1404" s="22"/>
      <c r="K1404" s="24"/>
      <c r="L1404" s="24"/>
      <c r="M1404" s="25" t="s">
        <v>5321</v>
      </c>
      <c r="N1404" s="22"/>
      <c r="O1404" s="22" t="s">
        <v>5322</v>
      </c>
      <c r="P1404" s="22" t="str">
        <f>HYPERLINK("https://ceds.ed.gov/cedselementdetails.aspx?termid=21457")</f>
        <v>https://ceds.ed.gov/cedselementdetails.aspx?termid=21457</v>
      </c>
      <c r="Q1404" s="22">
        <v>59851</v>
      </c>
    </row>
    <row r="1405" spans="1:17" ht="57.6" x14ac:dyDescent="0.3">
      <c r="A1405" s="22" t="s">
        <v>7779</v>
      </c>
      <c r="B1405" s="22" t="s">
        <v>7794</v>
      </c>
      <c r="C1405" s="22" t="s">
        <v>7797</v>
      </c>
      <c r="D1405" s="22" t="s">
        <v>7710</v>
      </c>
      <c r="E1405" s="22" t="s">
        <v>5886</v>
      </c>
      <c r="F1405" s="24" t="s">
        <v>5887</v>
      </c>
      <c r="G1405" s="26" t="s">
        <v>8587</v>
      </c>
      <c r="H1405" s="22" t="s">
        <v>226</v>
      </c>
      <c r="I1405" s="22"/>
      <c r="J1405" s="22"/>
      <c r="K1405" s="24"/>
      <c r="L1405" s="24"/>
      <c r="M1405" s="25" t="s">
        <v>5888</v>
      </c>
      <c r="N1405" s="22"/>
      <c r="O1405" s="22" t="s">
        <v>5889</v>
      </c>
      <c r="P1405" s="22" t="str">
        <f>HYPERLINK("https://ceds.ed.gov/cedselementdetails.aspx?termid=21579")</f>
        <v>https://ceds.ed.gov/cedselementdetails.aspx?termid=21579</v>
      </c>
      <c r="Q1405" s="22">
        <v>59889</v>
      </c>
    </row>
    <row r="1406" spans="1:17" x14ac:dyDescent="0.3">
      <c r="A1406" s="22" t="s">
        <v>7779</v>
      </c>
      <c r="B1406" s="22" t="s">
        <v>7794</v>
      </c>
      <c r="C1406" s="22" t="s">
        <v>7797</v>
      </c>
      <c r="D1406" s="22" t="s">
        <v>7710</v>
      </c>
      <c r="E1406" s="22" t="s">
        <v>2108</v>
      </c>
      <c r="F1406" s="24" t="s">
        <v>2109</v>
      </c>
      <c r="G1406" s="23" t="s">
        <v>32</v>
      </c>
      <c r="H1406" s="22"/>
      <c r="I1406" s="22"/>
      <c r="J1406" s="22" t="s">
        <v>85</v>
      </c>
      <c r="K1406" s="24"/>
      <c r="L1406" s="24"/>
      <c r="M1406" s="25" t="s">
        <v>2110</v>
      </c>
      <c r="N1406" s="22"/>
      <c r="O1406" s="22" t="s">
        <v>2111</v>
      </c>
      <c r="P1406" s="22" t="str">
        <f>HYPERLINK("https://ceds.ed.gov/cedselementdetails.aspx?termid=21687")</f>
        <v>https://ceds.ed.gov/cedselementdetails.aspx?termid=21687</v>
      </c>
      <c r="Q1406" s="22">
        <v>59912</v>
      </c>
    </row>
    <row r="1407" spans="1:17" ht="28.8" x14ac:dyDescent="0.3">
      <c r="A1407" s="22" t="s">
        <v>7779</v>
      </c>
      <c r="B1407" s="22" t="s">
        <v>7794</v>
      </c>
      <c r="C1407" s="22" t="s">
        <v>7797</v>
      </c>
      <c r="D1407" s="22" t="s">
        <v>7710</v>
      </c>
      <c r="E1407" s="22" t="s">
        <v>4256</v>
      </c>
      <c r="F1407" s="24" t="s">
        <v>4257</v>
      </c>
      <c r="G1407" s="23" t="s">
        <v>32</v>
      </c>
      <c r="H1407" s="22"/>
      <c r="I1407" s="22"/>
      <c r="J1407" s="22" t="s">
        <v>1844</v>
      </c>
      <c r="K1407" s="24"/>
      <c r="L1407" s="24"/>
      <c r="M1407" s="25" t="s">
        <v>4258</v>
      </c>
      <c r="N1407" s="22"/>
      <c r="O1407" s="22" t="s">
        <v>4259</v>
      </c>
      <c r="P1407" s="22" t="str">
        <f>HYPERLINK("https://ceds.ed.gov/cedselementdetails.aspx?termid=21132")</f>
        <v>https://ceds.ed.gov/cedselementdetails.aspx?termid=21132</v>
      </c>
      <c r="Q1407" s="22">
        <v>59762</v>
      </c>
    </row>
    <row r="1408" spans="1:17" ht="72" x14ac:dyDescent="0.3">
      <c r="A1408" s="22" t="s">
        <v>7779</v>
      </c>
      <c r="B1408" s="22" t="s">
        <v>7794</v>
      </c>
      <c r="C1408" s="22" t="s">
        <v>7797</v>
      </c>
      <c r="D1408" s="22" t="s">
        <v>7710</v>
      </c>
      <c r="E1408" s="22" t="s">
        <v>4260</v>
      </c>
      <c r="F1408" s="24" t="s">
        <v>4261</v>
      </c>
      <c r="G1408" s="26" t="s">
        <v>22</v>
      </c>
      <c r="H1408" s="22" t="s">
        <v>4264</v>
      </c>
      <c r="I1408" s="22"/>
      <c r="J1408" s="22"/>
      <c r="K1408" s="24"/>
      <c r="L1408" s="24"/>
      <c r="M1408" s="25" t="s">
        <v>4262</v>
      </c>
      <c r="N1408" s="22"/>
      <c r="O1408" s="22" t="s">
        <v>4263</v>
      </c>
      <c r="P1408" s="22" t="str">
        <f>HYPERLINK("https://ceds.ed.gov/cedselementdetails.aspx?termid=21133")</f>
        <v>https://ceds.ed.gov/cedselementdetails.aspx?termid=21133</v>
      </c>
      <c r="Q1408" s="22">
        <v>59763</v>
      </c>
    </row>
    <row r="1409" spans="1:17" ht="57.6" x14ac:dyDescent="0.3">
      <c r="A1409" s="22" t="s">
        <v>7779</v>
      </c>
      <c r="B1409" s="22" t="s">
        <v>7794</v>
      </c>
      <c r="C1409" s="22" t="s">
        <v>7797</v>
      </c>
      <c r="D1409" s="22" t="s">
        <v>7710</v>
      </c>
      <c r="E1409" s="22" t="s">
        <v>5923</v>
      </c>
      <c r="F1409" s="24" t="s">
        <v>5924</v>
      </c>
      <c r="G1409" s="26" t="s">
        <v>9071</v>
      </c>
      <c r="H1409" s="24" t="s">
        <v>1289</v>
      </c>
      <c r="I1409" s="22"/>
      <c r="J1409" s="22"/>
      <c r="K1409" s="24"/>
      <c r="L1409" s="24"/>
      <c r="M1409" s="25" t="s">
        <v>5925</v>
      </c>
      <c r="N1409" s="22"/>
      <c r="O1409" s="22" t="s">
        <v>5926</v>
      </c>
      <c r="P1409" s="22" t="str">
        <f>HYPERLINK("https://ceds.ed.gov/cedselementdetails.aspx?termid=21563")</f>
        <v>https://ceds.ed.gov/cedselementdetails.aspx?termid=21563</v>
      </c>
      <c r="Q1409" s="22">
        <v>59881</v>
      </c>
    </row>
    <row r="1410" spans="1:17" ht="43.2" x14ac:dyDescent="0.3">
      <c r="A1410" s="22" t="s">
        <v>7779</v>
      </c>
      <c r="B1410" s="22" t="s">
        <v>7794</v>
      </c>
      <c r="C1410" s="22" t="s">
        <v>7797</v>
      </c>
      <c r="D1410" s="22" t="s">
        <v>7710</v>
      </c>
      <c r="E1410" s="22" t="s">
        <v>6139</v>
      </c>
      <c r="F1410" s="24" t="s">
        <v>6140</v>
      </c>
      <c r="G1410" s="26" t="s">
        <v>9104</v>
      </c>
      <c r="H1410" s="22" t="s">
        <v>226</v>
      </c>
      <c r="I1410" s="22"/>
      <c r="J1410" s="22"/>
      <c r="K1410" s="24"/>
      <c r="L1410" s="24"/>
      <c r="M1410" s="25" t="s">
        <v>6142</v>
      </c>
      <c r="N1410" s="22"/>
      <c r="O1410" s="22" t="s">
        <v>6143</v>
      </c>
      <c r="P1410" s="22" t="str">
        <f>HYPERLINK("https://ceds.ed.gov/cedselementdetails.aspx?termid=21565")</f>
        <v>https://ceds.ed.gov/cedselementdetails.aspx?termid=21565</v>
      </c>
      <c r="Q1410" s="22">
        <v>59882</v>
      </c>
    </row>
    <row r="1411" spans="1:17" ht="100.8" x14ac:dyDescent="0.3">
      <c r="A1411" s="22" t="s">
        <v>7779</v>
      </c>
      <c r="B1411" s="22" t="s">
        <v>7794</v>
      </c>
      <c r="C1411" s="22" t="s">
        <v>7797</v>
      </c>
      <c r="D1411" s="22" t="s">
        <v>7710</v>
      </c>
      <c r="E1411" s="22" t="s">
        <v>6242</v>
      </c>
      <c r="F1411" s="24" t="s">
        <v>6243</v>
      </c>
      <c r="G1411" s="26" t="s">
        <v>9113</v>
      </c>
      <c r="H1411" s="22" t="s">
        <v>226</v>
      </c>
      <c r="I1411" s="22"/>
      <c r="J1411" s="22"/>
      <c r="K1411" s="24"/>
      <c r="L1411" s="24"/>
      <c r="M1411" s="25" t="s">
        <v>6244</v>
      </c>
      <c r="N1411" s="22"/>
      <c r="O1411" s="22" t="s">
        <v>6245</v>
      </c>
      <c r="P1411" s="22" t="str">
        <f>HYPERLINK("https://ceds.ed.gov/cedselementdetails.aspx?termid=21553")</f>
        <v>https://ceds.ed.gov/cedselementdetails.aspx?termid=21553</v>
      </c>
      <c r="Q1411" s="22">
        <v>59874</v>
      </c>
    </row>
    <row r="1412" spans="1:17" ht="43.2" x14ac:dyDescent="0.3">
      <c r="A1412" s="22" t="s">
        <v>7779</v>
      </c>
      <c r="B1412" s="22" t="s">
        <v>7794</v>
      </c>
      <c r="C1412" s="22" t="s">
        <v>7797</v>
      </c>
      <c r="D1412" s="22" t="s">
        <v>7710</v>
      </c>
      <c r="E1412" s="22" t="s">
        <v>1929</v>
      </c>
      <c r="F1412" s="24" t="s">
        <v>1930</v>
      </c>
      <c r="G1412" s="23" t="s">
        <v>32</v>
      </c>
      <c r="H1412" s="22"/>
      <c r="I1412" s="22"/>
      <c r="J1412" s="22" t="s">
        <v>118</v>
      </c>
      <c r="K1412" s="24"/>
      <c r="L1412" s="24"/>
      <c r="M1412" s="25" t="s">
        <v>1931</v>
      </c>
      <c r="N1412" s="22"/>
      <c r="O1412" s="22" t="s">
        <v>1932</v>
      </c>
      <c r="P1412" s="22" t="str">
        <f>HYPERLINK("https://ceds.ed.gov/cedselementdetails.aspx?termid=22255")</f>
        <v>https://ceds.ed.gov/cedselementdetails.aspx?termid=22255</v>
      </c>
      <c r="Q1412" s="22">
        <v>61078</v>
      </c>
    </row>
    <row r="1413" spans="1:17" ht="72" x14ac:dyDescent="0.3">
      <c r="A1413" s="22" t="s">
        <v>7779</v>
      </c>
      <c r="B1413" s="22" t="s">
        <v>7794</v>
      </c>
      <c r="C1413" s="22" t="s">
        <v>7797</v>
      </c>
      <c r="D1413" s="22" t="s">
        <v>7710</v>
      </c>
      <c r="E1413" s="22" t="s">
        <v>1933</v>
      </c>
      <c r="F1413" s="24" t="s">
        <v>1934</v>
      </c>
      <c r="G1413" s="26" t="s">
        <v>8713</v>
      </c>
      <c r="H1413" s="22"/>
      <c r="I1413" s="22"/>
      <c r="J1413" s="22"/>
      <c r="K1413" s="24"/>
      <c r="L1413" s="24"/>
      <c r="M1413" s="25" t="s">
        <v>1935</v>
      </c>
      <c r="N1413" s="22"/>
      <c r="O1413" s="22" t="s">
        <v>1936</v>
      </c>
      <c r="P1413" s="22" t="str">
        <f>HYPERLINK("https://ceds.ed.gov/cedselementdetails.aspx?termid=22256")</f>
        <v>https://ceds.ed.gov/cedselementdetails.aspx?termid=22256</v>
      </c>
      <c r="Q1413" s="22">
        <v>61081</v>
      </c>
    </row>
    <row r="1414" spans="1:17" ht="28.8" x14ac:dyDescent="0.3">
      <c r="A1414" s="22" t="s">
        <v>7779</v>
      </c>
      <c r="B1414" s="22" t="s">
        <v>7794</v>
      </c>
      <c r="C1414" s="22" t="s">
        <v>7797</v>
      </c>
      <c r="D1414" s="22" t="s">
        <v>7710</v>
      </c>
      <c r="E1414" s="22" t="s">
        <v>2595</v>
      </c>
      <c r="F1414" s="24" t="s">
        <v>2596</v>
      </c>
      <c r="G1414" s="23" t="s">
        <v>32</v>
      </c>
      <c r="H1414" s="22"/>
      <c r="I1414" s="22"/>
      <c r="J1414" s="22" t="s">
        <v>157</v>
      </c>
      <c r="K1414" s="24"/>
      <c r="L1414" s="24"/>
      <c r="M1414" s="25" t="s">
        <v>2598</v>
      </c>
      <c r="N1414" s="22"/>
      <c r="O1414" s="22" t="s">
        <v>2599</v>
      </c>
      <c r="P1414" s="22" t="str">
        <f>HYPERLINK("https://ceds.ed.gov/cedselementdetails.aspx?termid=22525")</f>
        <v>https://ceds.ed.gov/cedselementdetails.aspx?termid=22525</v>
      </c>
      <c r="Q1414" s="22">
        <v>61836</v>
      </c>
    </row>
    <row r="1415" spans="1:17" ht="43.2" x14ac:dyDescent="0.3">
      <c r="A1415" s="22" t="s">
        <v>7779</v>
      </c>
      <c r="B1415" s="22" t="s">
        <v>7794</v>
      </c>
      <c r="C1415" s="22" t="s">
        <v>7797</v>
      </c>
      <c r="D1415" s="22" t="s">
        <v>7710</v>
      </c>
      <c r="E1415" s="22" t="s">
        <v>7022</v>
      </c>
      <c r="F1415" s="24" t="s">
        <v>7023</v>
      </c>
      <c r="G1415" s="23" t="s">
        <v>32</v>
      </c>
      <c r="H1415" s="22"/>
      <c r="I1415" s="22"/>
      <c r="J1415" s="22" t="s">
        <v>113</v>
      </c>
      <c r="K1415" s="24"/>
      <c r="L1415" s="24"/>
      <c r="M1415" s="25" t="s">
        <v>7025</v>
      </c>
      <c r="N1415" s="22"/>
      <c r="O1415" s="22" t="s">
        <v>7026</v>
      </c>
      <c r="P1415" s="22" t="str">
        <f>HYPERLINK("https://ceds.ed.gov/cedselementdetails.aspx?termid=22552")</f>
        <v>https://ceds.ed.gov/cedselementdetails.aspx?termid=22552</v>
      </c>
      <c r="Q1415" s="22">
        <v>61927</v>
      </c>
    </row>
    <row r="1416" spans="1:17" ht="43.2" x14ac:dyDescent="0.3">
      <c r="A1416" s="22" t="s">
        <v>7779</v>
      </c>
      <c r="B1416" s="22" t="s">
        <v>7794</v>
      </c>
      <c r="C1416" s="22" t="s">
        <v>7797</v>
      </c>
      <c r="D1416" s="22" t="s">
        <v>7710</v>
      </c>
      <c r="E1416" s="22" t="s">
        <v>4225</v>
      </c>
      <c r="F1416" s="24" t="s">
        <v>4226</v>
      </c>
      <c r="G1416" s="26" t="s">
        <v>8912</v>
      </c>
      <c r="H1416" s="24" t="s">
        <v>4230</v>
      </c>
      <c r="I1416" s="22"/>
      <c r="J1416" s="22"/>
      <c r="K1416" s="24"/>
      <c r="L1416" s="24"/>
      <c r="M1416" s="25" t="s">
        <v>4227</v>
      </c>
      <c r="N1416" s="22" t="s">
        <v>4228</v>
      </c>
      <c r="O1416" s="22" t="s">
        <v>4229</v>
      </c>
      <c r="P1416" s="22" t="str">
        <f>HYPERLINK("https://ceds.ed.gov/cedselementdetails.aspx?termid=21123")</f>
        <v>https://ceds.ed.gov/cedselementdetails.aspx?termid=21123</v>
      </c>
      <c r="Q1416" s="22">
        <v>63339</v>
      </c>
    </row>
    <row r="1417" spans="1:17" ht="72" x14ac:dyDescent="0.3">
      <c r="A1417" s="22" t="s">
        <v>7779</v>
      </c>
      <c r="B1417" s="22" t="s">
        <v>7794</v>
      </c>
      <c r="C1417" s="22" t="s">
        <v>7798</v>
      </c>
      <c r="D1417" s="22" t="s">
        <v>7710</v>
      </c>
      <c r="E1417" s="22" t="s">
        <v>155</v>
      </c>
      <c r="F1417" s="24" t="s">
        <v>156</v>
      </c>
      <c r="G1417" s="23" t="s">
        <v>32</v>
      </c>
      <c r="H1417" s="24" t="s">
        <v>64</v>
      </c>
      <c r="I1417" s="22"/>
      <c r="J1417" s="22" t="s">
        <v>157</v>
      </c>
      <c r="K1417" s="24"/>
      <c r="L1417" s="24"/>
      <c r="M1417" s="25" t="s">
        <v>158</v>
      </c>
      <c r="N1417" s="22"/>
      <c r="O1417" s="22" t="s">
        <v>159</v>
      </c>
      <c r="P1417" s="22" t="str">
        <f>HYPERLINK("https://ceds.ed.gov/cedselementdetails.aspx?termid=21009")</f>
        <v>https://ceds.ed.gov/cedselementdetails.aspx?termid=21009</v>
      </c>
      <c r="Q1417" s="22">
        <v>59916</v>
      </c>
    </row>
    <row r="1418" spans="1:17" ht="172.8" x14ac:dyDescent="0.3">
      <c r="A1418" s="22" t="s">
        <v>7779</v>
      </c>
      <c r="B1418" s="22" t="s">
        <v>7794</v>
      </c>
      <c r="C1418" s="22" t="s">
        <v>7798</v>
      </c>
      <c r="D1418" s="22" t="s">
        <v>7710</v>
      </c>
      <c r="E1418" s="22" t="s">
        <v>130</v>
      </c>
      <c r="F1418" s="24" t="s">
        <v>131</v>
      </c>
      <c r="G1418" s="23" t="s">
        <v>32</v>
      </c>
      <c r="H1418" s="24" t="s">
        <v>64</v>
      </c>
      <c r="I1418" s="22"/>
      <c r="J1418" s="22" t="s">
        <v>132</v>
      </c>
      <c r="K1418" s="24"/>
      <c r="L1418" s="24" t="s">
        <v>7945</v>
      </c>
      <c r="M1418" s="25" t="s">
        <v>134</v>
      </c>
      <c r="N1418" s="22"/>
      <c r="O1418" s="22" t="s">
        <v>135</v>
      </c>
      <c r="P1418" s="22" t="str">
        <f>HYPERLINK("https://ceds.ed.gov/cedselementdetails.aspx?termid=21006")</f>
        <v>https://ceds.ed.gov/cedselementdetails.aspx?termid=21006</v>
      </c>
      <c r="Q1418" s="22">
        <v>59915</v>
      </c>
    </row>
    <row r="1419" spans="1:17" ht="72" x14ac:dyDescent="0.3">
      <c r="A1419" s="22" t="s">
        <v>7779</v>
      </c>
      <c r="B1419" s="22" t="s">
        <v>7794</v>
      </c>
      <c r="C1419" s="22" t="s">
        <v>7798</v>
      </c>
      <c r="D1419" s="22" t="s">
        <v>7710</v>
      </c>
      <c r="E1419" s="22" t="s">
        <v>125</v>
      </c>
      <c r="F1419" s="24" t="s">
        <v>126</v>
      </c>
      <c r="G1419" s="23" t="s">
        <v>32</v>
      </c>
      <c r="H1419" s="22"/>
      <c r="I1419" s="22"/>
      <c r="J1419" s="22" t="s">
        <v>113</v>
      </c>
      <c r="K1419" s="24"/>
      <c r="L1419" s="24"/>
      <c r="M1419" s="25" t="s">
        <v>128</v>
      </c>
      <c r="N1419" s="22"/>
      <c r="O1419" s="22" t="s">
        <v>129</v>
      </c>
      <c r="P1419" s="22" t="str">
        <f>HYPERLINK("https://ceds.ed.gov/cedselementdetails.aspx?termid=22505")</f>
        <v>https://ceds.ed.gov/cedselementdetails.aspx?termid=22505</v>
      </c>
      <c r="Q1419" s="22">
        <v>61769</v>
      </c>
    </row>
    <row r="1420" spans="1:17" ht="72" x14ac:dyDescent="0.3">
      <c r="A1420" s="22" t="s">
        <v>7779</v>
      </c>
      <c r="B1420" s="22" t="s">
        <v>7794</v>
      </c>
      <c r="C1420" s="22" t="s">
        <v>7798</v>
      </c>
      <c r="D1420" s="22" t="s">
        <v>7710</v>
      </c>
      <c r="E1420" s="22" t="s">
        <v>137</v>
      </c>
      <c r="F1420" s="24" t="s">
        <v>138</v>
      </c>
      <c r="G1420" s="23" t="s">
        <v>32</v>
      </c>
      <c r="H1420" s="24" t="s">
        <v>64</v>
      </c>
      <c r="I1420" s="22"/>
      <c r="J1420" s="22" t="s">
        <v>118</v>
      </c>
      <c r="K1420" s="24"/>
      <c r="L1420" s="24"/>
      <c r="M1420" s="25" t="s">
        <v>139</v>
      </c>
      <c r="N1420" s="22"/>
      <c r="O1420" s="22" t="s">
        <v>140</v>
      </c>
      <c r="P1420" s="22" t="str">
        <f>HYPERLINK("https://ceds.ed.gov/cedselementdetails.aspx?termid=21007")</f>
        <v>https://ceds.ed.gov/cedselementdetails.aspx?termid=21007</v>
      </c>
      <c r="Q1420" s="22">
        <v>61762</v>
      </c>
    </row>
    <row r="1421" spans="1:17" ht="72" x14ac:dyDescent="0.3">
      <c r="A1421" s="22" t="s">
        <v>7779</v>
      </c>
      <c r="B1421" s="22" t="s">
        <v>7794</v>
      </c>
      <c r="C1421" s="22" t="s">
        <v>7798</v>
      </c>
      <c r="D1421" s="22" t="s">
        <v>7710</v>
      </c>
      <c r="E1421" s="22" t="s">
        <v>141</v>
      </c>
      <c r="F1421" s="24" t="s">
        <v>142</v>
      </c>
      <c r="G1421" s="23" t="s">
        <v>32</v>
      </c>
      <c r="H1421" s="24" t="s">
        <v>64</v>
      </c>
      <c r="I1421" s="22"/>
      <c r="J1421" s="22" t="s">
        <v>118</v>
      </c>
      <c r="K1421" s="24"/>
      <c r="L1421" s="24" t="s">
        <v>143</v>
      </c>
      <c r="M1421" s="25" t="s">
        <v>144</v>
      </c>
      <c r="N1421" s="22"/>
      <c r="O1421" s="22" t="s">
        <v>145</v>
      </c>
      <c r="P1421" s="22" t="str">
        <f>HYPERLINK("https://ceds.ed.gov/cedselementdetails.aspx?termid=21008")</f>
        <v>https://ceds.ed.gov/cedselementdetails.aspx?termid=21008</v>
      </c>
      <c r="Q1421" s="22">
        <v>61763</v>
      </c>
    </row>
    <row r="1422" spans="1:17" ht="72" x14ac:dyDescent="0.3">
      <c r="A1422" s="22" t="s">
        <v>7779</v>
      </c>
      <c r="B1422" s="22" t="s">
        <v>7794</v>
      </c>
      <c r="C1422" s="22" t="s">
        <v>7798</v>
      </c>
      <c r="D1422" s="22" t="s">
        <v>7710</v>
      </c>
      <c r="E1422" s="22" t="s">
        <v>146</v>
      </c>
      <c r="F1422" s="24" t="s">
        <v>147</v>
      </c>
      <c r="G1422" s="23" t="s">
        <v>32</v>
      </c>
      <c r="H1422" s="22"/>
      <c r="I1422" s="22"/>
      <c r="J1422" s="22" t="s">
        <v>148</v>
      </c>
      <c r="K1422" s="24"/>
      <c r="L1422" s="24"/>
      <c r="M1422" s="25" t="s">
        <v>149</v>
      </c>
      <c r="N1422" s="22"/>
      <c r="O1422" s="22" t="s">
        <v>150</v>
      </c>
      <c r="P1422" s="22" t="str">
        <f>HYPERLINK("https://ceds.ed.gov/cedselementdetails.aspx?termid=22502")</f>
        <v>https://ceds.ed.gov/cedselementdetails.aspx?termid=22502</v>
      </c>
      <c r="Q1422" s="22">
        <v>61759</v>
      </c>
    </row>
    <row r="1423" spans="1:17" ht="86.4" x14ac:dyDescent="0.3">
      <c r="A1423" s="22" t="s">
        <v>7779</v>
      </c>
      <c r="B1423" s="22" t="s">
        <v>7794</v>
      </c>
      <c r="C1423" s="22" t="s">
        <v>7798</v>
      </c>
      <c r="D1423" s="22" t="s">
        <v>7710</v>
      </c>
      <c r="E1423" s="22" t="s">
        <v>151</v>
      </c>
      <c r="F1423" s="24" t="s">
        <v>152</v>
      </c>
      <c r="G1423" s="26" t="s">
        <v>8572</v>
      </c>
      <c r="H1423" s="22"/>
      <c r="I1423" s="22"/>
      <c r="J1423" s="22"/>
      <c r="K1423" s="24"/>
      <c r="L1423" s="24"/>
      <c r="M1423" s="25" t="s">
        <v>153</v>
      </c>
      <c r="N1423" s="22"/>
      <c r="O1423" s="22" t="s">
        <v>154</v>
      </c>
      <c r="P1423" s="22" t="str">
        <f>HYPERLINK("https://ceds.ed.gov/cedselementdetails.aspx?termid=22503")</f>
        <v>https://ceds.ed.gov/cedselementdetails.aspx?termid=22503</v>
      </c>
      <c r="Q1423" s="22">
        <v>61761</v>
      </c>
    </row>
    <row r="1424" spans="1:17" ht="115.2" x14ac:dyDescent="0.3">
      <c r="A1424" s="22" t="s">
        <v>7779</v>
      </c>
      <c r="B1424" s="22" t="s">
        <v>7794</v>
      </c>
      <c r="C1424" s="22" t="s">
        <v>7799</v>
      </c>
      <c r="D1424" s="22" t="s">
        <v>7710</v>
      </c>
      <c r="E1424" s="22" t="s">
        <v>3142</v>
      </c>
      <c r="F1424" s="24" t="s">
        <v>3143</v>
      </c>
      <c r="G1424" s="23" t="s">
        <v>32</v>
      </c>
      <c r="H1424" s="24" t="s">
        <v>3148</v>
      </c>
      <c r="I1424" s="22"/>
      <c r="J1424" s="22" t="s">
        <v>3145</v>
      </c>
      <c r="K1424" s="24"/>
      <c r="L1424" s="24"/>
      <c r="M1424" s="25" t="s">
        <v>3146</v>
      </c>
      <c r="N1424" s="22"/>
      <c r="O1424" s="22" t="s">
        <v>3147</v>
      </c>
      <c r="P1424" s="22" t="str">
        <f>HYPERLINK("https://ceds.ed.gov/cedselementdetails.aspx?termid=21081")</f>
        <v>https://ceds.ed.gov/cedselementdetails.aspx?termid=21081</v>
      </c>
      <c r="Q1424" s="22">
        <v>59737</v>
      </c>
    </row>
    <row r="1425" spans="1:17" ht="201.6" x14ac:dyDescent="0.3">
      <c r="A1425" s="22" t="s">
        <v>7779</v>
      </c>
      <c r="B1425" s="22" t="s">
        <v>7794</v>
      </c>
      <c r="C1425" s="22" t="s">
        <v>7799</v>
      </c>
      <c r="D1425" s="22" t="s">
        <v>7710</v>
      </c>
      <c r="E1425" s="22" t="s">
        <v>4307</v>
      </c>
      <c r="F1425" s="24" t="s">
        <v>4308</v>
      </c>
      <c r="G1425" s="26" t="s">
        <v>8919</v>
      </c>
      <c r="H1425" s="24" t="s">
        <v>4313</v>
      </c>
      <c r="I1425" s="22"/>
      <c r="J1425" s="22"/>
      <c r="K1425" s="24"/>
      <c r="L1425" s="24" t="s">
        <v>4310</v>
      </c>
      <c r="M1425" s="25" t="s">
        <v>4311</v>
      </c>
      <c r="N1425" s="22"/>
      <c r="O1425" s="22" t="s">
        <v>4312</v>
      </c>
      <c r="P1425" s="22" t="str">
        <f>HYPERLINK("https://ceds.ed.gov/cedselementdetails.aspx?termid=21138")</f>
        <v>https://ceds.ed.gov/cedselementdetails.aspx?termid=21138</v>
      </c>
      <c r="Q1425" s="22">
        <v>59764</v>
      </c>
    </row>
    <row r="1426" spans="1:17" ht="100.8" x14ac:dyDescent="0.3">
      <c r="A1426" s="22" t="s">
        <v>7779</v>
      </c>
      <c r="B1426" s="22" t="s">
        <v>7794</v>
      </c>
      <c r="C1426" s="22" t="s">
        <v>7799</v>
      </c>
      <c r="D1426" s="22" t="s">
        <v>7710</v>
      </c>
      <c r="E1426" s="22" t="s">
        <v>4302</v>
      </c>
      <c r="F1426" s="24" t="s">
        <v>4303</v>
      </c>
      <c r="G1426" s="26" t="s">
        <v>8918</v>
      </c>
      <c r="H1426" s="22"/>
      <c r="I1426" s="22"/>
      <c r="J1426" s="22"/>
      <c r="K1426" s="24"/>
      <c r="L1426" s="24"/>
      <c r="M1426" s="25" t="s">
        <v>4305</v>
      </c>
      <c r="N1426" s="22"/>
      <c r="O1426" s="22" t="s">
        <v>4306</v>
      </c>
      <c r="P1426" s="22" t="str">
        <f>HYPERLINK("https://ceds.ed.gov/cedselementdetails.aspx?termid=21689")</f>
        <v>https://ceds.ed.gov/cedselementdetails.aspx?termid=21689</v>
      </c>
      <c r="Q1426" s="22">
        <v>59913</v>
      </c>
    </row>
    <row r="1427" spans="1:17" ht="57.6" x14ac:dyDescent="0.3">
      <c r="A1427" s="22" t="s">
        <v>7779</v>
      </c>
      <c r="B1427" s="22" t="s">
        <v>7794</v>
      </c>
      <c r="C1427" s="22" t="s">
        <v>7799</v>
      </c>
      <c r="D1427" s="22" t="s">
        <v>7710</v>
      </c>
      <c r="E1427" s="22" t="s">
        <v>30</v>
      </c>
      <c r="F1427" s="24" t="s">
        <v>31</v>
      </c>
      <c r="G1427" s="23" t="s">
        <v>32</v>
      </c>
      <c r="H1427" s="24" t="s">
        <v>37</v>
      </c>
      <c r="I1427" s="22"/>
      <c r="J1427" s="22" t="s">
        <v>34</v>
      </c>
      <c r="K1427" s="24"/>
      <c r="L1427" s="24"/>
      <c r="M1427" s="25" t="s">
        <v>35</v>
      </c>
      <c r="N1427" s="22"/>
      <c r="O1427" s="22" t="s">
        <v>36</v>
      </c>
      <c r="P1427" s="22" t="str">
        <f>HYPERLINK("https://ceds.ed.gov/cedselementdetails.aspx?termid=21001")</f>
        <v>https://ceds.ed.gov/cedselementdetails.aspx?termid=21001</v>
      </c>
      <c r="Q1427" s="22">
        <v>62675</v>
      </c>
    </row>
    <row r="1428" spans="1:17" ht="216" x14ac:dyDescent="0.3">
      <c r="A1428" s="22" t="s">
        <v>7779</v>
      </c>
      <c r="B1428" s="22" t="s">
        <v>7794</v>
      </c>
      <c r="C1428" s="22" t="s">
        <v>7799</v>
      </c>
      <c r="D1428" s="22" t="s">
        <v>7710</v>
      </c>
      <c r="E1428" s="22" t="s">
        <v>38</v>
      </c>
      <c r="F1428" s="24" t="s">
        <v>7941</v>
      </c>
      <c r="G1428" s="26" t="s">
        <v>8562</v>
      </c>
      <c r="H1428" s="24" t="s">
        <v>42</v>
      </c>
      <c r="I1428" s="22"/>
      <c r="J1428" s="22"/>
      <c r="K1428" s="24"/>
      <c r="L1428" s="24"/>
      <c r="M1428" s="25" t="s">
        <v>40</v>
      </c>
      <c r="N1428" s="22"/>
      <c r="O1428" s="22" t="s">
        <v>41</v>
      </c>
      <c r="P1428" s="22" t="str">
        <f>HYPERLINK("https://ceds.ed.gov/cedselementdetails.aspx?termid=21002")</f>
        <v>https://ceds.ed.gov/cedselementdetails.aspx?termid=21002</v>
      </c>
      <c r="Q1428" s="22">
        <v>62671</v>
      </c>
    </row>
    <row r="1429" spans="1:17" ht="28.8" x14ac:dyDescent="0.3">
      <c r="A1429" s="22" t="s">
        <v>7779</v>
      </c>
      <c r="B1429" s="22" t="s">
        <v>7794</v>
      </c>
      <c r="C1429" s="22" t="s">
        <v>7799</v>
      </c>
      <c r="D1429" s="22" t="s">
        <v>7710</v>
      </c>
      <c r="E1429" s="22" t="s">
        <v>53</v>
      </c>
      <c r="F1429" s="24" t="s">
        <v>54</v>
      </c>
      <c r="G1429" s="23" t="s">
        <v>32</v>
      </c>
      <c r="H1429" s="22" t="s">
        <v>58</v>
      </c>
      <c r="I1429" s="22"/>
      <c r="J1429" s="22" t="s">
        <v>55</v>
      </c>
      <c r="K1429" s="24"/>
      <c r="L1429" s="24"/>
      <c r="M1429" s="25" t="s">
        <v>56</v>
      </c>
      <c r="N1429" s="22"/>
      <c r="O1429" s="22" t="s">
        <v>57</v>
      </c>
      <c r="P1429" s="22" t="str">
        <f>HYPERLINK("https://ceds.ed.gov/cedselementdetails.aspx?termid=21003")</f>
        <v>https://ceds.ed.gov/cedselementdetails.aspx?termid=21003</v>
      </c>
      <c r="Q1429" s="22">
        <v>62672</v>
      </c>
    </row>
    <row r="1430" spans="1:17" ht="172.8" x14ac:dyDescent="0.3">
      <c r="A1430" s="22" t="s">
        <v>7779</v>
      </c>
      <c r="B1430" s="22" t="s">
        <v>7794</v>
      </c>
      <c r="C1430" s="22" t="s">
        <v>7799</v>
      </c>
      <c r="D1430" s="22" t="s">
        <v>7710</v>
      </c>
      <c r="E1430" s="22" t="s">
        <v>2965</v>
      </c>
      <c r="F1430" s="24" t="s">
        <v>2966</v>
      </c>
      <c r="G1430" s="26" t="s">
        <v>8776</v>
      </c>
      <c r="H1430" s="22"/>
      <c r="I1430" s="22"/>
      <c r="J1430" s="22"/>
      <c r="K1430" s="24"/>
      <c r="L1430" s="24"/>
      <c r="M1430" s="25" t="s">
        <v>2968</v>
      </c>
      <c r="N1430" s="22"/>
      <c r="O1430" s="22" t="s">
        <v>2969</v>
      </c>
      <c r="P1430" s="22" t="str">
        <f>HYPERLINK("https://ceds.ed.gov/cedselementdetails.aspx?termid=22283")</f>
        <v>https://ceds.ed.gov/cedselementdetails.aspx?termid=22283</v>
      </c>
      <c r="Q1430" s="22">
        <v>62670</v>
      </c>
    </row>
    <row r="1431" spans="1:17" ht="115.2" x14ac:dyDescent="0.3">
      <c r="A1431" s="22" t="s">
        <v>7779</v>
      </c>
      <c r="B1431" s="22" t="s">
        <v>7794</v>
      </c>
      <c r="C1431" s="22" t="s">
        <v>7799</v>
      </c>
      <c r="D1431" s="22" t="s">
        <v>7710</v>
      </c>
      <c r="E1431" s="22" t="s">
        <v>6134</v>
      </c>
      <c r="F1431" s="24" t="s">
        <v>6135</v>
      </c>
      <c r="G1431" s="26" t="s">
        <v>9103</v>
      </c>
      <c r="H1431" s="22"/>
      <c r="I1431" s="22"/>
      <c r="J1431" s="22"/>
      <c r="K1431" s="24"/>
      <c r="L1431" s="24"/>
      <c r="M1431" s="25" t="s">
        <v>6137</v>
      </c>
      <c r="N1431" s="22"/>
      <c r="O1431" s="22" t="s">
        <v>6138</v>
      </c>
      <c r="P1431" s="22" t="str">
        <f>HYPERLINK("https://ceds.ed.gov/cedselementdetails.aspx?termid=21780")</f>
        <v>https://ceds.ed.gov/cedselementdetails.aspx?termid=21780</v>
      </c>
      <c r="Q1431" s="22">
        <v>60839</v>
      </c>
    </row>
    <row r="1432" spans="1:17" ht="172.8" x14ac:dyDescent="0.3">
      <c r="A1432" s="22" t="s">
        <v>7779</v>
      </c>
      <c r="B1432" s="22" t="s">
        <v>7794</v>
      </c>
      <c r="C1432" s="22" t="s">
        <v>7799</v>
      </c>
      <c r="D1432" s="22" t="s">
        <v>7710</v>
      </c>
      <c r="E1432" s="22" t="s">
        <v>6174</v>
      </c>
      <c r="F1432" s="24" t="s">
        <v>6175</v>
      </c>
      <c r="G1432" s="23" t="s">
        <v>32</v>
      </c>
      <c r="H1432" s="22" t="s">
        <v>2608</v>
      </c>
      <c r="I1432" s="22" t="s">
        <v>172</v>
      </c>
      <c r="J1432" s="22" t="s">
        <v>132</v>
      </c>
      <c r="K1432" s="24" t="s">
        <v>8282</v>
      </c>
      <c r="L1432" s="24" t="s">
        <v>7945</v>
      </c>
      <c r="M1432" s="25" t="s">
        <v>6176</v>
      </c>
      <c r="N1432" s="22"/>
      <c r="O1432" s="22" t="s">
        <v>6177</v>
      </c>
      <c r="P1432" s="22" t="str">
        <f>HYPERLINK("https://ceds.ed.gov/cedselementdetails.aspx?termid=21618")</f>
        <v>https://ceds.ed.gov/cedselementdetails.aspx?termid=21618</v>
      </c>
      <c r="Q1432" s="22">
        <v>62673</v>
      </c>
    </row>
    <row r="1433" spans="1:17" ht="57.6" x14ac:dyDescent="0.3">
      <c r="A1433" s="22" t="s">
        <v>7779</v>
      </c>
      <c r="B1433" s="22" t="s">
        <v>7794</v>
      </c>
      <c r="C1433" s="22" t="s">
        <v>7756</v>
      </c>
      <c r="D1433" s="22" t="s">
        <v>7710</v>
      </c>
      <c r="E1433" s="22" t="s">
        <v>1531</v>
      </c>
      <c r="F1433" s="24" t="s">
        <v>8031</v>
      </c>
      <c r="G1433" s="26" t="s">
        <v>22</v>
      </c>
      <c r="H1433" s="22" t="s">
        <v>25</v>
      </c>
      <c r="I1433" s="22"/>
      <c r="J1433" s="22"/>
      <c r="K1433" s="24"/>
      <c r="L1433" s="24"/>
      <c r="M1433" s="25" t="s">
        <v>1532</v>
      </c>
      <c r="N1433" s="22"/>
      <c r="O1433" s="22" t="s">
        <v>1533</v>
      </c>
      <c r="P1433" s="22" t="str">
        <f>HYPERLINK("https://ceds.ed.gov/cedselementdetails.aspx?termid=21031")</f>
        <v>https://ceds.ed.gov/cedselementdetails.aspx?termid=21031</v>
      </c>
      <c r="Q1433" s="22">
        <v>58994</v>
      </c>
    </row>
    <row r="1434" spans="1:17" ht="230.4" x14ac:dyDescent="0.3">
      <c r="A1434" s="22" t="s">
        <v>7779</v>
      </c>
      <c r="B1434" s="22" t="s">
        <v>7794</v>
      </c>
      <c r="C1434" s="22" t="s">
        <v>7756</v>
      </c>
      <c r="D1434" s="22" t="s">
        <v>7710</v>
      </c>
      <c r="E1434" s="22" t="s">
        <v>4411</v>
      </c>
      <c r="F1434" s="24" t="s">
        <v>4412</v>
      </c>
      <c r="G1434" s="26" t="s">
        <v>22</v>
      </c>
      <c r="H1434" s="24" t="s">
        <v>4415</v>
      </c>
      <c r="I1434" s="22"/>
      <c r="J1434" s="22"/>
      <c r="K1434" s="24"/>
      <c r="L1434" s="24"/>
      <c r="M1434" s="25" t="s">
        <v>4413</v>
      </c>
      <c r="N1434" s="22"/>
      <c r="O1434" s="22" t="s">
        <v>4414</v>
      </c>
      <c r="P1434" s="22" t="str">
        <f>HYPERLINK("https://ceds.ed.gov/cedselementdetails.aspx?termid=21151")</f>
        <v>https://ceds.ed.gov/cedselementdetails.aspx?termid=21151</v>
      </c>
      <c r="Q1434" s="22">
        <v>59771</v>
      </c>
    </row>
    <row r="1435" spans="1:17" ht="43.2" x14ac:dyDescent="0.3">
      <c r="A1435" s="22" t="s">
        <v>7779</v>
      </c>
      <c r="B1435" s="22" t="s">
        <v>7794</v>
      </c>
      <c r="C1435" s="22" t="s">
        <v>7756</v>
      </c>
      <c r="D1435" s="22" t="s">
        <v>7710</v>
      </c>
      <c r="E1435" s="22" t="s">
        <v>3169</v>
      </c>
      <c r="F1435" s="24" t="s">
        <v>3170</v>
      </c>
      <c r="G1435" s="26" t="s">
        <v>22</v>
      </c>
      <c r="H1435" s="22" t="s">
        <v>226</v>
      </c>
      <c r="I1435" s="22"/>
      <c r="J1435" s="22"/>
      <c r="K1435" s="24"/>
      <c r="L1435" s="24"/>
      <c r="M1435" s="25" t="s">
        <v>3171</v>
      </c>
      <c r="N1435" s="22"/>
      <c r="O1435" s="22" t="s">
        <v>3172</v>
      </c>
      <c r="P1435" s="22" t="str">
        <f>HYPERLINK("https://ceds.ed.gov/cedselementdetails.aspx?termid=21569")</f>
        <v>https://ceds.ed.gov/cedselementdetails.aspx?termid=21569</v>
      </c>
      <c r="Q1435" s="22">
        <v>59884</v>
      </c>
    </row>
    <row r="1436" spans="1:17" ht="86.4" x14ac:dyDescent="0.3">
      <c r="A1436" s="22" t="s">
        <v>7779</v>
      </c>
      <c r="B1436" s="22" t="s">
        <v>7794</v>
      </c>
      <c r="C1436" s="22" t="s">
        <v>7756</v>
      </c>
      <c r="D1436" s="22" t="s">
        <v>7710</v>
      </c>
      <c r="E1436" s="22" t="s">
        <v>6676</v>
      </c>
      <c r="F1436" s="24" t="s">
        <v>6677</v>
      </c>
      <c r="G1436" s="26" t="s">
        <v>22</v>
      </c>
      <c r="H1436" s="24" t="s">
        <v>4415</v>
      </c>
      <c r="I1436" s="22"/>
      <c r="J1436" s="22"/>
      <c r="K1436" s="24"/>
      <c r="L1436" s="24"/>
      <c r="M1436" s="25" t="s">
        <v>6678</v>
      </c>
      <c r="N1436" s="22"/>
      <c r="O1436" s="22" t="s">
        <v>6679</v>
      </c>
      <c r="P1436" s="22" t="str">
        <f>HYPERLINK("https://ceds.ed.gov/cedselementdetails.aspx?termid=21249")</f>
        <v>https://ceds.ed.gov/cedselementdetails.aspx?termid=21249</v>
      </c>
      <c r="Q1436" s="22">
        <v>59810</v>
      </c>
    </row>
    <row r="1437" spans="1:17" ht="201.6" x14ac:dyDescent="0.3">
      <c r="A1437" s="22" t="s">
        <v>7779</v>
      </c>
      <c r="B1437" s="22" t="s">
        <v>7794</v>
      </c>
      <c r="C1437" s="22" t="s">
        <v>7756</v>
      </c>
      <c r="D1437" s="22" t="s">
        <v>7710</v>
      </c>
      <c r="E1437" s="22" t="s">
        <v>5959</v>
      </c>
      <c r="F1437" s="24" t="s">
        <v>5960</v>
      </c>
      <c r="G1437" s="26" t="s">
        <v>9076</v>
      </c>
      <c r="H1437" s="24" t="s">
        <v>5964</v>
      </c>
      <c r="I1437" s="22"/>
      <c r="J1437" s="22"/>
      <c r="K1437" s="24"/>
      <c r="L1437" s="24" t="s">
        <v>5961</v>
      </c>
      <c r="M1437" s="25" t="s">
        <v>5962</v>
      </c>
      <c r="N1437" s="22"/>
      <c r="O1437" s="22" t="s">
        <v>5963</v>
      </c>
      <c r="P1437" s="22" t="str">
        <f>HYPERLINK("https://ceds.ed.gov/cedselementdetails.aspx?termid=21218")</f>
        <v>https://ceds.ed.gov/cedselementdetails.aspx?termid=21218</v>
      </c>
      <c r="Q1437" s="22">
        <v>59800</v>
      </c>
    </row>
    <row r="1438" spans="1:17" ht="216" x14ac:dyDescent="0.3">
      <c r="A1438" s="22" t="s">
        <v>7779</v>
      </c>
      <c r="B1438" s="22" t="s">
        <v>7794</v>
      </c>
      <c r="C1438" s="22" t="s">
        <v>7756</v>
      </c>
      <c r="D1438" s="22" t="s">
        <v>7710</v>
      </c>
      <c r="E1438" s="22" t="s">
        <v>3160</v>
      </c>
      <c r="F1438" s="24" t="s">
        <v>3161</v>
      </c>
      <c r="G1438" s="26" t="s">
        <v>8796</v>
      </c>
      <c r="H1438" s="22"/>
      <c r="I1438" s="22"/>
      <c r="J1438" s="22"/>
      <c r="K1438" s="24"/>
      <c r="L1438" s="24" t="s">
        <v>3162</v>
      </c>
      <c r="M1438" s="25" t="s">
        <v>3163</v>
      </c>
      <c r="N1438" s="22"/>
      <c r="O1438" s="22" t="s">
        <v>3164</v>
      </c>
      <c r="P1438" s="22" t="str">
        <f>HYPERLINK("https://ceds.ed.gov/cedselementdetails.aspx?termid=22286")</f>
        <v>https://ceds.ed.gov/cedselementdetails.aspx?termid=22286</v>
      </c>
      <c r="Q1438" s="22">
        <v>61662</v>
      </c>
    </row>
    <row r="1439" spans="1:17" ht="144" x14ac:dyDescent="0.3">
      <c r="A1439" s="22" t="s">
        <v>7779</v>
      </c>
      <c r="B1439" s="22" t="s">
        <v>7794</v>
      </c>
      <c r="C1439" s="22" t="s">
        <v>7756</v>
      </c>
      <c r="D1439" s="22" t="s">
        <v>7710</v>
      </c>
      <c r="E1439" s="22" t="s">
        <v>3165</v>
      </c>
      <c r="F1439" s="24" t="s">
        <v>3166</v>
      </c>
      <c r="G1439" s="26" t="s">
        <v>8798</v>
      </c>
      <c r="H1439" s="22"/>
      <c r="I1439" s="22"/>
      <c r="J1439" s="22"/>
      <c r="K1439" s="24"/>
      <c r="L1439" s="24" t="s">
        <v>3162</v>
      </c>
      <c r="M1439" s="25" t="s">
        <v>3167</v>
      </c>
      <c r="N1439" s="22"/>
      <c r="O1439" s="22" t="s">
        <v>3168</v>
      </c>
      <c r="P1439" s="22" t="str">
        <f>HYPERLINK("https://ceds.ed.gov/cedselementdetails.aspx?termid=22287")</f>
        <v>https://ceds.ed.gov/cedselementdetails.aspx?termid=22287</v>
      </c>
      <c r="Q1439" s="22">
        <v>61664</v>
      </c>
    </row>
    <row r="1440" spans="1:17" ht="129.6" x14ac:dyDescent="0.3">
      <c r="A1440" s="22" t="s">
        <v>7779</v>
      </c>
      <c r="B1440" s="22" t="s">
        <v>7794</v>
      </c>
      <c r="C1440" s="22" t="s">
        <v>7756</v>
      </c>
      <c r="D1440" s="22" t="s">
        <v>7710</v>
      </c>
      <c r="E1440" s="22" t="s">
        <v>4398</v>
      </c>
      <c r="F1440" s="24" t="s">
        <v>4399</v>
      </c>
      <c r="G1440" s="26" t="s">
        <v>8933</v>
      </c>
      <c r="H1440" s="22" t="s">
        <v>226</v>
      </c>
      <c r="I1440" s="22"/>
      <c r="J1440" s="22"/>
      <c r="K1440" s="24"/>
      <c r="L1440" s="24"/>
      <c r="M1440" s="25" t="s">
        <v>4401</v>
      </c>
      <c r="N1440" s="22"/>
      <c r="O1440" s="22" t="s">
        <v>4402</v>
      </c>
      <c r="P1440" s="22" t="str">
        <f>HYPERLINK("https://ceds.ed.gov/cedselementdetails.aspx?termid=21526")</f>
        <v>https://ceds.ed.gov/cedselementdetails.aspx?termid=21526</v>
      </c>
      <c r="Q1440" s="22">
        <v>59864</v>
      </c>
    </row>
    <row r="1441" spans="1:17" ht="86.4" x14ac:dyDescent="0.3">
      <c r="A1441" s="22" t="s">
        <v>7779</v>
      </c>
      <c r="B1441" s="22" t="s">
        <v>7794</v>
      </c>
      <c r="C1441" s="22" t="s">
        <v>7800</v>
      </c>
      <c r="D1441" s="22" t="s">
        <v>7710</v>
      </c>
      <c r="E1441" s="22" t="s">
        <v>6818</v>
      </c>
      <c r="F1441" s="24" t="s">
        <v>6819</v>
      </c>
      <c r="G1441" s="23" t="s">
        <v>32</v>
      </c>
      <c r="H1441" s="22"/>
      <c r="I1441" s="22"/>
      <c r="J1441" s="22" t="s">
        <v>4141</v>
      </c>
      <c r="K1441" s="24"/>
      <c r="L1441" s="24"/>
      <c r="M1441" s="25" t="s">
        <v>6820</v>
      </c>
      <c r="N1441" s="22" t="s">
        <v>6821</v>
      </c>
      <c r="O1441" s="22" t="s">
        <v>6822</v>
      </c>
      <c r="P1441" s="22" t="str">
        <f>HYPERLINK("https://ceds.ed.gov/cedselementdetails.aspx?termid=22208")</f>
        <v>https://ceds.ed.gov/cedselementdetails.aspx?termid=22208</v>
      </c>
      <c r="Q1441" s="22">
        <v>59706</v>
      </c>
    </row>
    <row r="1442" spans="1:17" ht="57.6" x14ac:dyDescent="0.3">
      <c r="A1442" s="22" t="s">
        <v>7779</v>
      </c>
      <c r="B1442" s="22" t="s">
        <v>7794</v>
      </c>
      <c r="C1442" s="22" t="s">
        <v>7800</v>
      </c>
      <c r="D1442" s="22" t="s">
        <v>7710</v>
      </c>
      <c r="E1442" s="22" t="s">
        <v>6197</v>
      </c>
      <c r="F1442" s="24" t="s">
        <v>6198</v>
      </c>
      <c r="G1442" s="23" t="s">
        <v>32</v>
      </c>
      <c r="H1442" s="24" t="s">
        <v>6201</v>
      </c>
      <c r="I1442" s="22"/>
      <c r="J1442" s="22" t="s">
        <v>118</v>
      </c>
      <c r="K1442" s="24"/>
      <c r="L1442" s="24"/>
      <c r="M1442" s="25" t="s">
        <v>6199</v>
      </c>
      <c r="N1442" s="22"/>
      <c r="O1442" s="22" t="s">
        <v>6200</v>
      </c>
      <c r="P1442" s="22" t="str">
        <f>HYPERLINK("https://ceds.ed.gov/cedselementdetails.aspx?termid=21583")</f>
        <v>https://ceds.ed.gov/cedselementdetails.aspx?termid=21583</v>
      </c>
      <c r="Q1442" s="22">
        <v>59995</v>
      </c>
    </row>
    <row r="1443" spans="1:17" ht="57.6" x14ac:dyDescent="0.3">
      <c r="A1443" s="22" t="s">
        <v>7779</v>
      </c>
      <c r="B1443" s="22" t="s">
        <v>7794</v>
      </c>
      <c r="C1443" s="22" t="s">
        <v>7800</v>
      </c>
      <c r="D1443" s="22" t="s">
        <v>7710</v>
      </c>
      <c r="E1443" s="22" t="s">
        <v>6193</v>
      </c>
      <c r="F1443" s="24" t="s">
        <v>1938</v>
      </c>
      <c r="G1443" s="23" t="s">
        <v>32</v>
      </c>
      <c r="H1443" s="24" t="s">
        <v>6196</v>
      </c>
      <c r="I1443" s="22"/>
      <c r="J1443" s="22" t="s">
        <v>118</v>
      </c>
      <c r="K1443" s="24"/>
      <c r="L1443" s="24" t="s">
        <v>143</v>
      </c>
      <c r="M1443" s="25" t="s">
        <v>6194</v>
      </c>
      <c r="N1443" s="22"/>
      <c r="O1443" s="22" t="s">
        <v>6195</v>
      </c>
      <c r="P1443" s="22" t="str">
        <f>HYPERLINK("https://ceds.ed.gov/cedselementdetails.aspx?termid=21584")</f>
        <v>https://ceds.ed.gov/cedselementdetails.aspx?termid=21584</v>
      </c>
      <c r="Q1443" s="22">
        <v>59996</v>
      </c>
    </row>
    <row r="1444" spans="1:17" ht="345.6" x14ac:dyDescent="0.3">
      <c r="A1444" s="22" t="s">
        <v>7779</v>
      </c>
      <c r="B1444" s="22" t="s">
        <v>7794</v>
      </c>
      <c r="C1444" s="22" t="s">
        <v>7800</v>
      </c>
      <c r="D1444" s="22" t="s">
        <v>7710</v>
      </c>
      <c r="E1444" s="22" t="s">
        <v>6814</v>
      </c>
      <c r="F1444" s="24" t="s">
        <v>6815</v>
      </c>
      <c r="G1444" s="26" t="s">
        <v>9147</v>
      </c>
      <c r="H1444" s="22" t="s">
        <v>226</v>
      </c>
      <c r="I1444" s="22"/>
      <c r="J1444" s="22"/>
      <c r="K1444" s="24"/>
      <c r="L1444" s="24"/>
      <c r="M1444" s="25" t="s">
        <v>6816</v>
      </c>
      <c r="N1444" s="22"/>
      <c r="O1444" s="22" t="s">
        <v>6817</v>
      </c>
      <c r="P1444" s="22" t="str">
        <f>HYPERLINK("https://ceds.ed.gov/cedselementdetails.aspx?termid=21260")</f>
        <v>https://ceds.ed.gov/cedselementdetails.aspx?termid=21260</v>
      </c>
      <c r="Q1444" s="22">
        <v>59812</v>
      </c>
    </row>
    <row r="1445" spans="1:17" ht="57.6" x14ac:dyDescent="0.3">
      <c r="A1445" s="22" t="s">
        <v>7779</v>
      </c>
      <c r="B1445" s="22" t="s">
        <v>7794</v>
      </c>
      <c r="C1445" s="22" t="s">
        <v>7800</v>
      </c>
      <c r="D1445" s="22" t="s">
        <v>7710</v>
      </c>
      <c r="E1445" s="22" t="s">
        <v>6831</v>
      </c>
      <c r="F1445" s="24" t="s">
        <v>6832</v>
      </c>
      <c r="G1445" s="23" t="s">
        <v>32</v>
      </c>
      <c r="H1445" s="22" t="s">
        <v>226</v>
      </c>
      <c r="I1445" s="22"/>
      <c r="J1445" s="22" t="s">
        <v>118</v>
      </c>
      <c r="K1445" s="24"/>
      <c r="L1445" s="24" t="s">
        <v>143</v>
      </c>
      <c r="M1445" s="25" t="s">
        <v>6834</v>
      </c>
      <c r="N1445" s="22"/>
      <c r="O1445" s="22" t="s">
        <v>6835</v>
      </c>
      <c r="P1445" s="22" t="str">
        <f>HYPERLINK("https://ceds.ed.gov/cedselementdetails.aspx?termid=21263")</f>
        <v>https://ceds.ed.gov/cedselementdetails.aspx?termid=21263</v>
      </c>
      <c r="Q1445" s="22">
        <v>59813</v>
      </c>
    </row>
    <row r="1446" spans="1:17" ht="86.4" x14ac:dyDescent="0.3">
      <c r="A1446" s="22" t="s">
        <v>7779</v>
      </c>
      <c r="B1446" s="22" t="s">
        <v>7794</v>
      </c>
      <c r="C1446" s="22" t="s">
        <v>7801</v>
      </c>
      <c r="D1446" s="22" t="s">
        <v>7710</v>
      </c>
      <c r="E1446" s="22" t="s">
        <v>7188</v>
      </c>
      <c r="F1446" s="24" t="s">
        <v>7189</v>
      </c>
      <c r="G1446" s="26" t="s">
        <v>9170</v>
      </c>
      <c r="H1446" s="24" t="s">
        <v>64</v>
      </c>
      <c r="I1446" s="22"/>
      <c r="J1446" s="22"/>
      <c r="K1446" s="24"/>
      <c r="L1446" s="24"/>
      <c r="M1446" s="25" t="s">
        <v>7190</v>
      </c>
      <c r="N1446" s="22"/>
      <c r="O1446" s="22" t="s">
        <v>7191</v>
      </c>
      <c r="P1446" s="22" t="str">
        <f>HYPERLINK("https://ceds.ed.gov/cedselementdetails.aspx?termid=21281")</f>
        <v>https://ceds.ed.gov/cedselementdetails.aspx?termid=21281</v>
      </c>
      <c r="Q1446" s="22">
        <v>59821</v>
      </c>
    </row>
    <row r="1447" spans="1:17" ht="57.6" x14ac:dyDescent="0.3">
      <c r="A1447" s="22" t="s">
        <v>7779</v>
      </c>
      <c r="B1447" s="22" t="s">
        <v>7794</v>
      </c>
      <c r="C1447" s="22" t="s">
        <v>7801</v>
      </c>
      <c r="D1447" s="22" t="s">
        <v>7710</v>
      </c>
      <c r="E1447" s="22" t="s">
        <v>6197</v>
      </c>
      <c r="F1447" s="24" t="s">
        <v>6198</v>
      </c>
      <c r="G1447" s="23" t="s">
        <v>32</v>
      </c>
      <c r="H1447" s="24" t="s">
        <v>6201</v>
      </c>
      <c r="I1447" s="22"/>
      <c r="J1447" s="22" t="s">
        <v>118</v>
      </c>
      <c r="K1447" s="24"/>
      <c r="L1447" s="24"/>
      <c r="M1447" s="25" t="s">
        <v>6199</v>
      </c>
      <c r="N1447" s="22"/>
      <c r="O1447" s="22" t="s">
        <v>6200</v>
      </c>
      <c r="P1447" s="22" t="str">
        <f>HYPERLINK("https://ceds.ed.gov/cedselementdetails.aspx?termid=21583")</f>
        <v>https://ceds.ed.gov/cedselementdetails.aspx?termid=21583</v>
      </c>
      <c r="Q1447" s="22">
        <v>59997</v>
      </c>
    </row>
    <row r="1448" spans="1:17" ht="57.6" x14ac:dyDescent="0.3">
      <c r="A1448" s="22" t="s">
        <v>7779</v>
      </c>
      <c r="B1448" s="22" t="s">
        <v>7794</v>
      </c>
      <c r="C1448" s="22" t="s">
        <v>7801</v>
      </c>
      <c r="D1448" s="22" t="s">
        <v>7710</v>
      </c>
      <c r="E1448" s="22" t="s">
        <v>6193</v>
      </c>
      <c r="F1448" s="24" t="s">
        <v>1938</v>
      </c>
      <c r="G1448" s="23" t="s">
        <v>32</v>
      </c>
      <c r="H1448" s="24" t="s">
        <v>6196</v>
      </c>
      <c r="I1448" s="22"/>
      <c r="J1448" s="22" t="s">
        <v>118</v>
      </c>
      <c r="K1448" s="24"/>
      <c r="L1448" s="24" t="s">
        <v>143</v>
      </c>
      <c r="M1448" s="25" t="s">
        <v>6194</v>
      </c>
      <c r="N1448" s="22"/>
      <c r="O1448" s="22" t="s">
        <v>6195</v>
      </c>
      <c r="P1448" s="22" t="str">
        <f>HYPERLINK("https://ceds.ed.gov/cedselementdetails.aspx?termid=21584")</f>
        <v>https://ceds.ed.gov/cedselementdetails.aspx?termid=21584</v>
      </c>
      <c r="Q1448" s="22">
        <v>59998</v>
      </c>
    </row>
    <row r="1449" spans="1:17" ht="100.8" x14ac:dyDescent="0.3">
      <c r="A1449" s="22" t="s">
        <v>7779</v>
      </c>
      <c r="B1449" s="22" t="s">
        <v>7794</v>
      </c>
      <c r="C1449" s="22" t="s">
        <v>7801</v>
      </c>
      <c r="D1449" s="22" t="s">
        <v>7710</v>
      </c>
      <c r="E1449" s="22" t="s">
        <v>6577</v>
      </c>
      <c r="F1449" s="24" t="s">
        <v>6578</v>
      </c>
      <c r="G1449" s="26" t="s">
        <v>22</v>
      </c>
      <c r="H1449" s="22" t="s">
        <v>226</v>
      </c>
      <c r="I1449" s="22"/>
      <c r="J1449" s="22"/>
      <c r="K1449" s="24"/>
      <c r="L1449" s="24"/>
      <c r="M1449" s="25" t="s">
        <v>6580</v>
      </c>
      <c r="N1449" s="22"/>
      <c r="O1449" s="22" t="s">
        <v>6581</v>
      </c>
      <c r="P1449" s="22" t="str">
        <f>HYPERLINK("https://ceds.ed.gov/cedselementdetails.aspx?termid=21235")</f>
        <v>https://ceds.ed.gov/cedselementdetails.aspx?termid=21235</v>
      </c>
      <c r="Q1449" s="22">
        <v>59806</v>
      </c>
    </row>
    <row r="1450" spans="1:17" ht="129.6" x14ac:dyDescent="0.3">
      <c r="A1450" s="22" t="s">
        <v>7779</v>
      </c>
      <c r="B1450" s="22" t="s">
        <v>7794</v>
      </c>
      <c r="C1450" s="22" t="s">
        <v>7801</v>
      </c>
      <c r="D1450" s="22" t="s">
        <v>7710</v>
      </c>
      <c r="E1450" s="22" t="s">
        <v>6582</v>
      </c>
      <c r="F1450" s="24" t="s">
        <v>6583</v>
      </c>
      <c r="G1450" s="26" t="s">
        <v>22</v>
      </c>
      <c r="H1450" s="22" t="s">
        <v>226</v>
      </c>
      <c r="I1450" s="22"/>
      <c r="J1450" s="22"/>
      <c r="K1450" s="24"/>
      <c r="L1450" s="24" t="s">
        <v>6584</v>
      </c>
      <c r="M1450" s="25" t="s">
        <v>6585</v>
      </c>
      <c r="N1450" s="22"/>
      <c r="O1450" s="22" t="s">
        <v>6586</v>
      </c>
      <c r="P1450" s="22" t="str">
        <f>HYPERLINK("https://ceds.ed.gov/cedselementdetails.aspx?termid=21236")</f>
        <v>https://ceds.ed.gov/cedselementdetails.aspx?termid=21236</v>
      </c>
      <c r="Q1450" s="22">
        <v>59807</v>
      </c>
    </row>
    <row r="1451" spans="1:17" ht="72" x14ac:dyDescent="0.3">
      <c r="A1451" s="22" t="s">
        <v>7779</v>
      </c>
      <c r="B1451" s="22" t="s">
        <v>7794</v>
      </c>
      <c r="C1451" s="22" t="s">
        <v>7801</v>
      </c>
      <c r="D1451" s="22" t="s">
        <v>7710</v>
      </c>
      <c r="E1451" s="22" t="s">
        <v>6587</v>
      </c>
      <c r="F1451" s="24" t="s">
        <v>8304</v>
      </c>
      <c r="G1451" s="26" t="s">
        <v>22</v>
      </c>
      <c r="H1451" s="24" t="s">
        <v>64</v>
      </c>
      <c r="I1451" s="22"/>
      <c r="J1451" s="22"/>
      <c r="K1451" s="24"/>
      <c r="L1451" s="24"/>
      <c r="M1451" s="25" t="s">
        <v>6588</v>
      </c>
      <c r="N1451" s="22"/>
      <c r="O1451" s="22" t="s">
        <v>6589</v>
      </c>
      <c r="P1451" s="22" t="str">
        <f>HYPERLINK("https://ceds.ed.gov/cedselementdetails.aspx?termid=21237")</f>
        <v>https://ceds.ed.gov/cedselementdetails.aspx?termid=21237</v>
      </c>
      <c r="Q1451" s="22">
        <v>59808</v>
      </c>
    </row>
    <row r="1452" spans="1:17" ht="72" x14ac:dyDescent="0.3">
      <c r="A1452" s="22" t="s">
        <v>7779</v>
      </c>
      <c r="B1452" s="22" t="s">
        <v>7794</v>
      </c>
      <c r="C1452" s="22" t="s">
        <v>7801</v>
      </c>
      <c r="D1452" s="22" t="s">
        <v>7710</v>
      </c>
      <c r="E1452" s="22" t="s">
        <v>7209</v>
      </c>
      <c r="F1452" s="24" t="s">
        <v>7210</v>
      </c>
      <c r="G1452" s="26" t="s">
        <v>22</v>
      </c>
      <c r="H1452" s="22" t="s">
        <v>226</v>
      </c>
      <c r="I1452" s="22"/>
      <c r="J1452" s="22"/>
      <c r="K1452" s="24"/>
      <c r="L1452" s="24"/>
      <c r="M1452" s="25" t="s">
        <v>7211</v>
      </c>
      <c r="N1452" s="22"/>
      <c r="O1452" s="22" t="s">
        <v>7212</v>
      </c>
      <c r="P1452" s="22" t="str">
        <f>HYPERLINK("https://ceds.ed.gov/cedselementdetails.aspx?termid=21286")</f>
        <v>https://ceds.ed.gov/cedselementdetails.aspx?termid=21286</v>
      </c>
      <c r="Q1452" s="22">
        <v>59822</v>
      </c>
    </row>
    <row r="1453" spans="1:17" ht="72" x14ac:dyDescent="0.3">
      <c r="A1453" s="22" t="s">
        <v>7779</v>
      </c>
      <c r="B1453" s="22" t="s">
        <v>7794</v>
      </c>
      <c r="C1453" s="22" t="s">
        <v>7801</v>
      </c>
      <c r="D1453" s="22" t="s">
        <v>7710</v>
      </c>
      <c r="E1453" s="22" t="s">
        <v>7213</v>
      </c>
      <c r="F1453" s="24" t="s">
        <v>7214</v>
      </c>
      <c r="G1453" s="26" t="s">
        <v>22</v>
      </c>
      <c r="H1453" s="22" t="s">
        <v>226</v>
      </c>
      <c r="I1453" s="22"/>
      <c r="J1453" s="22"/>
      <c r="K1453" s="24"/>
      <c r="L1453" s="24"/>
      <c r="M1453" s="25" t="s">
        <v>7215</v>
      </c>
      <c r="N1453" s="22"/>
      <c r="O1453" s="22" t="s">
        <v>7216</v>
      </c>
      <c r="P1453" s="22" t="str">
        <f>HYPERLINK("https://ceds.ed.gov/cedselementdetails.aspx?termid=21287")</f>
        <v>https://ceds.ed.gov/cedselementdetails.aspx?termid=21287</v>
      </c>
      <c r="Q1453" s="22">
        <v>59823</v>
      </c>
    </row>
    <row r="1454" spans="1:17" ht="72" x14ac:dyDescent="0.3">
      <c r="A1454" s="22" t="s">
        <v>7779</v>
      </c>
      <c r="B1454" s="22" t="s">
        <v>7794</v>
      </c>
      <c r="C1454" s="22" t="s">
        <v>7801</v>
      </c>
      <c r="D1454" s="22" t="s">
        <v>7710</v>
      </c>
      <c r="E1454" s="22" t="s">
        <v>7217</v>
      </c>
      <c r="F1454" s="24" t="s">
        <v>7218</v>
      </c>
      <c r="G1454" s="26" t="s">
        <v>22</v>
      </c>
      <c r="H1454" s="22" t="s">
        <v>226</v>
      </c>
      <c r="I1454" s="22"/>
      <c r="J1454" s="22"/>
      <c r="K1454" s="24"/>
      <c r="L1454" s="24"/>
      <c r="M1454" s="25" t="s">
        <v>7219</v>
      </c>
      <c r="N1454" s="22"/>
      <c r="O1454" s="22" t="s">
        <v>7220</v>
      </c>
      <c r="P1454" s="22" t="str">
        <f>HYPERLINK("https://ceds.ed.gov/cedselementdetails.aspx?termid=21288")</f>
        <v>https://ceds.ed.gov/cedselementdetails.aspx?termid=21288</v>
      </c>
      <c r="Q1454" s="22">
        <v>59824</v>
      </c>
    </row>
    <row r="1455" spans="1:17" ht="57.6" x14ac:dyDescent="0.3">
      <c r="A1455" s="22" t="s">
        <v>7779</v>
      </c>
      <c r="B1455" s="22" t="s">
        <v>7794</v>
      </c>
      <c r="C1455" s="22" t="s">
        <v>7801</v>
      </c>
      <c r="D1455" s="22" t="s">
        <v>7710</v>
      </c>
      <c r="E1455" s="22" t="s">
        <v>7221</v>
      </c>
      <c r="F1455" s="24" t="s">
        <v>7222</v>
      </c>
      <c r="G1455" s="26" t="s">
        <v>22</v>
      </c>
      <c r="H1455" s="22" t="s">
        <v>226</v>
      </c>
      <c r="I1455" s="22"/>
      <c r="J1455" s="22"/>
      <c r="K1455" s="24"/>
      <c r="L1455" s="24"/>
      <c r="M1455" s="25" t="s">
        <v>7223</v>
      </c>
      <c r="N1455" s="22"/>
      <c r="O1455" s="22" t="s">
        <v>7224</v>
      </c>
      <c r="P1455" s="22" t="str">
        <f>HYPERLINK("https://ceds.ed.gov/cedselementdetails.aspx?termid=21541")</f>
        <v>https://ceds.ed.gov/cedselementdetails.aspx?termid=21541</v>
      </c>
      <c r="Q1455" s="22">
        <v>59870</v>
      </c>
    </row>
    <row r="1456" spans="1:17" ht="57.6" x14ac:dyDescent="0.3">
      <c r="A1456" s="22" t="s">
        <v>7779</v>
      </c>
      <c r="B1456" s="22" t="s">
        <v>7794</v>
      </c>
      <c r="C1456" s="22" t="s">
        <v>7801</v>
      </c>
      <c r="D1456" s="22" t="s">
        <v>7710</v>
      </c>
      <c r="E1456" s="22" t="s">
        <v>7229</v>
      </c>
      <c r="F1456" s="24" t="s">
        <v>7230</v>
      </c>
      <c r="G1456" s="26" t="s">
        <v>22</v>
      </c>
      <c r="H1456" s="22" t="s">
        <v>226</v>
      </c>
      <c r="I1456" s="22"/>
      <c r="J1456" s="22"/>
      <c r="K1456" s="24"/>
      <c r="L1456" s="24"/>
      <c r="M1456" s="25" t="s">
        <v>7231</v>
      </c>
      <c r="N1456" s="22"/>
      <c r="O1456" s="22" t="s">
        <v>7232</v>
      </c>
      <c r="P1456" s="22" t="str">
        <f>HYPERLINK("https://ceds.ed.gov/cedselementdetails.aspx?termid=21542")</f>
        <v>https://ceds.ed.gov/cedselementdetails.aspx?termid=21542</v>
      </c>
      <c r="Q1456" s="22">
        <v>59871</v>
      </c>
    </row>
    <row r="1457" spans="1:17" ht="172.8" x14ac:dyDescent="0.3">
      <c r="A1457" s="22" t="s">
        <v>7779</v>
      </c>
      <c r="B1457" s="22" t="s">
        <v>7794</v>
      </c>
      <c r="C1457" s="22" t="s">
        <v>7760</v>
      </c>
      <c r="D1457" s="22" t="s">
        <v>7710</v>
      </c>
      <c r="E1457" s="22" t="s">
        <v>4744</v>
      </c>
      <c r="F1457" s="24" t="s">
        <v>4745</v>
      </c>
      <c r="G1457" s="26" t="s">
        <v>8965</v>
      </c>
      <c r="H1457" s="24" t="s">
        <v>399</v>
      </c>
      <c r="I1457" s="22"/>
      <c r="J1457" s="22"/>
      <c r="K1457" s="24"/>
      <c r="L1457" s="24"/>
      <c r="M1457" s="25" t="s">
        <v>4746</v>
      </c>
      <c r="N1457" s="22"/>
      <c r="O1457" s="22" t="s">
        <v>4747</v>
      </c>
      <c r="P1457" s="22" t="str">
        <f>HYPERLINK("https://ceds.ed.gov/cedselementdetails.aspx?termid=21320")</f>
        <v>https://ceds.ed.gov/cedselementdetails.aspx?termid=21320</v>
      </c>
      <c r="Q1457" s="22">
        <v>59830</v>
      </c>
    </row>
    <row r="1458" spans="1:17" ht="86.4" x14ac:dyDescent="0.3">
      <c r="A1458" s="22" t="s">
        <v>7779</v>
      </c>
      <c r="B1458" s="22" t="s">
        <v>7794</v>
      </c>
      <c r="C1458" s="22" t="s">
        <v>7760</v>
      </c>
      <c r="D1458" s="22" t="s">
        <v>7710</v>
      </c>
      <c r="E1458" s="22" t="s">
        <v>4690</v>
      </c>
      <c r="F1458" s="24" t="s">
        <v>4691</v>
      </c>
      <c r="G1458" s="26" t="s">
        <v>8960</v>
      </c>
      <c r="H1458" s="22"/>
      <c r="I1458" s="22"/>
      <c r="J1458" s="22"/>
      <c r="K1458" s="24"/>
      <c r="L1458" s="24"/>
      <c r="M1458" s="25" t="s">
        <v>4692</v>
      </c>
      <c r="N1458" s="22"/>
      <c r="O1458" s="22" t="s">
        <v>4693</v>
      </c>
      <c r="P1458" s="22" t="str">
        <f>HYPERLINK("https://ceds.ed.gov/cedselementdetails.aspx?termid=22196")</f>
        <v>https://ceds.ed.gov/cedselementdetails.aspx?termid=22196</v>
      </c>
      <c r="Q1458" s="22">
        <v>59685</v>
      </c>
    </row>
    <row r="1459" spans="1:17" ht="201.6" x14ac:dyDescent="0.3">
      <c r="A1459" s="22" t="s">
        <v>7779</v>
      </c>
      <c r="B1459" s="22" t="s">
        <v>7794</v>
      </c>
      <c r="C1459" s="22" t="s">
        <v>7760</v>
      </c>
      <c r="D1459" s="22" t="s">
        <v>7710</v>
      </c>
      <c r="E1459" s="22" t="s">
        <v>4394</v>
      </c>
      <c r="F1459" s="24" t="s">
        <v>4395</v>
      </c>
      <c r="G1459" s="26" t="s">
        <v>8931</v>
      </c>
      <c r="H1459" s="22" t="s">
        <v>226</v>
      </c>
      <c r="I1459" s="22"/>
      <c r="J1459" s="22"/>
      <c r="K1459" s="24"/>
      <c r="L1459" s="24"/>
      <c r="M1459" s="25" t="s">
        <v>4396</v>
      </c>
      <c r="N1459" s="22"/>
      <c r="O1459" s="22" t="s">
        <v>4397</v>
      </c>
      <c r="P1459" s="22" t="str">
        <f>HYPERLINK("https://ceds.ed.gov/cedselementdetails.aspx?termid=21550")</f>
        <v>https://ceds.ed.gov/cedselementdetails.aspx?termid=21550</v>
      </c>
      <c r="Q1459" s="22">
        <v>62789</v>
      </c>
    </row>
    <row r="1460" spans="1:17" ht="129.6" x14ac:dyDescent="0.3">
      <c r="A1460" s="22" t="s">
        <v>7779</v>
      </c>
      <c r="B1460" s="22" t="s">
        <v>7794</v>
      </c>
      <c r="C1460" s="22" t="s">
        <v>7760</v>
      </c>
      <c r="D1460" s="22" t="s">
        <v>7710</v>
      </c>
      <c r="E1460" s="22" t="s">
        <v>4398</v>
      </c>
      <c r="F1460" s="24" t="s">
        <v>4399</v>
      </c>
      <c r="G1460" s="26" t="s">
        <v>8933</v>
      </c>
      <c r="H1460" s="22" t="s">
        <v>226</v>
      </c>
      <c r="I1460" s="22"/>
      <c r="J1460" s="22"/>
      <c r="K1460" s="24"/>
      <c r="L1460" s="24"/>
      <c r="M1460" s="25" t="s">
        <v>4401</v>
      </c>
      <c r="N1460" s="22"/>
      <c r="O1460" s="22" t="s">
        <v>4402</v>
      </c>
      <c r="P1460" s="22" t="str">
        <f>HYPERLINK("https://ceds.ed.gov/cedselementdetails.aspx?termid=21526")</f>
        <v>https://ceds.ed.gov/cedselementdetails.aspx?termid=21526</v>
      </c>
      <c r="Q1460" s="22">
        <v>62786</v>
      </c>
    </row>
    <row r="1461" spans="1:17" ht="129.6" x14ac:dyDescent="0.3">
      <c r="A1461" s="22" t="s">
        <v>7779</v>
      </c>
      <c r="B1461" s="22" t="s">
        <v>7794</v>
      </c>
      <c r="C1461" s="22" t="s">
        <v>7760</v>
      </c>
      <c r="D1461" s="22" t="s">
        <v>7710</v>
      </c>
      <c r="E1461" s="22" t="s">
        <v>4507</v>
      </c>
      <c r="F1461" s="24" t="s">
        <v>4508</v>
      </c>
      <c r="G1461" s="23" t="s">
        <v>32</v>
      </c>
      <c r="H1461" s="22"/>
      <c r="I1461" s="22"/>
      <c r="J1461" s="22" t="s">
        <v>328</v>
      </c>
      <c r="K1461" s="24"/>
      <c r="L1461" s="24"/>
      <c r="M1461" s="25" t="s">
        <v>4510</v>
      </c>
      <c r="N1461" s="22"/>
      <c r="O1461" s="22" t="s">
        <v>4511</v>
      </c>
      <c r="P1461" s="22" t="str">
        <f>HYPERLINK("https://ceds.ed.gov/cedselementdetails.aspx?termid=22663")</f>
        <v>https://ceds.ed.gov/cedselementdetails.aspx?termid=22663</v>
      </c>
      <c r="Q1461" s="22">
        <v>62948</v>
      </c>
    </row>
    <row r="1462" spans="1:17" ht="43.2" x14ac:dyDescent="0.3">
      <c r="A1462" s="22" t="s">
        <v>7779</v>
      </c>
      <c r="B1462" s="22" t="s">
        <v>7794</v>
      </c>
      <c r="C1462" s="22" t="s">
        <v>7760</v>
      </c>
      <c r="D1462" s="22" t="s">
        <v>7710</v>
      </c>
      <c r="E1462" s="22" t="s">
        <v>4622</v>
      </c>
      <c r="F1462" s="24" t="s">
        <v>4623</v>
      </c>
      <c r="G1462" s="26" t="s">
        <v>22</v>
      </c>
      <c r="H1462" s="22"/>
      <c r="I1462" s="22"/>
      <c r="J1462" s="22"/>
      <c r="K1462" s="24"/>
      <c r="L1462" s="24"/>
      <c r="M1462" s="25" t="s">
        <v>4624</v>
      </c>
      <c r="N1462" s="22"/>
      <c r="O1462" s="22" t="s">
        <v>4625</v>
      </c>
      <c r="P1462" s="22" t="str">
        <f>HYPERLINK("https://ceds.ed.gov/cedselementdetails.aspx?termid=22615")</f>
        <v>https://ceds.ed.gov/cedselementdetails.aspx?termid=22615</v>
      </c>
      <c r="Q1462" s="22">
        <v>62855</v>
      </c>
    </row>
    <row r="1463" spans="1:17" ht="43.2" x14ac:dyDescent="0.3">
      <c r="A1463" s="22" t="s">
        <v>7779</v>
      </c>
      <c r="B1463" s="22" t="s">
        <v>7794</v>
      </c>
      <c r="C1463" s="22" t="s">
        <v>7760</v>
      </c>
      <c r="D1463" s="22" t="s">
        <v>7710</v>
      </c>
      <c r="E1463" s="22" t="s">
        <v>4648</v>
      </c>
      <c r="F1463" s="24" t="s">
        <v>4649</v>
      </c>
      <c r="G1463" s="23" t="s">
        <v>32</v>
      </c>
      <c r="H1463" s="22"/>
      <c r="I1463" s="22"/>
      <c r="J1463" s="22" t="s">
        <v>118</v>
      </c>
      <c r="K1463" s="24"/>
      <c r="L1463" s="24"/>
      <c r="M1463" s="25" t="s">
        <v>4650</v>
      </c>
      <c r="N1463" s="22"/>
      <c r="O1463" s="22" t="s">
        <v>4651</v>
      </c>
      <c r="P1463" s="22" t="str">
        <f>HYPERLINK("https://ceds.ed.gov/cedselementdetails.aspx?termid=22197")</f>
        <v>https://ceds.ed.gov/cedselementdetails.aspx?termid=22197</v>
      </c>
      <c r="Q1463" s="22">
        <v>59687</v>
      </c>
    </row>
    <row r="1464" spans="1:17" ht="43.2" x14ac:dyDescent="0.3">
      <c r="A1464" s="22" t="s">
        <v>7779</v>
      </c>
      <c r="B1464" s="22" t="s">
        <v>7794</v>
      </c>
      <c r="C1464" s="22" t="s">
        <v>7760</v>
      </c>
      <c r="D1464" s="22" t="s">
        <v>7710</v>
      </c>
      <c r="E1464" s="22" t="s">
        <v>4686</v>
      </c>
      <c r="F1464" s="24" t="s">
        <v>4687</v>
      </c>
      <c r="G1464" s="23" t="s">
        <v>32</v>
      </c>
      <c r="H1464" s="22"/>
      <c r="I1464" s="22"/>
      <c r="J1464" s="22" t="s">
        <v>118</v>
      </c>
      <c r="K1464" s="24"/>
      <c r="L1464" s="24"/>
      <c r="M1464" s="25" t="s">
        <v>4688</v>
      </c>
      <c r="N1464" s="22"/>
      <c r="O1464" s="22" t="s">
        <v>4689</v>
      </c>
      <c r="P1464" s="22" t="str">
        <f>HYPERLINK("https://ceds.ed.gov/cedselementdetails.aspx?termid=22201")</f>
        <v>https://ceds.ed.gov/cedselementdetails.aspx?termid=22201</v>
      </c>
      <c r="Q1464" s="22">
        <v>59695</v>
      </c>
    </row>
    <row r="1465" spans="1:17" ht="57.6" x14ac:dyDescent="0.3">
      <c r="A1465" s="22" t="s">
        <v>7779</v>
      </c>
      <c r="B1465" s="22" t="s">
        <v>7794</v>
      </c>
      <c r="C1465" s="22" t="s">
        <v>7760</v>
      </c>
      <c r="D1465" s="22" t="s">
        <v>7710</v>
      </c>
      <c r="E1465" s="22" t="s">
        <v>4694</v>
      </c>
      <c r="F1465" s="24" t="s">
        <v>4695</v>
      </c>
      <c r="G1465" s="23" t="s">
        <v>32</v>
      </c>
      <c r="H1465" s="22"/>
      <c r="I1465" s="22"/>
      <c r="J1465" s="22" t="s">
        <v>118</v>
      </c>
      <c r="K1465" s="24"/>
      <c r="L1465" s="24" t="s">
        <v>143</v>
      </c>
      <c r="M1465" s="25" t="s">
        <v>4696</v>
      </c>
      <c r="N1465" s="22"/>
      <c r="O1465" s="22" t="s">
        <v>4697</v>
      </c>
      <c r="P1465" s="22" t="str">
        <f>HYPERLINK("https://ceds.ed.gov/cedselementdetails.aspx?termid=22664")</f>
        <v>https://ceds.ed.gov/cedselementdetails.aspx?termid=22664</v>
      </c>
      <c r="Q1465" s="22">
        <v>62953</v>
      </c>
    </row>
    <row r="1466" spans="1:17" ht="28.8" x14ac:dyDescent="0.3">
      <c r="A1466" s="22" t="s">
        <v>7779</v>
      </c>
      <c r="B1466" s="22" t="s">
        <v>7794</v>
      </c>
      <c r="C1466" s="22" t="s">
        <v>7760</v>
      </c>
      <c r="D1466" s="22" t="s">
        <v>7710</v>
      </c>
      <c r="E1466" s="22" t="s">
        <v>4698</v>
      </c>
      <c r="F1466" s="24" t="s">
        <v>4699</v>
      </c>
      <c r="G1466" s="23" t="s">
        <v>32</v>
      </c>
      <c r="H1466" s="22"/>
      <c r="I1466" s="22"/>
      <c r="J1466" s="22" t="s">
        <v>118</v>
      </c>
      <c r="K1466" s="24"/>
      <c r="L1466" s="24"/>
      <c r="M1466" s="25" t="s">
        <v>4700</v>
      </c>
      <c r="N1466" s="22"/>
      <c r="O1466" s="22" t="s">
        <v>4701</v>
      </c>
      <c r="P1466" s="22" t="str">
        <f>HYPERLINK("https://ceds.ed.gov/cedselementdetails.aspx?termid=22665")</f>
        <v>https://ceds.ed.gov/cedselementdetails.aspx?termid=22665</v>
      </c>
      <c r="Q1466" s="22">
        <v>62954</v>
      </c>
    </row>
    <row r="1467" spans="1:17" ht="43.2" x14ac:dyDescent="0.3">
      <c r="A1467" s="22" t="s">
        <v>7779</v>
      </c>
      <c r="B1467" s="22" t="s">
        <v>7794</v>
      </c>
      <c r="C1467" s="22" t="s">
        <v>7760</v>
      </c>
      <c r="D1467" s="22" t="s">
        <v>7710</v>
      </c>
      <c r="E1467" s="22" t="s">
        <v>4728</v>
      </c>
      <c r="F1467" s="24" t="s">
        <v>4729</v>
      </c>
      <c r="G1467" s="23" t="s">
        <v>32</v>
      </c>
      <c r="H1467" s="22"/>
      <c r="I1467" s="22"/>
      <c r="J1467" s="22" t="s">
        <v>118</v>
      </c>
      <c r="K1467" s="24"/>
      <c r="L1467" s="24"/>
      <c r="M1467" s="25" t="s">
        <v>4730</v>
      </c>
      <c r="N1467" s="22"/>
      <c r="O1467" s="22" t="s">
        <v>4731</v>
      </c>
      <c r="P1467" s="22" t="str">
        <f>HYPERLINK("https://ceds.ed.gov/cedselementdetails.aspx?termid=22207")</f>
        <v>https://ceds.ed.gov/cedselementdetails.aspx?termid=22207</v>
      </c>
      <c r="Q1467" s="22">
        <v>59705</v>
      </c>
    </row>
    <row r="1468" spans="1:17" ht="201.6" x14ac:dyDescent="0.3">
      <c r="A1468" s="22" t="s">
        <v>7779</v>
      </c>
      <c r="B1468" s="22" t="s">
        <v>7794</v>
      </c>
      <c r="C1468" s="22" t="s">
        <v>7760</v>
      </c>
      <c r="D1468" s="22" t="s">
        <v>7710</v>
      </c>
      <c r="E1468" s="22" t="s">
        <v>4702</v>
      </c>
      <c r="F1468" s="24" t="s">
        <v>4703</v>
      </c>
      <c r="G1468" s="26" t="s">
        <v>8961</v>
      </c>
      <c r="H1468" s="22"/>
      <c r="I1468" s="22"/>
      <c r="J1468" s="22"/>
      <c r="K1468" s="24"/>
      <c r="L1468" s="24"/>
      <c r="M1468" s="25" t="s">
        <v>4704</v>
      </c>
      <c r="N1468" s="22"/>
      <c r="O1468" s="22" t="s">
        <v>4705</v>
      </c>
      <c r="P1468" s="22" t="str">
        <f>HYPERLINK("https://ceds.ed.gov/cedselementdetails.aspx?termid=22202")</f>
        <v>https://ceds.ed.gov/cedselementdetails.aspx?termid=22202</v>
      </c>
      <c r="Q1468" s="22">
        <v>59697</v>
      </c>
    </row>
    <row r="1469" spans="1:17" ht="28.8" x14ac:dyDescent="0.3">
      <c r="A1469" s="22" t="s">
        <v>7779</v>
      </c>
      <c r="B1469" s="22" t="s">
        <v>7794</v>
      </c>
      <c r="C1469" s="22" t="s">
        <v>7760</v>
      </c>
      <c r="D1469" s="22" t="s">
        <v>7710</v>
      </c>
      <c r="E1469" s="22" t="s">
        <v>4706</v>
      </c>
      <c r="F1469" s="24" t="s">
        <v>4707</v>
      </c>
      <c r="G1469" s="23" t="s">
        <v>32</v>
      </c>
      <c r="H1469" s="22"/>
      <c r="I1469" s="22"/>
      <c r="J1469" s="22" t="s">
        <v>328</v>
      </c>
      <c r="K1469" s="24"/>
      <c r="L1469" s="24"/>
      <c r="M1469" s="25" t="s">
        <v>4708</v>
      </c>
      <c r="N1469" s="22"/>
      <c r="O1469" s="22" t="s">
        <v>4709</v>
      </c>
      <c r="P1469" s="22" t="str">
        <f>HYPERLINK("https://ceds.ed.gov/cedselementdetails.aspx?termid=22203")</f>
        <v>https://ceds.ed.gov/cedselementdetails.aspx?termid=22203</v>
      </c>
      <c r="Q1469" s="22">
        <v>59699</v>
      </c>
    </row>
    <row r="1470" spans="1:17" ht="28.8" x14ac:dyDescent="0.3">
      <c r="A1470" s="22" t="s">
        <v>7779</v>
      </c>
      <c r="B1470" s="22" t="s">
        <v>7794</v>
      </c>
      <c r="C1470" s="22" t="s">
        <v>7760</v>
      </c>
      <c r="D1470" s="22" t="s">
        <v>7710</v>
      </c>
      <c r="E1470" s="22" t="s">
        <v>4736</v>
      </c>
      <c r="F1470" s="24" t="s">
        <v>4737</v>
      </c>
      <c r="G1470" s="23" t="s">
        <v>32</v>
      </c>
      <c r="H1470" s="22"/>
      <c r="I1470" s="22"/>
      <c r="J1470" s="22" t="s">
        <v>328</v>
      </c>
      <c r="K1470" s="24"/>
      <c r="L1470" s="24"/>
      <c r="M1470" s="25" t="s">
        <v>4738</v>
      </c>
      <c r="N1470" s="22"/>
      <c r="O1470" s="22" t="s">
        <v>4739</v>
      </c>
      <c r="P1470" s="22" t="str">
        <f>HYPERLINK("https://ceds.ed.gov/cedselementdetails.aspx?termid=22204")</f>
        <v>https://ceds.ed.gov/cedselementdetails.aspx?termid=22204</v>
      </c>
      <c r="Q1470" s="22">
        <v>59701</v>
      </c>
    </row>
    <row r="1471" spans="1:17" ht="28.8" x14ac:dyDescent="0.3">
      <c r="A1471" s="22" t="s">
        <v>7779</v>
      </c>
      <c r="B1471" s="22" t="s">
        <v>7794</v>
      </c>
      <c r="C1471" s="22" t="s">
        <v>7760</v>
      </c>
      <c r="D1471" s="22" t="s">
        <v>7710</v>
      </c>
      <c r="E1471" s="22" t="s">
        <v>4732</v>
      </c>
      <c r="F1471" s="24" t="s">
        <v>4733</v>
      </c>
      <c r="G1471" s="23" t="s">
        <v>32</v>
      </c>
      <c r="H1471" s="22"/>
      <c r="I1471" s="22"/>
      <c r="J1471" s="22" t="s">
        <v>118</v>
      </c>
      <c r="K1471" s="24"/>
      <c r="L1471" s="24"/>
      <c r="M1471" s="25" t="s">
        <v>4734</v>
      </c>
      <c r="N1471" s="22"/>
      <c r="O1471" s="22" t="s">
        <v>4735</v>
      </c>
      <c r="P1471" s="22" t="str">
        <f>HYPERLINK("https://ceds.ed.gov/cedselementdetails.aspx?termid=22205")</f>
        <v>https://ceds.ed.gov/cedselementdetails.aspx?termid=22205</v>
      </c>
      <c r="Q1471" s="22">
        <v>59703</v>
      </c>
    </row>
    <row r="1472" spans="1:17" ht="100.8" x14ac:dyDescent="0.3">
      <c r="A1472" s="22" t="s">
        <v>7779</v>
      </c>
      <c r="B1472" s="22" t="s">
        <v>7794</v>
      </c>
      <c r="C1472" s="22" t="s">
        <v>7760</v>
      </c>
      <c r="D1472" s="22" t="s">
        <v>7710</v>
      </c>
      <c r="E1472" s="22" t="s">
        <v>4719</v>
      </c>
      <c r="F1472" s="24" t="s">
        <v>4720</v>
      </c>
      <c r="G1472" s="26" t="s">
        <v>8962</v>
      </c>
      <c r="H1472" s="22"/>
      <c r="I1472" s="22"/>
      <c r="J1472" s="22"/>
      <c r="K1472" s="24"/>
      <c r="L1472" s="24"/>
      <c r="M1472" s="25" t="s">
        <v>4721</v>
      </c>
      <c r="N1472" s="22"/>
      <c r="O1472" s="22" t="s">
        <v>4722</v>
      </c>
      <c r="P1472" s="22" t="str">
        <f>HYPERLINK("https://ceds.ed.gov/cedselementdetails.aspx?termid=22662")</f>
        <v>https://ceds.ed.gov/cedselementdetails.aspx?termid=22662</v>
      </c>
      <c r="Q1472" s="22">
        <v>62957</v>
      </c>
    </row>
    <row r="1473" spans="1:17" ht="72" x14ac:dyDescent="0.3">
      <c r="A1473" s="22" t="s">
        <v>7779</v>
      </c>
      <c r="B1473" s="22" t="s">
        <v>7794</v>
      </c>
      <c r="C1473" s="22" t="s">
        <v>7760</v>
      </c>
      <c r="D1473" s="22" t="s">
        <v>7710</v>
      </c>
      <c r="E1473" s="22" t="s">
        <v>4723</v>
      </c>
      <c r="F1473" s="24" t="s">
        <v>4724</v>
      </c>
      <c r="G1473" s="26" t="s">
        <v>8963</v>
      </c>
      <c r="H1473" s="22"/>
      <c r="I1473" s="22"/>
      <c r="J1473" s="22"/>
      <c r="K1473" s="24"/>
      <c r="L1473" s="24"/>
      <c r="M1473" s="25" t="s">
        <v>4726</v>
      </c>
      <c r="N1473" s="22"/>
      <c r="O1473" s="22" t="s">
        <v>4727</v>
      </c>
      <c r="P1473" s="22" t="str">
        <f>HYPERLINK("https://ceds.ed.gov/cedselementdetails.aspx?termid=22682")</f>
        <v>https://ceds.ed.gov/cedselementdetails.aspx?termid=22682</v>
      </c>
      <c r="Q1473" s="22">
        <v>62958</v>
      </c>
    </row>
    <row r="1474" spans="1:17" ht="57.6" x14ac:dyDescent="0.3">
      <c r="A1474" s="22" t="s">
        <v>7779</v>
      </c>
      <c r="B1474" s="22" t="s">
        <v>7794</v>
      </c>
      <c r="C1474" s="22" t="s">
        <v>7760</v>
      </c>
      <c r="D1474" s="22" t="s">
        <v>7710</v>
      </c>
      <c r="E1474" s="22" t="s">
        <v>4656</v>
      </c>
      <c r="F1474" s="24" t="s">
        <v>4653</v>
      </c>
      <c r="G1474" s="23" t="s">
        <v>32</v>
      </c>
      <c r="H1474" s="22"/>
      <c r="I1474" s="22" t="s">
        <v>172</v>
      </c>
      <c r="J1474" s="22" t="s">
        <v>317</v>
      </c>
      <c r="K1474" s="24" t="s">
        <v>8217</v>
      </c>
      <c r="L1474" s="24"/>
      <c r="M1474" s="25" t="s">
        <v>4658</v>
      </c>
      <c r="N1474" s="22"/>
      <c r="O1474" s="22" t="s">
        <v>4659</v>
      </c>
      <c r="P1474" s="22" t="str">
        <f>HYPERLINK("https://ceds.ed.gov/cedselementdetails.aspx?termid=22198")</f>
        <v>https://ceds.ed.gov/cedselementdetails.aspx?termid=22198</v>
      </c>
      <c r="Q1474" s="22">
        <v>59689</v>
      </c>
    </row>
    <row r="1475" spans="1:17" ht="57.6" x14ac:dyDescent="0.3">
      <c r="A1475" s="22" t="s">
        <v>7779</v>
      </c>
      <c r="B1475" s="22" t="s">
        <v>7794</v>
      </c>
      <c r="C1475" s="22" t="s">
        <v>7760</v>
      </c>
      <c r="D1475" s="22" t="s">
        <v>7710</v>
      </c>
      <c r="E1475" s="22" t="s">
        <v>4652</v>
      </c>
      <c r="F1475" s="24" t="s">
        <v>4657</v>
      </c>
      <c r="G1475" s="23" t="s">
        <v>32</v>
      </c>
      <c r="H1475" s="22"/>
      <c r="I1475" s="22" t="s">
        <v>172</v>
      </c>
      <c r="J1475" s="22" t="s">
        <v>317</v>
      </c>
      <c r="K1475" s="24" t="s">
        <v>8217</v>
      </c>
      <c r="L1475" s="24"/>
      <c r="M1475" s="25" t="s">
        <v>4654</v>
      </c>
      <c r="N1475" s="22"/>
      <c r="O1475" s="22" t="s">
        <v>4655</v>
      </c>
      <c r="P1475" s="22" t="str">
        <f>HYPERLINK("https://ceds.ed.gov/cedselementdetails.aspx?termid=22199")</f>
        <v>https://ceds.ed.gov/cedselementdetails.aspx?termid=22199</v>
      </c>
      <c r="Q1475" s="22">
        <v>59691</v>
      </c>
    </row>
    <row r="1476" spans="1:17" ht="57.6" x14ac:dyDescent="0.3">
      <c r="A1476" s="22" t="s">
        <v>7779</v>
      </c>
      <c r="B1476" s="22" t="s">
        <v>7794</v>
      </c>
      <c r="C1476" s="22" t="s">
        <v>7760</v>
      </c>
      <c r="D1476" s="22" t="s">
        <v>7710</v>
      </c>
      <c r="E1476" s="22" t="s">
        <v>4740</v>
      </c>
      <c r="F1476" s="24" t="s">
        <v>4741</v>
      </c>
      <c r="G1476" s="26" t="s">
        <v>8964</v>
      </c>
      <c r="H1476" s="22"/>
      <c r="I1476" s="22"/>
      <c r="J1476" s="22"/>
      <c r="K1476" s="24"/>
      <c r="L1476" s="24"/>
      <c r="M1476" s="25" t="s">
        <v>4742</v>
      </c>
      <c r="N1476" s="22"/>
      <c r="O1476" s="22" t="s">
        <v>4743</v>
      </c>
      <c r="P1476" s="22" t="str">
        <f>HYPERLINK("https://ceds.ed.gov/cedselementdetails.aspx?termid=22200")</f>
        <v>https://ceds.ed.gov/cedselementdetails.aspx?termid=22200</v>
      </c>
      <c r="Q1476" s="22">
        <v>59693</v>
      </c>
    </row>
    <row r="1477" spans="1:17" ht="409.6" x14ac:dyDescent="0.3">
      <c r="A1477" s="22" t="s">
        <v>7779</v>
      </c>
      <c r="B1477" s="22" t="s">
        <v>7794</v>
      </c>
      <c r="C1477" s="22" t="s">
        <v>7760</v>
      </c>
      <c r="D1477" s="22" t="s">
        <v>7710</v>
      </c>
      <c r="E1477" s="22" t="s">
        <v>7048</v>
      </c>
      <c r="F1477" s="24" t="s">
        <v>7049</v>
      </c>
      <c r="G1477" s="26" t="s">
        <v>8542</v>
      </c>
      <c r="H1477" s="22"/>
      <c r="I1477" s="22" t="s">
        <v>172</v>
      </c>
      <c r="J1477" s="22"/>
      <c r="K1477" s="24" t="s">
        <v>7946</v>
      </c>
      <c r="L1477" s="24" t="s">
        <v>7050</v>
      </c>
      <c r="M1477" s="25" t="s">
        <v>7051</v>
      </c>
      <c r="N1477" s="22"/>
      <c r="O1477" s="22" t="s">
        <v>7052</v>
      </c>
      <c r="P1477" s="22" t="str">
        <f>HYPERLINK("https://ceds.ed.gov/cedselementdetails.aspx?termid=21273")</f>
        <v>https://ceds.ed.gov/cedselementdetails.aspx?termid=21273</v>
      </c>
      <c r="Q1477" s="22">
        <v>59710</v>
      </c>
    </row>
    <row r="1478" spans="1:17" ht="43.2" x14ac:dyDescent="0.3">
      <c r="A1478" s="22" t="s">
        <v>7779</v>
      </c>
      <c r="B1478" s="22" t="s">
        <v>7794</v>
      </c>
      <c r="C1478" s="22" t="s">
        <v>7760</v>
      </c>
      <c r="D1478" s="22" t="s">
        <v>7710</v>
      </c>
      <c r="E1478" s="22" t="s">
        <v>1929</v>
      </c>
      <c r="F1478" s="24" t="s">
        <v>1930</v>
      </c>
      <c r="G1478" s="23" t="s">
        <v>32</v>
      </c>
      <c r="H1478" s="22"/>
      <c r="I1478" s="22"/>
      <c r="J1478" s="22" t="s">
        <v>118</v>
      </c>
      <c r="K1478" s="24"/>
      <c r="L1478" s="24"/>
      <c r="M1478" s="25" t="s">
        <v>1931</v>
      </c>
      <c r="N1478" s="22"/>
      <c r="O1478" s="22" t="s">
        <v>1932</v>
      </c>
      <c r="P1478" s="22" t="str">
        <f>HYPERLINK("https://ceds.ed.gov/cedselementdetails.aspx?termid=22255")</f>
        <v>https://ceds.ed.gov/cedselementdetails.aspx?termid=22255</v>
      </c>
      <c r="Q1478" s="22">
        <v>61827</v>
      </c>
    </row>
    <row r="1479" spans="1:17" ht="72" x14ac:dyDescent="0.3">
      <c r="A1479" s="22" t="s">
        <v>7779</v>
      </c>
      <c r="B1479" s="22" t="s">
        <v>7794</v>
      </c>
      <c r="C1479" s="22" t="s">
        <v>7760</v>
      </c>
      <c r="D1479" s="22" t="s">
        <v>7710</v>
      </c>
      <c r="E1479" s="22" t="s">
        <v>1933</v>
      </c>
      <c r="F1479" s="24" t="s">
        <v>1934</v>
      </c>
      <c r="G1479" s="26" t="s">
        <v>8713</v>
      </c>
      <c r="H1479" s="22"/>
      <c r="I1479" s="22"/>
      <c r="J1479" s="22"/>
      <c r="K1479" s="24"/>
      <c r="L1479" s="24"/>
      <c r="M1479" s="25" t="s">
        <v>1935</v>
      </c>
      <c r="N1479" s="22"/>
      <c r="O1479" s="22" t="s">
        <v>1936</v>
      </c>
      <c r="P1479" s="22" t="str">
        <f>HYPERLINK("https://ceds.ed.gov/cedselementdetails.aspx?termid=22256")</f>
        <v>https://ceds.ed.gov/cedselementdetails.aspx?termid=22256</v>
      </c>
      <c r="Q1479" s="22">
        <v>61830</v>
      </c>
    </row>
    <row r="1480" spans="1:17" ht="216" x14ac:dyDescent="0.3">
      <c r="A1480" s="22" t="s">
        <v>7779</v>
      </c>
      <c r="B1480" s="22" t="s">
        <v>7794</v>
      </c>
      <c r="C1480" s="22" t="s">
        <v>7760</v>
      </c>
      <c r="D1480" s="22" t="s">
        <v>7710</v>
      </c>
      <c r="E1480" s="22" t="s">
        <v>7656</v>
      </c>
      <c r="F1480" s="24" t="s">
        <v>7657</v>
      </c>
      <c r="G1480" s="26" t="s">
        <v>8514</v>
      </c>
      <c r="H1480" s="22"/>
      <c r="I1480" s="22" t="s">
        <v>172</v>
      </c>
      <c r="J1480" s="22"/>
      <c r="K1480" s="24" t="s">
        <v>7995</v>
      </c>
      <c r="L1480" s="24"/>
      <c r="M1480" s="25" t="s">
        <v>7658</v>
      </c>
      <c r="N1480" s="22"/>
      <c r="O1480" s="22" t="s">
        <v>7656</v>
      </c>
      <c r="P1480" s="22" t="str">
        <f>HYPERLINK("https://ceds.ed.gov/cedselementdetails.aspx?termid=22959")</f>
        <v>https://ceds.ed.gov/cedselementdetails.aspx?termid=22959</v>
      </c>
      <c r="Q1480" s="22">
        <v>63571</v>
      </c>
    </row>
    <row r="1481" spans="1:17" ht="100.8" x14ac:dyDescent="0.3">
      <c r="A1481" s="22" t="s">
        <v>7779</v>
      </c>
      <c r="B1481" s="22" t="s">
        <v>7794</v>
      </c>
      <c r="C1481" s="22" t="s">
        <v>7760</v>
      </c>
      <c r="D1481" s="22" t="s">
        <v>7741</v>
      </c>
      <c r="E1481" s="22" t="s">
        <v>8333</v>
      </c>
      <c r="F1481" s="24" t="s">
        <v>8334</v>
      </c>
      <c r="G1481" s="26" t="s">
        <v>8383</v>
      </c>
      <c r="H1481" s="22"/>
      <c r="I1481" s="22" t="s">
        <v>167</v>
      </c>
      <c r="J1481" s="22" t="s">
        <v>2</v>
      </c>
      <c r="K1481" s="24" t="s">
        <v>7949</v>
      </c>
      <c r="L1481" s="24"/>
      <c r="M1481" s="25" t="s">
        <v>8373</v>
      </c>
      <c r="N1481" s="22"/>
      <c r="O1481" s="22" t="s">
        <v>8335</v>
      </c>
      <c r="P1481" s="22" t="str">
        <f>HYPERLINK("https://ceds.ed.gov/cedselementdetails.aspx?termid=22994")</f>
        <v>https://ceds.ed.gov/cedselementdetails.aspx?termid=22994</v>
      </c>
      <c r="Q1481" s="22">
        <v>63913</v>
      </c>
    </row>
    <row r="1482" spans="1:17" ht="28.8" x14ac:dyDescent="0.3">
      <c r="A1482" s="22" t="s">
        <v>7779</v>
      </c>
      <c r="B1482" s="22" t="s">
        <v>7794</v>
      </c>
      <c r="C1482" s="22" t="s">
        <v>7802</v>
      </c>
      <c r="D1482" s="22" t="s">
        <v>7710</v>
      </c>
      <c r="E1482" s="22" t="s">
        <v>2463</v>
      </c>
      <c r="F1482" s="24" t="s">
        <v>2464</v>
      </c>
      <c r="G1482" s="23" t="s">
        <v>32</v>
      </c>
      <c r="H1482" s="22"/>
      <c r="I1482" s="22"/>
      <c r="J1482" s="22" t="s">
        <v>118</v>
      </c>
      <c r="K1482" s="24"/>
      <c r="L1482" s="24"/>
      <c r="M1482" s="25" t="s">
        <v>2466</v>
      </c>
      <c r="N1482" s="22"/>
      <c r="O1482" s="22" t="s">
        <v>2467</v>
      </c>
      <c r="P1482" s="22" t="str">
        <f>HYPERLINK("https://ceds.ed.gov/cedselementdetails.aspx?termid=22708")</f>
        <v>https://ceds.ed.gov/cedselementdetails.aspx?termid=22708</v>
      </c>
      <c r="Q1482" s="22">
        <v>62875</v>
      </c>
    </row>
    <row r="1483" spans="1:17" ht="43.2" x14ac:dyDescent="0.3">
      <c r="A1483" s="22" t="s">
        <v>7779</v>
      </c>
      <c r="B1483" s="22" t="s">
        <v>7794</v>
      </c>
      <c r="C1483" s="22" t="s">
        <v>7802</v>
      </c>
      <c r="D1483" s="22" t="s">
        <v>7710</v>
      </c>
      <c r="E1483" s="22" t="s">
        <v>2468</v>
      </c>
      <c r="F1483" s="24" t="s">
        <v>2469</v>
      </c>
      <c r="G1483" s="26" t="s">
        <v>22</v>
      </c>
      <c r="H1483" s="22"/>
      <c r="I1483" s="22"/>
      <c r="J1483" s="22"/>
      <c r="K1483" s="24"/>
      <c r="L1483" s="24"/>
      <c r="M1483" s="25" t="s">
        <v>2470</v>
      </c>
      <c r="N1483" s="22"/>
      <c r="O1483" s="22" t="s">
        <v>2471</v>
      </c>
      <c r="P1483" s="22" t="str">
        <f>HYPERLINK("https://ceds.ed.gov/cedselementdetails.aspx?termid=22707")</f>
        <v>https://ceds.ed.gov/cedselementdetails.aspx?termid=22707</v>
      </c>
      <c r="Q1483" s="22">
        <v>62876</v>
      </c>
    </row>
    <row r="1484" spans="1:17" ht="172.8" x14ac:dyDescent="0.3">
      <c r="A1484" s="22" t="s">
        <v>7779</v>
      </c>
      <c r="B1484" s="22" t="s">
        <v>7794</v>
      </c>
      <c r="C1484" s="22" t="s">
        <v>7802</v>
      </c>
      <c r="D1484" s="22" t="s">
        <v>7710</v>
      </c>
      <c r="E1484" s="22" t="s">
        <v>5835</v>
      </c>
      <c r="F1484" s="24" t="s">
        <v>5836</v>
      </c>
      <c r="G1484" s="23" t="s">
        <v>32</v>
      </c>
      <c r="H1484" s="22"/>
      <c r="I1484" s="22" t="s">
        <v>172</v>
      </c>
      <c r="J1484" s="22" t="s">
        <v>132</v>
      </c>
      <c r="K1484" s="24" t="s">
        <v>7946</v>
      </c>
      <c r="L1484" s="24" t="s">
        <v>8043</v>
      </c>
      <c r="M1484" s="25" t="s">
        <v>5837</v>
      </c>
      <c r="N1484" s="22"/>
      <c r="O1484" s="22" t="s">
        <v>5838</v>
      </c>
      <c r="P1484" s="22" t="str">
        <f>HYPERLINK("https://ceds.ed.gov/cedselementdetails.aspx?termid=22551")</f>
        <v>https://ceds.ed.gov/cedselementdetails.aspx?termid=22551</v>
      </c>
      <c r="Q1484" s="22">
        <v>62854</v>
      </c>
    </row>
    <row r="1485" spans="1:17" ht="259.2" x14ac:dyDescent="0.3">
      <c r="A1485" s="22" t="s">
        <v>7779</v>
      </c>
      <c r="B1485" s="22" t="s">
        <v>7794</v>
      </c>
      <c r="C1485" s="22" t="s">
        <v>7802</v>
      </c>
      <c r="D1485" s="22" t="s">
        <v>7710</v>
      </c>
      <c r="E1485" s="22" t="s">
        <v>5831</v>
      </c>
      <c r="F1485" s="24" t="s">
        <v>5832</v>
      </c>
      <c r="G1485" s="26" t="s">
        <v>8494</v>
      </c>
      <c r="H1485" s="22"/>
      <c r="I1485" s="22" t="s">
        <v>172</v>
      </c>
      <c r="J1485" s="22"/>
      <c r="K1485" s="24" t="s">
        <v>7946</v>
      </c>
      <c r="L1485" s="24"/>
      <c r="M1485" s="25" t="s">
        <v>5833</v>
      </c>
      <c r="N1485" s="22"/>
      <c r="O1485" s="22" t="s">
        <v>5834</v>
      </c>
      <c r="P1485" s="22" t="str">
        <f>HYPERLINK("https://ceds.ed.gov/cedselementdetails.aspx?termid=22550")</f>
        <v>https://ceds.ed.gov/cedselementdetails.aspx?termid=22550</v>
      </c>
      <c r="Q1485" s="22">
        <v>62845</v>
      </c>
    </row>
    <row r="1486" spans="1:17" ht="43.2" x14ac:dyDescent="0.3">
      <c r="A1486" s="22" t="s">
        <v>7779</v>
      </c>
      <c r="B1486" s="22" t="s">
        <v>7794</v>
      </c>
      <c r="C1486" s="22" t="s">
        <v>7803</v>
      </c>
      <c r="D1486" s="22" t="s">
        <v>7710</v>
      </c>
      <c r="E1486" s="22" t="s">
        <v>3169</v>
      </c>
      <c r="F1486" s="24" t="s">
        <v>3170</v>
      </c>
      <c r="G1486" s="26" t="s">
        <v>22</v>
      </c>
      <c r="H1486" s="22" t="s">
        <v>226</v>
      </c>
      <c r="I1486" s="22"/>
      <c r="J1486" s="22"/>
      <c r="K1486" s="24"/>
      <c r="L1486" s="24"/>
      <c r="M1486" s="25" t="s">
        <v>3171</v>
      </c>
      <c r="N1486" s="22"/>
      <c r="O1486" s="22" t="s">
        <v>3172</v>
      </c>
      <c r="P1486" s="22" t="str">
        <f>HYPERLINK("https://ceds.ed.gov/cedselementdetails.aspx?termid=21569")</f>
        <v>https://ceds.ed.gov/cedselementdetails.aspx?termid=21569</v>
      </c>
      <c r="Q1486" s="22">
        <v>62791</v>
      </c>
    </row>
    <row r="1487" spans="1:17" ht="86.4" x14ac:dyDescent="0.3">
      <c r="A1487" s="22" t="s">
        <v>7779</v>
      </c>
      <c r="B1487" s="22" t="s">
        <v>7794</v>
      </c>
      <c r="C1487" s="22" t="s">
        <v>7803</v>
      </c>
      <c r="D1487" s="22" t="s">
        <v>7710</v>
      </c>
      <c r="E1487" s="22" t="s">
        <v>6676</v>
      </c>
      <c r="F1487" s="24" t="s">
        <v>6677</v>
      </c>
      <c r="G1487" s="26" t="s">
        <v>22</v>
      </c>
      <c r="H1487" s="24" t="s">
        <v>4415</v>
      </c>
      <c r="I1487" s="22"/>
      <c r="J1487" s="22"/>
      <c r="K1487" s="24"/>
      <c r="L1487" s="24"/>
      <c r="M1487" s="25" t="s">
        <v>6678</v>
      </c>
      <c r="N1487" s="22"/>
      <c r="O1487" s="22" t="s">
        <v>6679</v>
      </c>
      <c r="P1487" s="22" t="str">
        <f>HYPERLINK("https://ceds.ed.gov/cedselementdetails.aspx?termid=21249")</f>
        <v>https://ceds.ed.gov/cedselementdetails.aspx?termid=21249</v>
      </c>
      <c r="Q1487" s="22">
        <v>62777</v>
      </c>
    </row>
    <row r="1488" spans="1:17" ht="201.6" x14ac:dyDescent="0.3">
      <c r="A1488" s="22" t="s">
        <v>7779</v>
      </c>
      <c r="B1488" s="22" t="s">
        <v>7794</v>
      </c>
      <c r="C1488" s="22" t="s">
        <v>7803</v>
      </c>
      <c r="D1488" s="22" t="s">
        <v>7710</v>
      </c>
      <c r="E1488" s="22" t="s">
        <v>5959</v>
      </c>
      <c r="F1488" s="24" t="s">
        <v>5960</v>
      </c>
      <c r="G1488" s="26" t="s">
        <v>9076</v>
      </c>
      <c r="H1488" s="24" t="s">
        <v>5964</v>
      </c>
      <c r="I1488" s="22"/>
      <c r="J1488" s="22"/>
      <c r="K1488" s="24"/>
      <c r="L1488" s="24" t="s">
        <v>5961</v>
      </c>
      <c r="M1488" s="25" t="s">
        <v>5962</v>
      </c>
      <c r="N1488" s="22"/>
      <c r="O1488" s="22" t="s">
        <v>5963</v>
      </c>
      <c r="P1488" s="22" t="str">
        <f>HYPERLINK("https://ceds.ed.gov/cedselementdetails.aspx?termid=21218")</f>
        <v>https://ceds.ed.gov/cedselementdetails.aspx?termid=21218</v>
      </c>
      <c r="Q1488" s="22">
        <v>62776</v>
      </c>
    </row>
    <row r="1489" spans="1:17" ht="230.4" x14ac:dyDescent="0.3">
      <c r="A1489" s="22" t="s">
        <v>7779</v>
      </c>
      <c r="B1489" s="22" t="s">
        <v>7794</v>
      </c>
      <c r="C1489" s="22" t="s">
        <v>7803</v>
      </c>
      <c r="D1489" s="22" t="s">
        <v>7710</v>
      </c>
      <c r="E1489" s="22" t="s">
        <v>4411</v>
      </c>
      <c r="F1489" s="24" t="s">
        <v>4412</v>
      </c>
      <c r="G1489" s="26" t="s">
        <v>22</v>
      </c>
      <c r="H1489" s="24" t="s">
        <v>4415</v>
      </c>
      <c r="I1489" s="22"/>
      <c r="J1489" s="22"/>
      <c r="K1489" s="24"/>
      <c r="L1489" s="24"/>
      <c r="M1489" s="25" t="s">
        <v>4413</v>
      </c>
      <c r="N1489" s="22"/>
      <c r="O1489" s="22" t="s">
        <v>4414</v>
      </c>
      <c r="P1489" s="22" t="str">
        <f>HYPERLINK("https://ceds.ed.gov/cedselementdetails.aspx?termid=21151")</f>
        <v>https://ceds.ed.gov/cedselementdetails.aspx?termid=21151</v>
      </c>
      <c r="Q1489" s="22">
        <v>62773</v>
      </c>
    </row>
    <row r="1490" spans="1:17" ht="216" x14ac:dyDescent="0.3">
      <c r="A1490" s="22" t="s">
        <v>7779</v>
      </c>
      <c r="B1490" s="22" t="s">
        <v>7794</v>
      </c>
      <c r="C1490" s="22" t="s">
        <v>7803</v>
      </c>
      <c r="D1490" s="22" t="s">
        <v>7710</v>
      </c>
      <c r="E1490" s="22" t="s">
        <v>4384</v>
      </c>
      <c r="F1490" s="24" t="s">
        <v>4385</v>
      </c>
      <c r="G1490" s="26" t="s">
        <v>8929</v>
      </c>
      <c r="H1490" s="22"/>
      <c r="I1490" s="22"/>
      <c r="J1490" s="22"/>
      <c r="K1490" s="24"/>
      <c r="L1490" s="24" t="s">
        <v>4387</v>
      </c>
      <c r="M1490" s="25" t="s">
        <v>4388</v>
      </c>
      <c r="N1490" s="22"/>
      <c r="O1490" s="22" t="s">
        <v>4389</v>
      </c>
      <c r="P1490" s="22" t="str">
        <f>HYPERLINK("https://ceds.ed.gov/cedselementdetails.aspx?termid=22714")</f>
        <v>https://ceds.ed.gov/cedselementdetails.aspx?termid=22714</v>
      </c>
      <c r="Q1490" s="22">
        <v>62931</v>
      </c>
    </row>
    <row r="1491" spans="1:17" ht="57.6" x14ac:dyDescent="0.3">
      <c r="A1491" s="22" t="s">
        <v>7779</v>
      </c>
      <c r="B1491" s="22" t="s">
        <v>7794</v>
      </c>
      <c r="C1491" s="22" t="s">
        <v>7803</v>
      </c>
      <c r="D1491" s="22" t="s">
        <v>7710</v>
      </c>
      <c r="E1491" s="22" t="s">
        <v>6778</v>
      </c>
      <c r="F1491" s="24" t="s">
        <v>6779</v>
      </c>
      <c r="G1491" s="26" t="s">
        <v>22</v>
      </c>
      <c r="H1491" s="22"/>
      <c r="I1491" s="22"/>
      <c r="J1491" s="22"/>
      <c r="K1491" s="24"/>
      <c r="L1491" s="24"/>
      <c r="M1491" s="25" t="s">
        <v>6780</v>
      </c>
      <c r="N1491" s="22"/>
      <c r="O1491" s="22" t="s">
        <v>6781</v>
      </c>
      <c r="P1491" s="22" t="str">
        <f>HYPERLINK("https://ceds.ed.gov/cedselementdetails.aspx?termid=22746")</f>
        <v>https://ceds.ed.gov/cedselementdetails.aspx?termid=22746</v>
      </c>
      <c r="Q1491" s="22">
        <v>63149</v>
      </c>
    </row>
    <row r="1492" spans="1:17" ht="28.8" x14ac:dyDescent="0.3">
      <c r="A1492" s="22" t="s">
        <v>7779</v>
      </c>
      <c r="B1492" s="22" t="s">
        <v>7794</v>
      </c>
      <c r="C1492" s="22" t="s">
        <v>7804</v>
      </c>
      <c r="D1492" s="22" t="s">
        <v>7710</v>
      </c>
      <c r="E1492" s="22" t="s">
        <v>3475</v>
      </c>
      <c r="F1492" s="24" t="s">
        <v>3476</v>
      </c>
      <c r="G1492" s="23" t="s">
        <v>32</v>
      </c>
      <c r="H1492" s="22"/>
      <c r="I1492" s="22"/>
      <c r="J1492" s="22" t="s">
        <v>118</v>
      </c>
      <c r="K1492" s="24"/>
      <c r="L1492" s="24"/>
      <c r="M1492" s="25" t="s">
        <v>3478</v>
      </c>
      <c r="N1492" s="22"/>
      <c r="O1492" s="22" t="s">
        <v>3479</v>
      </c>
      <c r="P1492" s="22" t="str">
        <f>HYPERLINK("https://ceds.ed.gov/cedselementdetails.aspx?termid=22712")</f>
        <v>https://ceds.ed.gov/cedselementdetails.aspx?termid=22712</v>
      </c>
      <c r="Q1492" s="22">
        <v>62914</v>
      </c>
    </row>
    <row r="1493" spans="1:17" ht="28.8" x14ac:dyDescent="0.3">
      <c r="A1493" s="22" t="s">
        <v>7779</v>
      </c>
      <c r="B1493" s="22" t="s">
        <v>7794</v>
      </c>
      <c r="C1493" s="22" t="s">
        <v>7804</v>
      </c>
      <c r="D1493" s="22" t="s">
        <v>7710</v>
      </c>
      <c r="E1493" s="22" t="s">
        <v>3480</v>
      </c>
      <c r="F1493" s="24" t="s">
        <v>3481</v>
      </c>
      <c r="G1493" s="23" t="s">
        <v>32</v>
      </c>
      <c r="H1493" s="22"/>
      <c r="I1493" s="22"/>
      <c r="J1493" s="22" t="s">
        <v>328</v>
      </c>
      <c r="K1493" s="24"/>
      <c r="L1493" s="24"/>
      <c r="M1493" s="25" t="s">
        <v>3482</v>
      </c>
      <c r="N1493" s="22"/>
      <c r="O1493" s="22" t="s">
        <v>3483</v>
      </c>
      <c r="P1493" s="22" t="str">
        <f>HYPERLINK("https://ceds.ed.gov/cedselementdetails.aspx?termid=22711")</f>
        <v>https://ceds.ed.gov/cedselementdetails.aspx?termid=22711</v>
      </c>
      <c r="Q1493" s="22">
        <v>62915</v>
      </c>
    </row>
    <row r="1494" spans="1:17" ht="43.2" x14ac:dyDescent="0.3">
      <c r="A1494" s="22" t="s">
        <v>7779</v>
      </c>
      <c r="B1494" s="22" t="s">
        <v>7794</v>
      </c>
      <c r="C1494" s="22" t="s">
        <v>7804</v>
      </c>
      <c r="D1494" s="22" t="s">
        <v>7710</v>
      </c>
      <c r="E1494" s="22" t="s">
        <v>3484</v>
      </c>
      <c r="F1494" s="24" t="s">
        <v>3485</v>
      </c>
      <c r="G1494" s="23" t="s">
        <v>32</v>
      </c>
      <c r="H1494" s="22"/>
      <c r="I1494" s="22"/>
      <c r="J1494" s="22" t="s">
        <v>328</v>
      </c>
      <c r="K1494" s="24"/>
      <c r="L1494" s="24"/>
      <c r="M1494" s="25" t="s">
        <v>3486</v>
      </c>
      <c r="N1494" s="22"/>
      <c r="O1494" s="22" t="s">
        <v>3487</v>
      </c>
      <c r="P1494" s="22" t="str">
        <f>HYPERLINK("https://ceds.ed.gov/cedselementdetails.aspx?termid=22713")</f>
        <v>https://ceds.ed.gov/cedselementdetails.aspx?termid=22713</v>
      </c>
      <c r="Q1494" s="22">
        <v>62916</v>
      </c>
    </row>
    <row r="1495" spans="1:17" ht="259.2" x14ac:dyDescent="0.3">
      <c r="A1495" s="22" t="s">
        <v>7779</v>
      </c>
      <c r="B1495" s="22" t="s">
        <v>7794</v>
      </c>
      <c r="C1495" s="22" t="s">
        <v>7804</v>
      </c>
      <c r="D1495" s="22" t="s">
        <v>7710</v>
      </c>
      <c r="E1495" s="22" t="s">
        <v>4403</v>
      </c>
      <c r="F1495" s="24" t="s">
        <v>4404</v>
      </c>
      <c r="G1495" s="26" t="s">
        <v>8934</v>
      </c>
      <c r="H1495" s="22"/>
      <c r="I1495" s="22"/>
      <c r="J1495" s="22"/>
      <c r="K1495" s="24"/>
      <c r="L1495" s="24"/>
      <c r="M1495" s="25" t="s">
        <v>4405</v>
      </c>
      <c r="N1495" s="22"/>
      <c r="O1495" s="22" t="s">
        <v>4406</v>
      </c>
      <c r="P1495" s="22" t="str">
        <f>HYPERLINK("https://ceds.ed.gov/cedselementdetails.aspx?termid=22710")</f>
        <v>https://ceds.ed.gov/cedselementdetails.aspx?termid=22710</v>
      </c>
      <c r="Q1495" s="22">
        <v>62932</v>
      </c>
    </row>
    <row r="1496" spans="1:17" ht="43.2" x14ac:dyDescent="0.3">
      <c r="A1496" s="22" t="s">
        <v>7779</v>
      </c>
      <c r="B1496" s="22" t="s">
        <v>7794</v>
      </c>
      <c r="C1496" s="22" t="s">
        <v>7804</v>
      </c>
      <c r="D1496" s="22" t="s">
        <v>7710</v>
      </c>
      <c r="E1496" s="22" t="s">
        <v>4470</v>
      </c>
      <c r="F1496" s="24" t="s">
        <v>4471</v>
      </c>
      <c r="G1496" s="26" t="s">
        <v>8940</v>
      </c>
      <c r="H1496" s="22"/>
      <c r="I1496" s="22"/>
      <c r="J1496" s="22"/>
      <c r="K1496" s="24"/>
      <c r="L1496" s="24"/>
      <c r="M1496" s="25" t="s">
        <v>4472</v>
      </c>
      <c r="N1496" s="22"/>
      <c r="O1496" s="22" t="s">
        <v>4473</v>
      </c>
      <c r="P1496" s="22" t="str">
        <f>HYPERLINK("https://ceds.ed.gov/cedselementdetails.aspx?termid=22709")</f>
        <v>https://ceds.ed.gov/cedselementdetails.aspx?termid=22709</v>
      </c>
      <c r="Q1496" s="22">
        <v>62938</v>
      </c>
    </row>
    <row r="1497" spans="1:17" x14ac:dyDescent="0.3">
      <c r="A1497" s="22" t="s">
        <v>7779</v>
      </c>
      <c r="B1497" s="22" t="s">
        <v>7794</v>
      </c>
      <c r="C1497" s="22" t="s">
        <v>7805</v>
      </c>
      <c r="D1497" s="22" t="s">
        <v>7710</v>
      </c>
      <c r="E1497" s="22" t="s">
        <v>6383</v>
      </c>
      <c r="F1497" s="24" t="s">
        <v>6384</v>
      </c>
      <c r="G1497" s="23" t="s">
        <v>32</v>
      </c>
      <c r="H1497" s="22"/>
      <c r="I1497" s="22"/>
      <c r="J1497" s="22" t="s">
        <v>118</v>
      </c>
      <c r="K1497" s="24"/>
      <c r="L1497" s="24"/>
      <c r="M1497" s="25" t="s">
        <v>6385</v>
      </c>
      <c r="N1497" s="22"/>
      <c r="O1497" s="22" t="s">
        <v>6386</v>
      </c>
      <c r="P1497" s="22" t="str">
        <f>HYPERLINK("https://ceds.ed.gov/cedselementdetails.aspx?termid=22453")</f>
        <v>https://ceds.ed.gov/cedselementdetails.aspx?termid=22453</v>
      </c>
      <c r="Q1497" s="22">
        <v>62828</v>
      </c>
    </row>
    <row r="1498" spans="1:17" x14ac:dyDescent="0.3">
      <c r="A1498" s="22" t="s">
        <v>7779</v>
      </c>
      <c r="B1498" s="22" t="s">
        <v>7794</v>
      </c>
      <c r="C1498" s="22" t="s">
        <v>7805</v>
      </c>
      <c r="D1498" s="22" t="s">
        <v>7710</v>
      </c>
      <c r="E1498" s="22" t="s">
        <v>6395</v>
      </c>
      <c r="F1498" s="24" t="s">
        <v>6396</v>
      </c>
      <c r="G1498" s="23" t="s">
        <v>32</v>
      </c>
      <c r="H1498" s="22"/>
      <c r="I1498" s="22"/>
      <c r="J1498" s="22" t="s">
        <v>328</v>
      </c>
      <c r="K1498" s="24"/>
      <c r="L1498" s="24"/>
      <c r="M1498" s="25" t="s">
        <v>6397</v>
      </c>
      <c r="N1498" s="22"/>
      <c r="O1498" s="22" t="s">
        <v>6398</v>
      </c>
      <c r="P1498" s="22" t="str">
        <f>HYPERLINK("https://ceds.ed.gov/cedselementdetails.aspx?termid=22455")</f>
        <v>https://ceds.ed.gov/cedselementdetails.aspx?termid=22455</v>
      </c>
      <c r="Q1498" s="22">
        <v>62830</v>
      </c>
    </row>
    <row r="1499" spans="1:17" ht="28.8" x14ac:dyDescent="0.3">
      <c r="A1499" s="22" t="s">
        <v>7779</v>
      </c>
      <c r="B1499" s="22" t="s">
        <v>7794</v>
      </c>
      <c r="C1499" s="22" t="s">
        <v>7805</v>
      </c>
      <c r="D1499" s="22" t="s">
        <v>7710</v>
      </c>
      <c r="E1499" s="22" t="s">
        <v>6399</v>
      </c>
      <c r="F1499" s="24" t="s">
        <v>6400</v>
      </c>
      <c r="G1499" s="23" t="s">
        <v>32</v>
      </c>
      <c r="H1499" s="22"/>
      <c r="I1499" s="22"/>
      <c r="J1499" s="22" t="s">
        <v>157</v>
      </c>
      <c r="K1499" s="24"/>
      <c r="L1499" s="24"/>
      <c r="M1499" s="25" t="s">
        <v>6401</v>
      </c>
      <c r="N1499" s="22"/>
      <c r="O1499" s="22" t="s">
        <v>6402</v>
      </c>
      <c r="P1499" s="22" t="str">
        <f>HYPERLINK("https://ceds.ed.gov/cedselementdetails.aspx?termid=22456")</f>
        <v>https://ceds.ed.gov/cedselementdetails.aspx?termid=22456</v>
      </c>
      <c r="Q1499" s="22">
        <v>62832</v>
      </c>
    </row>
    <row r="1500" spans="1:17" ht="201.6" x14ac:dyDescent="0.3">
      <c r="A1500" s="22" t="s">
        <v>7779</v>
      </c>
      <c r="B1500" s="22" t="s">
        <v>7794</v>
      </c>
      <c r="C1500" s="22" t="s">
        <v>7806</v>
      </c>
      <c r="D1500" s="22" t="s">
        <v>7710</v>
      </c>
      <c r="E1500" s="22" t="s">
        <v>4394</v>
      </c>
      <c r="F1500" s="24" t="s">
        <v>4395</v>
      </c>
      <c r="G1500" s="26" t="s">
        <v>8931</v>
      </c>
      <c r="H1500" s="22" t="s">
        <v>226</v>
      </c>
      <c r="I1500" s="22"/>
      <c r="J1500" s="22"/>
      <c r="K1500" s="24"/>
      <c r="L1500" s="24"/>
      <c r="M1500" s="25" t="s">
        <v>4396</v>
      </c>
      <c r="N1500" s="22"/>
      <c r="O1500" s="22" t="s">
        <v>4397</v>
      </c>
      <c r="P1500" s="22" t="str">
        <f>HYPERLINK("https://ceds.ed.gov/cedselementdetails.aspx?termid=21550")</f>
        <v>https://ceds.ed.gov/cedselementdetails.aspx?termid=21550</v>
      </c>
      <c r="Q1500" s="22">
        <v>62790</v>
      </c>
    </row>
    <row r="1501" spans="1:17" ht="129.6" x14ac:dyDescent="0.3">
      <c r="A1501" s="22" t="s">
        <v>7779</v>
      </c>
      <c r="B1501" s="22" t="s">
        <v>7794</v>
      </c>
      <c r="C1501" s="22" t="s">
        <v>7806</v>
      </c>
      <c r="D1501" s="22" t="s">
        <v>7710</v>
      </c>
      <c r="E1501" s="22" t="s">
        <v>4398</v>
      </c>
      <c r="F1501" s="24" t="s">
        <v>4399</v>
      </c>
      <c r="G1501" s="26" t="s">
        <v>8933</v>
      </c>
      <c r="H1501" s="22" t="s">
        <v>226</v>
      </c>
      <c r="I1501" s="22"/>
      <c r="J1501" s="22"/>
      <c r="K1501" s="24"/>
      <c r="L1501" s="24"/>
      <c r="M1501" s="25" t="s">
        <v>4401</v>
      </c>
      <c r="N1501" s="22"/>
      <c r="O1501" s="22" t="s">
        <v>4402</v>
      </c>
      <c r="P1501" s="22" t="str">
        <f>HYPERLINK("https://ceds.ed.gov/cedselementdetails.aspx?termid=21526")</f>
        <v>https://ceds.ed.gov/cedselementdetails.aspx?termid=21526</v>
      </c>
      <c r="Q1501" s="22">
        <v>62787</v>
      </c>
    </row>
    <row r="1502" spans="1:17" ht="86.4" x14ac:dyDescent="0.3">
      <c r="A1502" s="22" t="s">
        <v>7779</v>
      </c>
      <c r="B1502" s="22" t="s">
        <v>7794</v>
      </c>
      <c r="C1502" s="22" t="s">
        <v>7806</v>
      </c>
      <c r="D1502" s="22" t="s">
        <v>7710</v>
      </c>
      <c r="E1502" s="22" t="s">
        <v>4444</v>
      </c>
      <c r="F1502" s="24" t="s">
        <v>4445</v>
      </c>
      <c r="G1502" s="23" t="s">
        <v>32</v>
      </c>
      <c r="H1502" s="22"/>
      <c r="I1502" s="22"/>
      <c r="J1502" s="22" t="s">
        <v>328</v>
      </c>
      <c r="K1502" s="24"/>
      <c r="L1502" s="24"/>
      <c r="M1502" s="25" t="s">
        <v>4447</v>
      </c>
      <c r="N1502" s="22"/>
      <c r="O1502" s="22" t="s">
        <v>4448</v>
      </c>
      <c r="P1502" s="22" t="str">
        <f>HYPERLINK("https://ceds.ed.gov/cedselementdetails.aspx?termid=22685")</f>
        <v>https://ceds.ed.gov/cedselementdetails.aspx?termid=22685</v>
      </c>
      <c r="Q1502" s="22">
        <v>62933</v>
      </c>
    </row>
    <row r="1503" spans="1:17" ht="43.2" x14ac:dyDescent="0.3">
      <c r="A1503" s="22" t="s">
        <v>7779</v>
      </c>
      <c r="B1503" s="22" t="s">
        <v>7794</v>
      </c>
      <c r="C1503" s="22" t="s">
        <v>7806</v>
      </c>
      <c r="D1503" s="22" t="s">
        <v>7710</v>
      </c>
      <c r="E1503" s="22" t="s">
        <v>4622</v>
      </c>
      <c r="F1503" s="24" t="s">
        <v>4623</v>
      </c>
      <c r="G1503" s="26" t="s">
        <v>22</v>
      </c>
      <c r="H1503" s="22"/>
      <c r="I1503" s="22"/>
      <c r="J1503" s="22"/>
      <c r="K1503" s="24"/>
      <c r="L1503" s="24"/>
      <c r="M1503" s="25" t="s">
        <v>4624</v>
      </c>
      <c r="N1503" s="22"/>
      <c r="O1503" s="22" t="s">
        <v>4625</v>
      </c>
      <c r="P1503" s="22" t="str">
        <f>HYPERLINK("https://ceds.ed.gov/cedselementdetails.aspx?termid=22615")</f>
        <v>https://ceds.ed.gov/cedselementdetails.aspx?termid=22615</v>
      </c>
      <c r="Q1503" s="22">
        <v>62856</v>
      </c>
    </row>
    <row r="1504" spans="1:17" ht="57.6" x14ac:dyDescent="0.3">
      <c r="A1504" s="22" t="s">
        <v>7779</v>
      </c>
      <c r="B1504" s="22" t="s">
        <v>7794</v>
      </c>
      <c r="C1504" s="22" t="s">
        <v>7806</v>
      </c>
      <c r="D1504" s="22" t="s">
        <v>7710</v>
      </c>
      <c r="E1504" s="22" t="s">
        <v>4652</v>
      </c>
      <c r="F1504" s="24" t="s">
        <v>4657</v>
      </c>
      <c r="G1504" s="23" t="s">
        <v>32</v>
      </c>
      <c r="H1504" s="22"/>
      <c r="I1504" s="22" t="s">
        <v>172</v>
      </c>
      <c r="J1504" s="22" t="s">
        <v>317</v>
      </c>
      <c r="K1504" s="24" t="s">
        <v>8217</v>
      </c>
      <c r="L1504" s="24"/>
      <c r="M1504" s="25" t="s">
        <v>4654</v>
      </c>
      <c r="N1504" s="22"/>
      <c r="O1504" s="22" t="s">
        <v>4655</v>
      </c>
      <c r="P1504" s="22" t="str">
        <f>HYPERLINK("https://ceds.ed.gov/cedselementdetails.aspx?termid=22199")</f>
        <v>https://ceds.ed.gov/cedselementdetails.aspx?termid=22199</v>
      </c>
      <c r="Q1504" s="22">
        <v>62821</v>
      </c>
    </row>
    <row r="1505" spans="1:17" ht="57.6" x14ac:dyDescent="0.3">
      <c r="A1505" s="22" t="s">
        <v>7779</v>
      </c>
      <c r="B1505" s="22" t="s">
        <v>7794</v>
      </c>
      <c r="C1505" s="22" t="s">
        <v>7806</v>
      </c>
      <c r="D1505" s="22" t="s">
        <v>7710</v>
      </c>
      <c r="E1505" s="22" t="s">
        <v>4656</v>
      </c>
      <c r="F1505" s="24" t="s">
        <v>4653</v>
      </c>
      <c r="G1505" s="23" t="s">
        <v>32</v>
      </c>
      <c r="H1505" s="22"/>
      <c r="I1505" s="22" t="s">
        <v>172</v>
      </c>
      <c r="J1505" s="22" t="s">
        <v>317</v>
      </c>
      <c r="K1505" s="24" t="s">
        <v>8217</v>
      </c>
      <c r="L1505" s="24"/>
      <c r="M1505" s="25" t="s">
        <v>4658</v>
      </c>
      <c r="N1505" s="22"/>
      <c r="O1505" s="22" t="s">
        <v>4659</v>
      </c>
      <c r="P1505" s="22" t="str">
        <f>HYPERLINK("https://ceds.ed.gov/cedselementdetails.aspx?termid=22198")</f>
        <v>https://ceds.ed.gov/cedselementdetails.aspx?termid=22198</v>
      </c>
      <c r="Q1505" s="22">
        <v>62820</v>
      </c>
    </row>
    <row r="1506" spans="1:17" ht="57.6" x14ac:dyDescent="0.3">
      <c r="A1506" s="22" t="s">
        <v>7779</v>
      </c>
      <c r="B1506" s="22" t="s">
        <v>7794</v>
      </c>
      <c r="C1506" s="22" t="s">
        <v>7807</v>
      </c>
      <c r="D1506" s="22" t="s">
        <v>7710</v>
      </c>
      <c r="E1506" s="22" t="s">
        <v>1478</v>
      </c>
      <c r="F1506" s="24" t="s">
        <v>1479</v>
      </c>
      <c r="G1506" s="26" t="s">
        <v>22</v>
      </c>
      <c r="H1506" s="22"/>
      <c r="I1506" s="22"/>
      <c r="J1506" s="22"/>
      <c r="K1506" s="24"/>
      <c r="L1506" s="24"/>
      <c r="M1506" s="25" t="s">
        <v>1481</v>
      </c>
      <c r="N1506" s="22"/>
      <c r="O1506" s="22" t="s">
        <v>1482</v>
      </c>
      <c r="P1506" s="22" t="str">
        <f>HYPERLINK("https://ceds.ed.gov/cedselementdetails.aspx?termid=22702")</f>
        <v>https://ceds.ed.gov/cedselementdetails.aspx?termid=22702</v>
      </c>
      <c r="Q1506" s="22">
        <v>62869</v>
      </c>
    </row>
    <row r="1507" spans="1:17" x14ac:dyDescent="0.3">
      <c r="A1507" s="22" t="s">
        <v>7779</v>
      </c>
      <c r="B1507" s="22" t="s">
        <v>7794</v>
      </c>
      <c r="C1507" s="22" t="s">
        <v>7807</v>
      </c>
      <c r="D1507" s="22" t="s">
        <v>7710</v>
      </c>
      <c r="E1507" s="22" t="s">
        <v>1497</v>
      </c>
      <c r="F1507" s="24" t="s">
        <v>1498</v>
      </c>
      <c r="G1507" s="23" t="s">
        <v>32</v>
      </c>
      <c r="H1507" s="22"/>
      <c r="I1507" s="22"/>
      <c r="J1507" s="22" t="s">
        <v>118</v>
      </c>
      <c r="K1507" s="24"/>
      <c r="L1507" s="24"/>
      <c r="M1507" s="25" t="s">
        <v>1499</v>
      </c>
      <c r="N1507" s="22"/>
      <c r="O1507" s="22" t="s">
        <v>1500</v>
      </c>
      <c r="P1507" s="22" t="str">
        <f>HYPERLINK("https://ceds.ed.gov/cedselementdetails.aspx?termid=22706")</f>
        <v>https://ceds.ed.gov/cedselementdetails.aspx?termid=22706</v>
      </c>
      <c r="Q1507" s="22">
        <v>62870</v>
      </c>
    </row>
    <row r="1508" spans="1:17" ht="28.8" x14ac:dyDescent="0.3">
      <c r="A1508" s="22" t="s">
        <v>7779</v>
      </c>
      <c r="B1508" s="22" t="s">
        <v>7794</v>
      </c>
      <c r="C1508" s="22" t="s">
        <v>7807</v>
      </c>
      <c r="D1508" s="22" t="s">
        <v>7710</v>
      </c>
      <c r="E1508" s="22" t="s">
        <v>1501</v>
      </c>
      <c r="F1508" s="24" t="s">
        <v>1502</v>
      </c>
      <c r="G1508" s="23" t="s">
        <v>32</v>
      </c>
      <c r="H1508" s="22"/>
      <c r="I1508" s="22"/>
      <c r="J1508" s="22" t="s">
        <v>328</v>
      </c>
      <c r="K1508" s="24"/>
      <c r="L1508" s="24"/>
      <c r="M1508" s="25" t="s">
        <v>1503</v>
      </c>
      <c r="N1508" s="22"/>
      <c r="O1508" s="22" t="s">
        <v>1504</v>
      </c>
      <c r="P1508" s="22" t="str">
        <f>HYPERLINK("https://ceds.ed.gov/cedselementdetails.aspx?termid=22703")</f>
        <v>https://ceds.ed.gov/cedselementdetails.aspx?termid=22703</v>
      </c>
      <c r="Q1508" s="22">
        <v>62871</v>
      </c>
    </row>
    <row r="1509" spans="1:17" ht="100.8" x14ac:dyDescent="0.3">
      <c r="A1509" s="22" t="s">
        <v>7779</v>
      </c>
      <c r="B1509" s="22" t="s">
        <v>7794</v>
      </c>
      <c r="C1509" s="22" t="s">
        <v>7807</v>
      </c>
      <c r="D1509" s="22" t="s">
        <v>7710</v>
      </c>
      <c r="E1509" s="22" t="s">
        <v>1511</v>
      </c>
      <c r="F1509" s="24" t="s">
        <v>1512</v>
      </c>
      <c r="G1509" s="26" t="s">
        <v>8650</v>
      </c>
      <c r="H1509" s="22"/>
      <c r="I1509" s="22"/>
      <c r="J1509" s="22"/>
      <c r="K1509" s="24"/>
      <c r="L1509" s="24"/>
      <c r="M1509" s="25" t="s">
        <v>1513</v>
      </c>
      <c r="N1509" s="22"/>
      <c r="O1509" s="22" t="s">
        <v>1514</v>
      </c>
      <c r="P1509" s="22" t="str">
        <f>HYPERLINK("https://ceds.ed.gov/cedselementdetails.aspx?termid=22701")</f>
        <v>https://ceds.ed.gov/cedselementdetails.aspx?termid=22701</v>
      </c>
      <c r="Q1509" s="22">
        <v>62872</v>
      </c>
    </row>
    <row r="1510" spans="1:17" ht="100.8" x14ac:dyDescent="0.3">
      <c r="A1510" s="22" t="s">
        <v>7779</v>
      </c>
      <c r="B1510" s="22" t="s">
        <v>7794</v>
      </c>
      <c r="C1510" s="22" t="s">
        <v>7807</v>
      </c>
      <c r="D1510" s="22" t="s">
        <v>7710</v>
      </c>
      <c r="E1510" s="22" t="s">
        <v>4458</v>
      </c>
      <c r="F1510" s="24" t="s">
        <v>4459</v>
      </c>
      <c r="G1510" s="26" t="s">
        <v>8939</v>
      </c>
      <c r="H1510" s="22"/>
      <c r="I1510" s="22"/>
      <c r="J1510" s="22"/>
      <c r="K1510" s="24"/>
      <c r="L1510" s="24"/>
      <c r="M1510" s="25" t="s">
        <v>4460</v>
      </c>
      <c r="N1510" s="22"/>
      <c r="O1510" s="22" t="s">
        <v>4461</v>
      </c>
      <c r="P1510" s="22" t="str">
        <f>HYPERLINK("https://ceds.ed.gov/cedselementdetails.aspx?termid=22700")</f>
        <v>https://ceds.ed.gov/cedselementdetails.aspx?termid=22700</v>
      </c>
      <c r="Q1510" s="22">
        <v>62935</v>
      </c>
    </row>
    <row r="1511" spans="1:17" ht="28.8" x14ac:dyDescent="0.3">
      <c r="A1511" s="22" t="s">
        <v>7779</v>
      </c>
      <c r="B1511" s="22" t="s">
        <v>7794</v>
      </c>
      <c r="C1511" s="22" t="s">
        <v>7807</v>
      </c>
      <c r="D1511" s="22" t="s">
        <v>7710</v>
      </c>
      <c r="E1511" s="22" t="s">
        <v>4462</v>
      </c>
      <c r="F1511" s="24" t="s">
        <v>4463</v>
      </c>
      <c r="G1511" s="23" t="s">
        <v>32</v>
      </c>
      <c r="H1511" s="22"/>
      <c r="I1511" s="22"/>
      <c r="J1511" s="22" t="s">
        <v>328</v>
      </c>
      <c r="K1511" s="24"/>
      <c r="L1511" s="24"/>
      <c r="M1511" s="25" t="s">
        <v>4464</v>
      </c>
      <c r="N1511" s="22"/>
      <c r="O1511" s="22" t="s">
        <v>4465</v>
      </c>
      <c r="P1511" s="22" t="str">
        <f>HYPERLINK("https://ceds.ed.gov/cedselementdetails.aspx?termid=22704")</f>
        <v>https://ceds.ed.gov/cedselementdetails.aspx?termid=22704</v>
      </c>
      <c r="Q1511" s="22">
        <v>62936</v>
      </c>
    </row>
    <row r="1512" spans="1:17" ht="28.8" x14ac:dyDescent="0.3">
      <c r="A1512" s="22" t="s">
        <v>7779</v>
      </c>
      <c r="B1512" s="22" t="s">
        <v>7794</v>
      </c>
      <c r="C1512" s="22" t="s">
        <v>7807</v>
      </c>
      <c r="D1512" s="22" t="s">
        <v>7710</v>
      </c>
      <c r="E1512" s="22" t="s">
        <v>4466</v>
      </c>
      <c r="F1512" s="24" t="s">
        <v>4467</v>
      </c>
      <c r="G1512" s="23" t="s">
        <v>32</v>
      </c>
      <c r="H1512" s="22"/>
      <c r="I1512" s="22"/>
      <c r="J1512" s="22" t="s">
        <v>328</v>
      </c>
      <c r="K1512" s="24"/>
      <c r="L1512" s="24"/>
      <c r="M1512" s="25" t="s">
        <v>4468</v>
      </c>
      <c r="N1512" s="22"/>
      <c r="O1512" s="22" t="s">
        <v>4469</v>
      </c>
      <c r="P1512" s="22" t="str">
        <f>HYPERLINK("https://ceds.ed.gov/cedselementdetails.aspx?termid=22705")</f>
        <v>https://ceds.ed.gov/cedselementdetails.aspx?termid=22705</v>
      </c>
      <c r="Q1512" s="22">
        <v>62937</v>
      </c>
    </row>
    <row r="1513" spans="1:17" ht="172.8" x14ac:dyDescent="0.3">
      <c r="A1513" s="22" t="s">
        <v>7779</v>
      </c>
      <c r="B1513" s="22" t="s">
        <v>7794</v>
      </c>
      <c r="C1513" s="22" t="s">
        <v>7807</v>
      </c>
      <c r="D1513" s="22" t="s">
        <v>7710</v>
      </c>
      <c r="E1513" s="22" t="s">
        <v>5835</v>
      </c>
      <c r="F1513" s="24" t="s">
        <v>5836</v>
      </c>
      <c r="G1513" s="23" t="s">
        <v>32</v>
      </c>
      <c r="H1513" s="22"/>
      <c r="I1513" s="22" t="s">
        <v>172</v>
      </c>
      <c r="J1513" s="22" t="s">
        <v>132</v>
      </c>
      <c r="K1513" s="24" t="s">
        <v>7946</v>
      </c>
      <c r="L1513" s="24" t="s">
        <v>8043</v>
      </c>
      <c r="M1513" s="25" t="s">
        <v>5837</v>
      </c>
      <c r="N1513" s="22"/>
      <c r="O1513" s="22" t="s">
        <v>5838</v>
      </c>
      <c r="P1513" s="22" t="str">
        <f>HYPERLINK("https://ceds.ed.gov/cedselementdetails.aspx?termid=22551")</f>
        <v>https://ceds.ed.gov/cedselementdetails.aspx?termid=22551</v>
      </c>
      <c r="Q1513" s="22">
        <v>62853</v>
      </c>
    </row>
    <row r="1514" spans="1:17" ht="259.2" x14ac:dyDescent="0.3">
      <c r="A1514" s="22" t="s">
        <v>7779</v>
      </c>
      <c r="B1514" s="22" t="s">
        <v>7794</v>
      </c>
      <c r="C1514" s="22" t="s">
        <v>7807</v>
      </c>
      <c r="D1514" s="22" t="s">
        <v>7710</v>
      </c>
      <c r="E1514" s="22" t="s">
        <v>5831</v>
      </c>
      <c r="F1514" s="24" t="s">
        <v>5832</v>
      </c>
      <c r="G1514" s="26" t="s">
        <v>8494</v>
      </c>
      <c r="H1514" s="22"/>
      <c r="I1514" s="22" t="s">
        <v>172</v>
      </c>
      <c r="J1514" s="22"/>
      <c r="K1514" s="24" t="s">
        <v>7946</v>
      </c>
      <c r="L1514" s="24"/>
      <c r="M1514" s="25" t="s">
        <v>5833</v>
      </c>
      <c r="N1514" s="22"/>
      <c r="O1514" s="22" t="s">
        <v>5834</v>
      </c>
      <c r="P1514" s="22" t="str">
        <f>HYPERLINK("https://ceds.ed.gov/cedselementdetails.aspx?termid=22550")</f>
        <v>https://ceds.ed.gov/cedselementdetails.aspx?termid=22550</v>
      </c>
      <c r="Q1514" s="22">
        <v>62844</v>
      </c>
    </row>
    <row r="1515" spans="1:17" ht="28.8" x14ac:dyDescent="0.3">
      <c r="A1515" s="22" t="s">
        <v>7779</v>
      </c>
      <c r="B1515" s="22" t="s">
        <v>7794</v>
      </c>
      <c r="C1515" s="22" t="s">
        <v>7808</v>
      </c>
      <c r="D1515" s="22" t="s">
        <v>7710</v>
      </c>
      <c r="E1515" s="22" t="s">
        <v>4478</v>
      </c>
      <c r="F1515" s="24" t="s">
        <v>4479</v>
      </c>
      <c r="G1515" s="23" t="s">
        <v>32</v>
      </c>
      <c r="H1515" s="22"/>
      <c r="I1515" s="22"/>
      <c r="J1515" s="22" t="s">
        <v>328</v>
      </c>
      <c r="K1515" s="24"/>
      <c r="L1515" s="24"/>
      <c r="M1515" s="25" t="s">
        <v>4481</v>
      </c>
      <c r="N1515" s="22"/>
      <c r="O1515" s="22" t="s">
        <v>4482</v>
      </c>
      <c r="P1515" s="22" t="str">
        <f>HYPERLINK("https://ceds.ed.gov/cedselementdetails.aspx?termid=22686")</f>
        <v>https://ceds.ed.gov/cedselementdetails.aspx?termid=22686</v>
      </c>
      <c r="Q1515" s="22">
        <v>62941</v>
      </c>
    </row>
    <row r="1516" spans="1:17" ht="28.8" x14ac:dyDescent="0.3">
      <c r="A1516" s="22" t="s">
        <v>7779</v>
      </c>
      <c r="B1516" s="22" t="s">
        <v>7794</v>
      </c>
      <c r="C1516" s="22" t="s">
        <v>7808</v>
      </c>
      <c r="D1516" s="22" t="s">
        <v>7710</v>
      </c>
      <c r="E1516" s="22" t="s">
        <v>4483</v>
      </c>
      <c r="F1516" s="24" t="s">
        <v>4484</v>
      </c>
      <c r="G1516" s="23" t="s">
        <v>32</v>
      </c>
      <c r="H1516" s="22"/>
      <c r="I1516" s="22"/>
      <c r="J1516" s="22" t="s">
        <v>328</v>
      </c>
      <c r="K1516" s="24"/>
      <c r="L1516" s="24"/>
      <c r="M1516" s="25" t="s">
        <v>4485</v>
      </c>
      <c r="N1516" s="22"/>
      <c r="O1516" s="22" t="s">
        <v>4486</v>
      </c>
      <c r="P1516" s="22" t="str">
        <f>HYPERLINK("https://ceds.ed.gov/cedselementdetails.aspx?termid=22687")</f>
        <v>https://ceds.ed.gov/cedselementdetails.aspx?termid=22687</v>
      </c>
      <c r="Q1516" s="22">
        <v>62942</v>
      </c>
    </row>
    <row r="1517" spans="1:17" ht="43.2" x14ac:dyDescent="0.3">
      <c r="A1517" s="22" t="s">
        <v>7779</v>
      </c>
      <c r="B1517" s="22" t="s">
        <v>7794</v>
      </c>
      <c r="C1517" s="22" t="s">
        <v>7808</v>
      </c>
      <c r="D1517" s="22" t="s">
        <v>7710</v>
      </c>
      <c r="E1517" s="22" t="s">
        <v>4487</v>
      </c>
      <c r="F1517" s="24" t="s">
        <v>4488</v>
      </c>
      <c r="G1517" s="23" t="s">
        <v>32</v>
      </c>
      <c r="H1517" s="22"/>
      <c r="I1517" s="22"/>
      <c r="J1517" s="22" t="s">
        <v>328</v>
      </c>
      <c r="K1517" s="24"/>
      <c r="L1517" s="24"/>
      <c r="M1517" s="25" t="s">
        <v>4489</v>
      </c>
      <c r="N1517" s="22"/>
      <c r="O1517" s="22" t="s">
        <v>4490</v>
      </c>
      <c r="P1517" s="22" t="str">
        <f>HYPERLINK("https://ceds.ed.gov/cedselementdetails.aspx?termid=22688")</f>
        <v>https://ceds.ed.gov/cedselementdetails.aspx?termid=22688</v>
      </c>
      <c r="Q1517" s="22">
        <v>62943</v>
      </c>
    </row>
    <row r="1518" spans="1:17" ht="43.2" x14ac:dyDescent="0.3">
      <c r="A1518" s="22" t="s">
        <v>7779</v>
      </c>
      <c r="B1518" s="22" t="s">
        <v>7794</v>
      </c>
      <c r="C1518" s="22" t="s">
        <v>7808</v>
      </c>
      <c r="D1518" s="22" t="s">
        <v>7710</v>
      </c>
      <c r="E1518" s="22" t="s">
        <v>4491</v>
      </c>
      <c r="F1518" s="24" t="s">
        <v>4492</v>
      </c>
      <c r="G1518" s="23" t="s">
        <v>32</v>
      </c>
      <c r="H1518" s="22"/>
      <c r="I1518" s="22"/>
      <c r="J1518" s="22" t="s">
        <v>328</v>
      </c>
      <c r="K1518" s="24"/>
      <c r="L1518" s="24"/>
      <c r="M1518" s="25" t="s">
        <v>4493</v>
      </c>
      <c r="N1518" s="22"/>
      <c r="O1518" s="22" t="s">
        <v>4494</v>
      </c>
      <c r="P1518" s="22" t="str">
        <f>HYPERLINK("https://ceds.ed.gov/cedselementdetails.aspx?termid=22691")</f>
        <v>https://ceds.ed.gov/cedselementdetails.aspx?termid=22691</v>
      </c>
      <c r="Q1518" s="22">
        <v>62944</v>
      </c>
    </row>
    <row r="1519" spans="1:17" ht="43.2" x14ac:dyDescent="0.3">
      <c r="A1519" s="22" t="s">
        <v>7779</v>
      </c>
      <c r="B1519" s="22" t="s">
        <v>7794</v>
      </c>
      <c r="C1519" s="22" t="s">
        <v>7808</v>
      </c>
      <c r="D1519" s="22" t="s">
        <v>7710</v>
      </c>
      <c r="E1519" s="22" t="s">
        <v>4495</v>
      </c>
      <c r="F1519" s="24" t="s">
        <v>4496</v>
      </c>
      <c r="G1519" s="23" t="s">
        <v>32</v>
      </c>
      <c r="H1519" s="22"/>
      <c r="I1519" s="22"/>
      <c r="J1519" s="22" t="s">
        <v>328</v>
      </c>
      <c r="K1519" s="24"/>
      <c r="L1519" s="24"/>
      <c r="M1519" s="25" t="s">
        <v>4497</v>
      </c>
      <c r="N1519" s="22"/>
      <c r="O1519" s="22" t="s">
        <v>4498</v>
      </c>
      <c r="P1519" s="22" t="str">
        <f>HYPERLINK("https://ceds.ed.gov/cedselementdetails.aspx?termid=22689")</f>
        <v>https://ceds.ed.gov/cedselementdetails.aspx?termid=22689</v>
      </c>
      <c r="Q1519" s="22">
        <v>62945</v>
      </c>
    </row>
    <row r="1520" spans="1:17" ht="43.2" x14ac:dyDescent="0.3">
      <c r="A1520" s="22" t="s">
        <v>7779</v>
      </c>
      <c r="B1520" s="22" t="s">
        <v>7794</v>
      </c>
      <c r="C1520" s="22" t="s">
        <v>7808</v>
      </c>
      <c r="D1520" s="22" t="s">
        <v>7710</v>
      </c>
      <c r="E1520" s="22" t="s">
        <v>4499</v>
      </c>
      <c r="F1520" s="24" t="s">
        <v>4500</v>
      </c>
      <c r="G1520" s="23" t="s">
        <v>32</v>
      </c>
      <c r="H1520" s="22"/>
      <c r="I1520" s="22"/>
      <c r="J1520" s="22" t="s">
        <v>328</v>
      </c>
      <c r="K1520" s="24"/>
      <c r="L1520" s="24"/>
      <c r="M1520" s="25" t="s">
        <v>4501</v>
      </c>
      <c r="N1520" s="22"/>
      <c r="O1520" s="22" t="s">
        <v>4502</v>
      </c>
      <c r="P1520" s="22" t="str">
        <f>HYPERLINK("https://ceds.ed.gov/cedselementdetails.aspx?termid=22692")</f>
        <v>https://ceds.ed.gov/cedselementdetails.aspx?termid=22692</v>
      </c>
      <c r="Q1520" s="22">
        <v>62946</v>
      </c>
    </row>
    <row r="1521" spans="1:17" ht="28.8" x14ac:dyDescent="0.3">
      <c r="A1521" s="22" t="s">
        <v>7779</v>
      </c>
      <c r="B1521" s="22" t="s">
        <v>7794</v>
      </c>
      <c r="C1521" s="22" t="s">
        <v>7808</v>
      </c>
      <c r="D1521" s="22" t="s">
        <v>7710</v>
      </c>
      <c r="E1521" s="22" t="s">
        <v>4503</v>
      </c>
      <c r="F1521" s="24" t="s">
        <v>4504</v>
      </c>
      <c r="G1521" s="23" t="s">
        <v>32</v>
      </c>
      <c r="H1521" s="22"/>
      <c r="I1521" s="22"/>
      <c r="J1521" s="22" t="s">
        <v>328</v>
      </c>
      <c r="K1521" s="24"/>
      <c r="L1521" s="24"/>
      <c r="M1521" s="25" t="s">
        <v>4505</v>
      </c>
      <c r="N1521" s="22"/>
      <c r="O1521" s="22" t="s">
        <v>4506</v>
      </c>
      <c r="P1521" s="22" t="str">
        <f>HYPERLINK("https://ceds.ed.gov/cedselementdetails.aspx?termid=22690")</f>
        <v>https://ceds.ed.gov/cedselementdetails.aspx?termid=22690</v>
      </c>
      <c r="Q1521" s="22">
        <v>62947</v>
      </c>
    </row>
    <row r="1522" spans="1:17" ht="28.8" x14ac:dyDescent="0.3">
      <c r="A1522" s="22" t="s">
        <v>7779</v>
      </c>
      <c r="B1522" s="22" t="s">
        <v>7794</v>
      </c>
      <c r="C1522" s="22" t="s">
        <v>7761</v>
      </c>
      <c r="D1522" s="22" t="s">
        <v>7710</v>
      </c>
      <c r="E1522" s="22" t="s">
        <v>4168</v>
      </c>
      <c r="F1522" s="24" t="s">
        <v>4169</v>
      </c>
      <c r="G1522" s="23" t="s">
        <v>32</v>
      </c>
      <c r="H1522" s="22"/>
      <c r="I1522" s="22"/>
      <c r="J1522" s="22" t="s">
        <v>118</v>
      </c>
      <c r="K1522" s="24"/>
      <c r="L1522" s="24"/>
      <c r="M1522" s="25" t="s">
        <v>4170</v>
      </c>
      <c r="N1522" s="22"/>
      <c r="O1522" s="22" t="s">
        <v>4171</v>
      </c>
      <c r="P1522" s="22" t="str">
        <f>HYPERLINK("https://ceds.ed.gov/cedselementdetails.aspx?termid=22169")</f>
        <v>https://ceds.ed.gov/cedselementdetails.aspx?termid=22169</v>
      </c>
      <c r="Q1522" s="22">
        <v>61890</v>
      </c>
    </row>
    <row r="1523" spans="1:17" ht="100.8" x14ac:dyDescent="0.3">
      <c r="A1523" s="22" t="s">
        <v>7779</v>
      </c>
      <c r="B1523" s="22" t="s">
        <v>7794</v>
      </c>
      <c r="C1523" s="22" t="s">
        <v>7761</v>
      </c>
      <c r="D1523" s="22" t="s">
        <v>7710</v>
      </c>
      <c r="E1523" s="22" t="s">
        <v>4133</v>
      </c>
      <c r="F1523" s="24" t="s">
        <v>4134</v>
      </c>
      <c r="G1523" s="23" t="s">
        <v>32</v>
      </c>
      <c r="H1523" s="22"/>
      <c r="I1523" s="22"/>
      <c r="J1523" s="22" t="s">
        <v>118</v>
      </c>
      <c r="K1523" s="24"/>
      <c r="L1523" s="24" t="s">
        <v>4135</v>
      </c>
      <c r="M1523" s="25" t="s">
        <v>4136</v>
      </c>
      <c r="N1523" s="22"/>
      <c r="O1523" s="22" t="s">
        <v>4137</v>
      </c>
      <c r="P1523" s="22" t="str">
        <f>HYPERLINK("https://ceds.ed.gov/cedselementdetails.aspx?termid=22170")</f>
        <v>https://ceds.ed.gov/cedselementdetails.aspx?termid=22170</v>
      </c>
      <c r="Q1523" s="22">
        <v>62818</v>
      </c>
    </row>
    <row r="1524" spans="1:17" ht="28.8" x14ac:dyDescent="0.3">
      <c r="A1524" s="22" t="s">
        <v>7779</v>
      </c>
      <c r="B1524" s="22" t="s">
        <v>7794</v>
      </c>
      <c r="C1524" s="22" t="s">
        <v>7761</v>
      </c>
      <c r="D1524" s="22" t="s">
        <v>7710</v>
      </c>
      <c r="E1524" s="22" t="s">
        <v>4129</v>
      </c>
      <c r="F1524" s="24" t="s">
        <v>4130</v>
      </c>
      <c r="G1524" s="23" t="s">
        <v>32</v>
      </c>
      <c r="H1524" s="22"/>
      <c r="I1524" s="22" t="s">
        <v>172</v>
      </c>
      <c r="J1524" s="22" t="s">
        <v>113</v>
      </c>
      <c r="K1524" s="24" t="s">
        <v>8050</v>
      </c>
      <c r="L1524" s="24"/>
      <c r="M1524" s="25" t="s">
        <v>4131</v>
      </c>
      <c r="N1524" s="22"/>
      <c r="O1524" s="22" t="s">
        <v>4132</v>
      </c>
      <c r="P1524" s="22" t="str">
        <f>HYPERLINK("https://ceds.ed.gov/cedselementdetails.aspx?termid=21903")</f>
        <v>https://ceds.ed.gov/cedselementdetails.aspx?termid=21903</v>
      </c>
      <c r="Q1524" s="22">
        <v>61882</v>
      </c>
    </row>
    <row r="1525" spans="1:17" ht="57.6" x14ac:dyDescent="0.3">
      <c r="A1525" s="22" t="s">
        <v>7779</v>
      </c>
      <c r="B1525" s="22" t="s">
        <v>7794</v>
      </c>
      <c r="C1525" s="22" t="s">
        <v>7761</v>
      </c>
      <c r="D1525" s="22" t="s">
        <v>7710</v>
      </c>
      <c r="E1525" s="22" t="s">
        <v>4474</v>
      </c>
      <c r="F1525" s="24" t="s">
        <v>4475</v>
      </c>
      <c r="G1525" s="26" t="s">
        <v>8941</v>
      </c>
      <c r="H1525" s="22"/>
      <c r="I1525" s="22"/>
      <c r="J1525" s="22"/>
      <c r="K1525" s="24"/>
      <c r="L1525" s="24"/>
      <c r="M1525" s="25" t="s">
        <v>4476</v>
      </c>
      <c r="N1525" s="22"/>
      <c r="O1525" s="22" t="s">
        <v>4477</v>
      </c>
      <c r="P1525" s="22" t="str">
        <f>HYPERLINK("https://ceds.ed.gov/cedselementdetails.aspx?termid=22679")</f>
        <v>https://ceds.ed.gov/cedselementdetails.aspx?termid=22679</v>
      </c>
      <c r="Q1525" s="22">
        <v>62939</v>
      </c>
    </row>
    <row r="1526" spans="1:17" ht="43.2" x14ac:dyDescent="0.3">
      <c r="A1526" s="22" t="s">
        <v>7779</v>
      </c>
      <c r="B1526" s="22" t="s">
        <v>7794</v>
      </c>
      <c r="C1526" s="22" t="s">
        <v>7761</v>
      </c>
      <c r="D1526" s="22" t="s">
        <v>7710</v>
      </c>
      <c r="E1526" s="22" t="s">
        <v>4181</v>
      </c>
      <c r="F1526" s="24" t="s">
        <v>4182</v>
      </c>
      <c r="G1526" s="23" t="s">
        <v>32</v>
      </c>
      <c r="H1526" s="22"/>
      <c r="I1526" s="22" t="s">
        <v>172</v>
      </c>
      <c r="J1526" s="22" t="s">
        <v>113</v>
      </c>
      <c r="K1526" s="24" t="s">
        <v>8050</v>
      </c>
      <c r="L1526" s="24"/>
      <c r="M1526" s="25" t="s">
        <v>4183</v>
      </c>
      <c r="N1526" s="22"/>
      <c r="O1526" s="22" t="s">
        <v>4184</v>
      </c>
      <c r="P1526" s="22" t="str">
        <f>HYPERLINK("https://ceds.ed.gov/cedselementdetails.aspx?termid=21902")</f>
        <v>https://ceds.ed.gov/cedselementdetails.aspx?termid=21902</v>
      </c>
      <c r="Q1526" s="22">
        <v>61892</v>
      </c>
    </row>
    <row r="1527" spans="1:17" ht="72" x14ac:dyDescent="0.3">
      <c r="A1527" s="22" t="s">
        <v>7779</v>
      </c>
      <c r="B1527" s="22" t="s">
        <v>7794</v>
      </c>
      <c r="C1527" s="22" t="s">
        <v>7761</v>
      </c>
      <c r="D1527" s="22" t="s">
        <v>7710</v>
      </c>
      <c r="E1527" s="22" t="s">
        <v>2181</v>
      </c>
      <c r="F1527" s="24" t="s">
        <v>2182</v>
      </c>
      <c r="G1527" s="23" t="s">
        <v>32</v>
      </c>
      <c r="H1527" s="22"/>
      <c r="I1527" s="22"/>
      <c r="J1527" s="22" t="s">
        <v>85</v>
      </c>
      <c r="K1527" s="24"/>
      <c r="L1527" s="24" t="s">
        <v>8042</v>
      </c>
      <c r="M1527" s="25" t="s">
        <v>2184</v>
      </c>
      <c r="N1527" s="22" t="s">
        <v>2185</v>
      </c>
      <c r="O1527" s="22" t="s">
        <v>2186</v>
      </c>
      <c r="P1527" s="22" t="str">
        <f>HYPERLINK("https://ceds.ed.gov/cedselementdetails.aspx?termid=21669")</f>
        <v>https://ceds.ed.gov/cedselementdetails.aspx?termid=21669</v>
      </c>
      <c r="Q1527" s="22">
        <v>62794</v>
      </c>
    </row>
    <row r="1528" spans="1:17" ht="201.6" x14ac:dyDescent="0.3">
      <c r="A1528" s="22" t="s">
        <v>7779</v>
      </c>
      <c r="B1528" s="22" t="s">
        <v>7794</v>
      </c>
      <c r="C1528" s="22" t="s">
        <v>7761</v>
      </c>
      <c r="D1528" s="22" t="s">
        <v>7710</v>
      </c>
      <c r="E1528" s="22" t="s">
        <v>2275</v>
      </c>
      <c r="F1528" s="24" t="s">
        <v>2276</v>
      </c>
      <c r="G1528" s="23" t="s">
        <v>32</v>
      </c>
      <c r="H1528" s="22" t="s">
        <v>812</v>
      </c>
      <c r="I1528" s="22"/>
      <c r="J1528" s="22" t="s">
        <v>328</v>
      </c>
      <c r="K1528" s="24"/>
      <c r="L1528" s="24" t="s">
        <v>8046</v>
      </c>
      <c r="M1528" s="25" t="s">
        <v>2277</v>
      </c>
      <c r="N1528" s="22" t="s">
        <v>2278</v>
      </c>
      <c r="O1528" s="22" t="s">
        <v>2279</v>
      </c>
      <c r="P1528" s="22" t="str">
        <f>HYPERLINK("https://ceds.ed.gov/cedselementdetails.aspx?termid=21667")</f>
        <v>https://ceds.ed.gov/cedselementdetails.aspx?termid=21667</v>
      </c>
      <c r="Q1528" s="22">
        <v>62792</v>
      </c>
    </row>
    <row r="1529" spans="1:17" ht="86.4" x14ac:dyDescent="0.3">
      <c r="A1529" s="22" t="s">
        <v>7779</v>
      </c>
      <c r="B1529" s="22" t="s">
        <v>7794</v>
      </c>
      <c r="C1529" s="22" t="s">
        <v>7761</v>
      </c>
      <c r="D1529" s="22" t="s">
        <v>7710</v>
      </c>
      <c r="E1529" s="22" t="s">
        <v>2320</v>
      </c>
      <c r="F1529" s="24" t="s">
        <v>2321</v>
      </c>
      <c r="G1529" s="23" t="s">
        <v>32</v>
      </c>
      <c r="H1529" s="22"/>
      <c r="I1529" s="22"/>
      <c r="J1529" s="22" t="s">
        <v>50</v>
      </c>
      <c r="K1529" s="24"/>
      <c r="L1529" s="24" t="s">
        <v>136</v>
      </c>
      <c r="M1529" s="25" t="s">
        <v>2323</v>
      </c>
      <c r="N1529" s="22" t="s">
        <v>2324</v>
      </c>
      <c r="O1529" s="22" t="s">
        <v>2325</v>
      </c>
      <c r="P1529" s="22" t="str">
        <f>HYPERLINK("https://ceds.ed.gov/cedselementdetails.aspx?termid=21874")</f>
        <v>https://ceds.ed.gov/cedselementdetails.aspx?termid=21874</v>
      </c>
      <c r="Q1529" s="22">
        <v>62803</v>
      </c>
    </row>
    <row r="1530" spans="1:17" ht="43.2" x14ac:dyDescent="0.3">
      <c r="A1530" s="22" t="s">
        <v>7779</v>
      </c>
      <c r="B1530" s="22" t="s">
        <v>7794</v>
      </c>
      <c r="C1530" s="22" t="s">
        <v>7761</v>
      </c>
      <c r="D1530" s="22" t="s">
        <v>7710</v>
      </c>
      <c r="E1530" s="22" t="s">
        <v>4124</v>
      </c>
      <c r="F1530" s="24" t="s">
        <v>4125</v>
      </c>
      <c r="G1530" s="23" t="s">
        <v>32</v>
      </c>
      <c r="H1530" s="22"/>
      <c r="I1530" s="22"/>
      <c r="J1530" s="22" t="s">
        <v>328</v>
      </c>
      <c r="K1530" s="24"/>
      <c r="L1530" s="24"/>
      <c r="M1530" s="25" t="s">
        <v>4127</v>
      </c>
      <c r="N1530" s="22"/>
      <c r="O1530" s="22" t="s">
        <v>4128</v>
      </c>
      <c r="P1530" s="22" t="str">
        <f>HYPERLINK("https://ceds.ed.gov/cedselementdetails.aspx?termid=22671")</f>
        <v>https://ceds.ed.gov/cedselementdetails.aspx?termid=22671</v>
      </c>
      <c r="Q1530" s="22">
        <v>62920</v>
      </c>
    </row>
    <row r="1531" spans="1:17" ht="72" x14ac:dyDescent="0.3">
      <c r="A1531" s="22" t="s">
        <v>7779</v>
      </c>
      <c r="B1531" s="22" t="s">
        <v>7794</v>
      </c>
      <c r="C1531" s="22" t="s">
        <v>7761</v>
      </c>
      <c r="D1531" s="22" t="s">
        <v>7710</v>
      </c>
      <c r="E1531" s="22" t="s">
        <v>4164</v>
      </c>
      <c r="F1531" s="24" t="s">
        <v>4165</v>
      </c>
      <c r="G1531" s="26" t="s">
        <v>8908</v>
      </c>
      <c r="H1531" s="22"/>
      <c r="I1531" s="22"/>
      <c r="J1531" s="22"/>
      <c r="K1531" s="24"/>
      <c r="L1531" s="24"/>
      <c r="M1531" s="25" t="s">
        <v>4166</v>
      </c>
      <c r="N1531" s="22"/>
      <c r="O1531" s="22" t="s">
        <v>4167</v>
      </c>
      <c r="P1531" s="22" t="str">
        <f>HYPERLINK("https://ceds.ed.gov/cedselementdetails.aspx?termid=22678")</f>
        <v>https://ceds.ed.gov/cedselementdetails.aspx?termid=22678</v>
      </c>
      <c r="Q1531" s="22">
        <v>62928</v>
      </c>
    </row>
    <row r="1532" spans="1:17" ht="43.2" x14ac:dyDescent="0.3">
      <c r="A1532" s="22" t="s">
        <v>7779</v>
      </c>
      <c r="B1532" s="22" t="s">
        <v>7794</v>
      </c>
      <c r="C1532" s="22" t="s">
        <v>7761</v>
      </c>
      <c r="D1532" s="22" t="s">
        <v>7710</v>
      </c>
      <c r="E1532" s="22" t="s">
        <v>4156</v>
      </c>
      <c r="F1532" s="24" t="s">
        <v>4157</v>
      </c>
      <c r="G1532" s="23" t="s">
        <v>32</v>
      </c>
      <c r="H1532" s="22"/>
      <c r="I1532" s="22"/>
      <c r="J1532" s="22" t="s">
        <v>328</v>
      </c>
      <c r="K1532" s="24"/>
      <c r="L1532" s="24"/>
      <c r="M1532" s="25" t="s">
        <v>4158</v>
      </c>
      <c r="N1532" s="22"/>
      <c r="O1532" s="22" t="s">
        <v>4159</v>
      </c>
      <c r="P1532" s="22" t="str">
        <f>HYPERLINK("https://ceds.ed.gov/cedselementdetails.aspx?termid=22676")</f>
        <v>https://ceds.ed.gov/cedselementdetails.aspx?termid=22676</v>
      </c>
      <c r="Q1532" s="22">
        <v>62926</v>
      </c>
    </row>
    <row r="1533" spans="1:17" ht="43.2" x14ac:dyDescent="0.3">
      <c r="A1533" s="22" t="s">
        <v>7779</v>
      </c>
      <c r="B1533" s="22" t="s">
        <v>7794</v>
      </c>
      <c r="C1533" s="22" t="s">
        <v>7761</v>
      </c>
      <c r="D1533" s="22" t="s">
        <v>7710</v>
      </c>
      <c r="E1533" s="22" t="s">
        <v>4160</v>
      </c>
      <c r="F1533" s="24" t="s">
        <v>4161</v>
      </c>
      <c r="G1533" s="23" t="s">
        <v>32</v>
      </c>
      <c r="H1533" s="22"/>
      <c r="I1533" s="22"/>
      <c r="J1533" s="22" t="s">
        <v>328</v>
      </c>
      <c r="K1533" s="24"/>
      <c r="L1533" s="24"/>
      <c r="M1533" s="25" t="s">
        <v>4162</v>
      </c>
      <c r="N1533" s="22"/>
      <c r="O1533" s="22" t="s">
        <v>4163</v>
      </c>
      <c r="P1533" s="22" t="str">
        <f>HYPERLINK("https://ceds.ed.gov/cedselementdetails.aspx?termid=22677")</f>
        <v>https://ceds.ed.gov/cedselementdetails.aspx?termid=22677</v>
      </c>
      <c r="Q1533" s="22">
        <v>62927</v>
      </c>
    </row>
    <row r="1534" spans="1:17" ht="28.8" x14ac:dyDescent="0.3">
      <c r="A1534" s="22" t="s">
        <v>7779</v>
      </c>
      <c r="B1534" s="22" t="s">
        <v>7794</v>
      </c>
      <c r="C1534" s="22" t="s">
        <v>7761</v>
      </c>
      <c r="D1534" s="22" t="s">
        <v>7710</v>
      </c>
      <c r="E1534" s="22" t="s">
        <v>4148</v>
      </c>
      <c r="F1534" s="24" t="s">
        <v>4149</v>
      </c>
      <c r="G1534" s="23" t="s">
        <v>32</v>
      </c>
      <c r="H1534" s="22"/>
      <c r="I1534" s="22" t="s">
        <v>172</v>
      </c>
      <c r="J1534" s="22" t="s">
        <v>157</v>
      </c>
      <c r="K1534" s="24" t="s">
        <v>8050</v>
      </c>
      <c r="L1534" s="24"/>
      <c r="M1534" s="25" t="s">
        <v>4150</v>
      </c>
      <c r="N1534" s="22"/>
      <c r="O1534" s="22" t="s">
        <v>4151</v>
      </c>
      <c r="P1534" s="22" t="str">
        <f>HYPERLINK("https://ceds.ed.gov/cedselementdetails.aspx?termid=22674")</f>
        <v>https://ceds.ed.gov/cedselementdetails.aspx?termid=22674</v>
      </c>
      <c r="Q1534" s="22">
        <v>62924</v>
      </c>
    </row>
    <row r="1535" spans="1:17" ht="43.2" x14ac:dyDescent="0.3">
      <c r="A1535" s="22" t="s">
        <v>7779</v>
      </c>
      <c r="B1535" s="22" t="s">
        <v>7794</v>
      </c>
      <c r="C1535" s="22" t="s">
        <v>7761</v>
      </c>
      <c r="D1535" s="22" t="s">
        <v>7710</v>
      </c>
      <c r="E1535" s="22" t="s">
        <v>4138</v>
      </c>
      <c r="F1535" s="24" t="s">
        <v>4139</v>
      </c>
      <c r="G1535" s="23" t="s">
        <v>32</v>
      </c>
      <c r="H1535" s="22"/>
      <c r="I1535" s="22"/>
      <c r="J1535" s="22" t="s">
        <v>4141</v>
      </c>
      <c r="K1535" s="24"/>
      <c r="L1535" s="24"/>
      <c r="M1535" s="25" t="s">
        <v>4142</v>
      </c>
      <c r="N1535" s="22"/>
      <c r="O1535" s="22" t="s">
        <v>4143</v>
      </c>
      <c r="P1535" s="22" t="str">
        <f>HYPERLINK("https://ceds.ed.gov/cedselementdetails.aspx?termid=22672")</f>
        <v>https://ceds.ed.gov/cedselementdetails.aspx?termid=22672</v>
      </c>
      <c r="Q1535" s="22">
        <v>62922</v>
      </c>
    </row>
    <row r="1536" spans="1:17" ht="43.2" x14ac:dyDescent="0.3">
      <c r="A1536" s="22" t="s">
        <v>7779</v>
      </c>
      <c r="B1536" s="22" t="s">
        <v>7794</v>
      </c>
      <c r="C1536" s="22" t="s">
        <v>7761</v>
      </c>
      <c r="D1536" s="22" t="s">
        <v>7710</v>
      </c>
      <c r="E1536" s="22" t="s">
        <v>4144</v>
      </c>
      <c r="F1536" s="24" t="s">
        <v>4145</v>
      </c>
      <c r="G1536" s="23" t="s">
        <v>32</v>
      </c>
      <c r="H1536" s="22"/>
      <c r="I1536" s="22"/>
      <c r="J1536" s="22" t="s">
        <v>1699</v>
      </c>
      <c r="K1536" s="24"/>
      <c r="L1536" s="24"/>
      <c r="M1536" s="25" t="s">
        <v>4146</v>
      </c>
      <c r="N1536" s="22"/>
      <c r="O1536" s="22" t="s">
        <v>4147</v>
      </c>
      <c r="P1536" s="22" t="str">
        <f>HYPERLINK("https://ceds.ed.gov/cedselementdetails.aspx?termid=22673")</f>
        <v>https://ceds.ed.gov/cedselementdetails.aspx?termid=22673</v>
      </c>
      <c r="Q1536" s="22">
        <v>62923</v>
      </c>
    </row>
    <row r="1537" spans="1:17" ht="43.2" x14ac:dyDescent="0.3">
      <c r="A1537" s="22" t="s">
        <v>7779</v>
      </c>
      <c r="B1537" s="22" t="s">
        <v>7794</v>
      </c>
      <c r="C1537" s="22" t="s">
        <v>7761</v>
      </c>
      <c r="D1537" s="22" t="s">
        <v>7710</v>
      </c>
      <c r="E1537" s="22" t="s">
        <v>4152</v>
      </c>
      <c r="F1537" s="24" t="s">
        <v>4153</v>
      </c>
      <c r="G1537" s="23" t="s">
        <v>32</v>
      </c>
      <c r="H1537" s="22"/>
      <c r="I1537" s="22"/>
      <c r="J1537" s="22" t="s">
        <v>1699</v>
      </c>
      <c r="K1537" s="24"/>
      <c r="L1537" s="24"/>
      <c r="M1537" s="25" t="s">
        <v>4154</v>
      </c>
      <c r="N1537" s="22"/>
      <c r="O1537" s="22" t="s">
        <v>4155</v>
      </c>
      <c r="P1537" s="22" t="str">
        <f>HYPERLINK("https://ceds.ed.gov/cedselementdetails.aspx?termid=22675")</f>
        <v>https://ceds.ed.gov/cedselementdetails.aspx?termid=22675</v>
      </c>
      <c r="Q1537" s="22">
        <v>62925</v>
      </c>
    </row>
    <row r="1538" spans="1:17" ht="43.2" x14ac:dyDescent="0.3">
      <c r="A1538" s="22" t="s">
        <v>7779</v>
      </c>
      <c r="B1538" s="22" t="s">
        <v>7794</v>
      </c>
      <c r="C1538" s="22" t="s">
        <v>7809</v>
      </c>
      <c r="D1538" s="22" t="s">
        <v>7710</v>
      </c>
      <c r="E1538" s="22" t="s">
        <v>6688</v>
      </c>
      <c r="F1538" s="24" t="s">
        <v>6689</v>
      </c>
      <c r="G1538" s="23" t="s">
        <v>32</v>
      </c>
      <c r="H1538" s="22"/>
      <c r="I1538" s="22"/>
      <c r="J1538" s="22" t="s">
        <v>118</v>
      </c>
      <c r="K1538" s="24"/>
      <c r="L1538" s="24"/>
      <c r="M1538" s="25" t="s">
        <v>6690</v>
      </c>
      <c r="N1538" s="22"/>
      <c r="O1538" s="22" t="s">
        <v>6691</v>
      </c>
      <c r="P1538" s="22" t="str">
        <f>HYPERLINK("https://ceds.ed.gov/cedselementdetails.aspx?termid=21326")</f>
        <v>https://ceds.ed.gov/cedselementdetails.aspx?termid=21326</v>
      </c>
      <c r="Q1538" s="22">
        <v>62779</v>
      </c>
    </row>
    <row r="1539" spans="1:17" ht="57.6" x14ac:dyDescent="0.3">
      <c r="A1539" s="22" t="s">
        <v>7779</v>
      </c>
      <c r="B1539" s="22" t="s">
        <v>7794</v>
      </c>
      <c r="C1539" s="22" t="s">
        <v>7809</v>
      </c>
      <c r="D1539" s="22" t="s">
        <v>7710</v>
      </c>
      <c r="E1539" s="22" t="s">
        <v>6692</v>
      </c>
      <c r="F1539" s="24" t="s">
        <v>6693</v>
      </c>
      <c r="G1539" s="23" t="s">
        <v>32</v>
      </c>
      <c r="H1539" s="22"/>
      <c r="I1539" s="22"/>
      <c r="J1539" s="22" t="s">
        <v>118</v>
      </c>
      <c r="K1539" s="24"/>
      <c r="L1539" s="24" t="s">
        <v>143</v>
      </c>
      <c r="M1539" s="25" t="s">
        <v>6694</v>
      </c>
      <c r="N1539" s="22"/>
      <c r="O1539" s="22" t="s">
        <v>6695</v>
      </c>
      <c r="P1539" s="22" t="str">
        <f>HYPERLINK("https://ceds.ed.gov/cedselementdetails.aspx?termid=21327")</f>
        <v>https://ceds.ed.gov/cedselementdetails.aspx?termid=21327</v>
      </c>
      <c r="Q1539" s="22">
        <v>62780</v>
      </c>
    </row>
    <row r="1540" spans="1:17" ht="43.2" x14ac:dyDescent="0.3">
      <c r="A1540" s="22" t="s">
        <v>7779</v>
      </c>
      <c r="B1540" s="22" t="s">
        <v>7794</v>
      </c>
      <c r="C1540" s="22" t="s">
        <v>7809</v>
      </c>
      <c r="D1540" s="22" t="s">
        <v>7710</v>
      </c>
      <c r="E1540" s="22" t="s">
        <v>6696</v>
      </c>
      <c r="F1540" s="24" t="s">
        <v>6697</v>
      </c>
      <c r="G1540" s="26" t="s">
        <v>22</v>
      </c>
      <c r="H1540" s="22"/>
      <c r="I1540" s="22"/>
      <c r="J1540" s="22"/>
      <c r="K1540" s="24"/>
      <c r="L1540" s="24"/>
      <c r="M1540" s="25" t="s">
        <v>6698</v>
      </c>
      <c r="N1540" s="22"/>
      <c r="O1540" s="22" t="s">
        <v>6699</v>
      </c>
      <c r="P1540" s="22" t="str">
        <f>HYPERLINK("https://ceds.ed.gov/cedselementdetails.aspx?termid=22698")</f>
        <v>https://ceds.ed.gov/cedselementdetails.aspx?termid=22698</v>
      </c>
      <c r="Q1540" s="22">
        <v>62992</v>
      </c>
    </row>
    <row r="1541" spans="1:17" ht="28.8" x14ac:dyDescent="0.3">
      <c r="A1541" s="22" t="s">
        <v>7779</v>
      </c>
      <c r="B1541" s="22" t="s">
        <v>7794</v>
      </c>
      <c r="C1541" s="22" t="s">
        <v>7809</v>
      </c>
      <c r="D1541" s="22" t="s">
        <v>7710</v>
      </c>
      <c r="E1541" s="22" t="s">
        <v>3065</v>
      </c>
      <c r="F1541" s="24" t="s">
        <v>3066</v>
      </c>
      <c r="G1541" s="23" t="s">
        <v>32</v>
      </c>
      <c r="H1541" s="22"/>
      <c r="I1541" s="22"/>
      <c r="J1541" s="22" t="s">
        <v>118</v>
      </c>
      <c r="K1541" s="24"/>
      <c r="L1541" s="24"/>
      <c r="M1541" s="25" t="s">
        <v>3068</v>
      </c>
      <c r="N1541" s="22"/>
      <c r="O1541" s="22" t="s">
        <v>3069</v>
      </c>
      <c r="P1541" s="22" t="str">
        <f>HYPERLINK("https://ceds.ed.gov/cedselementdetails.aspx?termid=22693")</f>
        <v>https://ceds.ed.gov/cedselementdetails.aspx?termid=22693</v>
      </c>
      <c r="Q1541" s="22">
        <v>62912</v>
      </c>
    </row>
    <row r="1542" spans="1:17" ht="28.8" x14ac:dyDescent="0.3">
      <c r="A1542" s="22" t="s">
        <v>7779</v>
      </c>
      <c r="B1542" s="22" t="s">
        <v>7794</v>
      </c>
      <c r="C1542" s="22" t="s">
        <v>7809</v>
      </c>
      <c r="D1542" s="22" t="s">
        <v>7710</v>
      </c>
      <c r="E1542" s="22" t="s">
        <v>6349</v>
      </c>
      <c r="F1542" s="24" t="s">
        <v>6350</v>
      </c>
      <c r="G1542" s="23" t="s">
        <v>32</v>
      </c>
      <c r="H1542" s="22"/>
      <c r="I1542" s="22"/>
      <c r="J1542" s="22" t="s">
        <v>328</v>
      </c>
      <c r="K1542" s="24"/>
      <c r="L1542" s="24"/>
      <c r="M1542" s="25" t="s">
        <v>6351</v>
      </c>
      <c r="N1542" s="22"/>
      <c r="O1542" s="22" t="s">
        <v>6352</v>
      </c>
      <c r="P1542" s="22" t="str">
        <f>HYPERLINK("https://ceds.ed.gov/cedselementdetails.aspx?termid=22460")</f>
        <v>https://ceds.ed.gov/cedselementdetails.aspx?termid=22460</v>
      </c>
      <c r="Q1542" s="22">
        <v>62834</v>
      </c>
    </row>
    <row r="1543" spans="1:17" ht="28.8" x14ac:dyDescent="0.3">
      <c r="A1543" s="22" t="s">
        <v>7779</v>
      </c>
      <c r="B1543" s="22" t="s">
        <v>7794</v>
      </c>
      <c r="C1543" s="22" t="s">
        <v>7809</v>
      </c>
      <c r="D1543" s="22" t="s">
        <v>7710</v>
      </c>
      <c r="E1543" s="22" t="s">
        <v>3257</v>
      </c>
      <c r="F1543" s="24" t="s">
        <v>3258</v>
      </c>
      <c r="G1543" s="23" t="s">
        <v>32</v>
      </c>
      <c r="H1543" s="22"/>
      <c r="I1543" s="22" t="s">
        <v>172</v>
      </c>
      <c r="J1543" s="22" t="s">
        <v>1699</v>
      </c>
      <c r="K1543" s="24" t="s">
        <v>8050</v>
      </c>
      <c r="L1543" s="24"/>
      <c r="M1543" s="25" t="s">
        <v>3259</v>
      </c>
      <c r="N1543" s="22"/>
      <c r="O1543" s="22" t="s">
        <v>3260</v>
      </c>
      <c r="P1543" s="22" t="str">
        <f>HYPERLINK("https://ceds.ed.gov/cedselementdetails.aspx?termid=22697")</f>
        <v>https://ceds.ed.gov/cedselementdetails.aspx?termid=22697</v>
      </c>
      <c r="Q1543" s="22">
        <v>62913</v>
      </c>
    </row>
    <row r="1544" spans="1:17" ht="100.8" x14ac:dyDescent="0.3">
      <c r="A1544" s="22" t="s">
        <v>7779</v>
      </c>
      <c r="B1544" s="22" t="s">
        <v>7794</v>
      </c>
      <c r="C1544" s="22" t="s">
        <v>7809</v>
      </c>
      <c r="D1544" s="22" t="s">
        <v>7710</v>
      </c>
      <c r="E1544" s="22" t="s">
        <v>4084</v>
      </c>
      <c r="F1544" s="24" t="s">
        <v>4085</v>
      </c>
      <c r="G1544" s="26" t="s">
        <v>8453</v>
      </c>
      <c r="H1544" s="22"/>
      <c r="I1544" s="22" t="s">
        <v>172</v>
      </c>
      <c r="J1544" s="22"/>
      <c r="K1544" s="24" t="s">
        <v>7946</v>
      </c>
      <c r="L1544" s="24"/>
      <c r="M1544" s="25" t="s">
        <v>4086</v>
      </c>
      <c r="N1544" s="22"/>
      <c r="O1544" s="22" t="s">
        <v>4087</v>
      </c>
      <c r="P1544" s="22" t="str">
        <f>HYPERLINK("https://ceds.ed.gov/cedselementdetails.aspx?termid=22694")</f>
        <v>https://ceds.ed.gov/cedselementdetails.aspx?termid=22694</v>
      </c>
      <c r="Q1544" s="22">
        <v>62919</v>
      </c>
    </row>
    <row r="1545" spans="1:17" ht="86.4" x14ac:dyDescent="0.3">
      <c r="A1545" s="22" t="s">
        <v>7779</v>
      </c>
      <c r="B1545" s="22" t="s">
        <v>7794</v>
      </c>
      <c r="C1545" s="22" t="s">
        <v>7809</v>
      </c>
      <c r="D1545" s="22" t="s">
        <v>7710</v>
      </c>
      <c r="E1545" s="22" t="s">
        <v>4077</v>
      </c>
      <c r="F1545" s="24" t="s">
        <v>4078</v>
      </c>
      <c r="G1545" s="23" t="s">
        <v>32</v>
      </c>
      <c r="H1545" s="22"/>
      <c r="I1545" s="22" t="s">
        <v>172</v>
      </c>
      <c r="J1545" s="22" t="s">
        <v>1699</v>
      </c>
      <c r="K1545" s="24" t="s">
        <v>7946</v>
      </c>
      <c r="L1545" s="24"/>
      <c r="M1545" s="25" t="s">
        <v>4079</v>
      </c>
      <c r="N1545" s="22"/>
      <c r="O1545" s="22" t="s">
        <v>4080</v>
      </c>
      <c r="P1545" s="22" t="str">
        <f>HYPERLINK("https://ceds.ed.gov/cedselementdetails.aspx?termid=22696")</f>
        <v>https://ceds.ed.gov/cedselementdetails.aspx?termid=22696</v>
      </c>
      <c r="Q1545" s="22">
        <v>62918</v>
      </c>
    </row>
    <row r="1546" spans="1:17" ht="28.8" x14ac:dyDescent="0.3">
      <c r="A1546" s="22" t="s">
        <v>7779</v>
      </c>
      <c r="B1546" s="22" t="s">
        <v>7794</v>
      </c>
      <c r="C1546" s="22" t="s">
        <v>7809</v>
      </c>
      <c r="D1546" s="22" t="s">
        <v>7710</v>
      </c>
      <c r="E1546" s="22" t="s">
        <v>4073</v>
      </c>
      <c r="F1546" s="24" t="s">
        <v>4074</v>
      </c>
      <c r="G1546" s="23" t="s">
        <v>32</v>
      </c>
      <c r="H1546" s="22"/>
      <c r="I1546" s="22" t="s">
        <v>172</v>
      </c>
      <c r="J1546" s="22" t="s">
        <v>1699</v>
      </c>
      <c r="K1546" s="24" t="s">
        <v>7946</v>
      </c>
      <c r="L1546" s="24"/>
      <c r="M1546" s="25" t="s">
        <v>4075</v>
      </c>
      <c r="N1546" s="22"/>
      <c r="O1546" s="22" t="s">
        <v>4076</v>
      </c>
      <c r="P1546" s="22" t="str">
        <f>HYPERLINK("https://ceds.ed.gov/cedselementdetails.aspx?termid=22695")</f>
        <v>https://ceds.ed.gov/cedselementdetails.aspx?termid=22695</v>
      </c>
      <c r="Q1546" s="22">
        <v>62917</v>
      </c>
    </row>
    <row r="1547" spans="1:17" ht="28.8" x14ac:dyDescent="0.3">
      <c r="A1547" s="22" t="s">
        <v>7779</v>
      </c>
      <c r="B1547" s="22" t="s">
        <v>7794</v>
      </c>
      <c r="C1547" s="22" t="s">
        <v>7809</v>
      </c>
      <c r="D1547" s="22" t="s">
        <v>7710</v>
      </c>
      <c r="E1547" s="22" t="s">
        <v>6712</v>
      </c>
      <c r="F1547" s="24" t="s">
        <v>6713</v>
      </c>
      <c r="G1547" s="23" t="s">
        <v>32</v>
      </c>
      <c r="H1547" s="22"/>
      <c r="I1547" s="22"/>
      <c r="J1547" s="22" t="s">
        <v>328</v>
      </c>
      <c r="K1547" s="24"/>
      <c r="L1547" s="24"/>
      <c r="M1547" s="25" t="s">
        <v>6714</v>
      </c>
      <c r="N1547" s="22"/>
      <c r="O1547" s="22" t="s">
        <v>6715</v>
      </c>
      <c r="P1547" s="22" t="str">
        <f>HYPERLINK("https://ceds.ed.gov/cedselementdetails.aspx?termid=22699")</f>
        <v>https://ceds.ed.gov/cedselementdetails.aspx?termid=22699</v>
      </c>
      <c r="Q1547" s="22">
        <v>62993</v>
      </c>
    </row>
    <row r="1548" spans="1:17" ht="409.6" x14ac:dyDescent="0.3">
      <c r="A1548" s="22" t="s">
        <v>7779</v>
      </c>
      <c r="B1548" s="22" t="s">
        <v>7794</v>
      </c>
      <c r="C1548" s="22" t="s">
        <v>7809</v>
      </c>
      <c r="D1548" s="22" t="s">
        <v>7710</v>
      </c>
      <c r="E1548" s="22" t="s">
        <v>7048</v>
      </c>
      <c r="F1548" s="24" t="s">
        <v>7049</v>
      </c>
      <c r="G1548" s="26" t="s">
        <v>8542</v>
      </c>
      <c r="H1548" s="22"/>
      <c r="I1548" s="22" t="s">
        <v>172</v>
      </c>
      <c r="J1548" s="22"/>
      <c r="K1548" s="24" t="s">
        <v>7946</v>
      </c>
      <c r="L1548" s="24" t="s">
        <v>7050</v>
      </c>
      <c r="M1548" s="25" t="s">
        <v>7051</v>
      </c>
      <c r="N1548" s="22"/>
      <c r="O1548" s="22" t="s">
        <v>7052</v>
      </c>
      <c r="P1548" s="22" t="str">
        <f>HYPERLINK("https://ceds.ed.gov/cedselementdetails.aspx?termid=21273")</f>
        <v>https://ceds.ed.gov/cedselementdetails.aspx?termid=21273</v>
      </c>
      <c r="Q1548" s="22">
        <v>62778</v>
      </c>
    </row>
    <row r="1549" spans="1:17" ht="100.8" x14ac:dyDescent="0.3">
      <c r="A1549" s="22" t="s">
        <v>7779</v>
      </c>
      <c r="B1549" s="22" t="s">
        <v>7794</v>
      </c>
      <c r="C1549" s="22" t="s">
        <v>7809</v>
      </c>
      <c r="D1549" s="22" t="s">
        <v>7741</v>
      </c>
      <c r="E1549" s="22" t="s">
        <v>8333</v>
      </c>
      <c r="F1549" s="24" t="s">
        <v>8334</v>
      </c>
      <c r="G1549" s="26" t="s">
        <v>8383</v>
      </c>
      <c r="H1549" s="22"/>
      <c r="I1549" s="22" t="s">
        <v>167</v>
      </c>
      <c r="J1549" s="22" t="s">
        <v>2</v>
      </c>
      <c r="K1549" s="24" t="s">
        <v>7949</v>
      </c>
      <c r="L1549" s="24"/>
      <c r="M1549" s="25" t="s">
        <v>8373</v>
      </c>
      <c r="N1549" s="22"/>
      <c r="O1549" s="22" t="s">
        <v>8335</v>
      </c>
      <c r="P1549" s="22" t="str">
        <f>HYPERLINK("https://ceds.ed.gov/cedselementdetails.aspx?termid=22994")</f>
        <v>https://ceds.ed.gov/cedselementdetails.aspx?termid=22994</v>
      </c>
      <c r="Q1549" s="22">
        <v>63914</v>
      </c>
    </row>
    <row r="1550" spans="1:17" ht="172.8" x14ac:dyDescent="0.3">
      <c r="A1550" s="22" t="s">
        <v>7779</v>
      </c>
      <c r="B1550" s="22" t="s">
        <v>7794</v>
      </c>
      <c r="C1550" s="22" t="s">
        <v>7810</v>
      </c>
      <c r="D1550" s="22" t="s">
        <v>7710</v>
      </c>
      <c r="E1550" s="22" t="s">
        <v>5683</v>
      </c>
      <c r="F1550" s="24" t="s">
        <v>5684</v>
      </c>
      <c r="G1550" s="23" t="s">
        <v>32</v>
      </c>
      <c r="H1550" s="22" t="s">
        <v>109</v>
      </c>
      <c r="I1550" s="22" t="s">
        <v>172</v>
      </c>
      <c r="J1550" s="22" t="s">
        <v>132</v>
      </c>
      <c r="K1550" s="24" t="s">
        <v>7946</v>
      </c>
      <c r="L1550" s="24" t="s">
        <v>7945</v>
      </c>
      <c r="M1550" s="25" t="s">
        <v>5685</v>
      </c>
      <c r="N1550" s="22"/>
      <c r="O1550" s="22" t="s">
        <v>5686</v>
      </c>
      <c r="P1550" s="22" t="str">
        <f>HYPERLINK("https://ceds.ed.gov/cedselementdetails.aspx?termid=21825")</f>
        <v>https://ceds.ed.gov/cedselementdetails.aspx?termid=21825</v>
      </c>
      <c r="Q1550" s="22">
        <v>62798</v>
      </c>
    </row>
    <row r="1551" spans="1:17" ht="187.2" x14ac:dyDescent="0.3">
      <c r="A1551" s="22" t="s">
        <v>7779</v>
      </c>
      <c r="B1551" s="22" t="s">
        <v>7794</v>
      </c>
      <c r="C1551" s="22" t="s">
        <v>7810</v>
      </c>
      <c r="D1551" s="22" t="s">
        <v>7710</v>
      </c>
      <c r="E1551" s="22" t="s">
        <v>5679</v>
      </c>
      <c r="F1551" s="24" t="s">
        <v>5680</v>
      </c>
      <c r="G1551" s="26" t="s">
        <v>8485</v>
      </c>
      <c r="H1551" s="22" t="s">
        <v>109</v>
      </c>
      <c r="I1551" s="22" t="s">
        <v>172</v>
      </c>
      <c r="J1551" s="22"/>
      <c r="K1551" s="24" t="s">
        <v>7946</v>
      </c>
      <c r="L1551" s="24"/>
      <c r="M1551" s="25" t="s">
        <v>5681</v>
      </c>
      <c r="N1551" s="22"/>
      <c r="O1551" s="22" t="s">
        <v>5682</v>
      </c>
      <c r="P1551" s="22" t="str">
        <f>HYPERLINK("https://ceds.ed.gov/cedselementdetails.aspx?termid=21827")</f>
        <v>https://ceds.ed.gov/cedselementdetails.aspx?termid=21827</v>
      </c>
      <c r="Q1551" s="22">
        <v>62801</v>
      </c>
    </row>
    <row r="1552" spans="1:17" ht="172.8" x14ac:dyDescent="0.3">
      <c r="A1552" s="22" t="s">
        <v>7779</v>
      </c>
      <c r="B1552" s="22" t="s">
        <v>7794</v>
      </c>
      <c r="C1552" s="22" t="s">
        <v>7810</v>
      </c>
      <c r="D1552" s="22" t="s">
        <v>7710</v>
      </c>
      <c r="E1552" s="22" t="s">
        <v>5835</v>
      </c>
      <c r="F1552" s="24" t="s">
        <v>5836</v>
      </c>
      <c r="G1552" s="23" t="s">
        <v>32</v>
      </c>
      <c r="H1552" s="22"/>
      <c r="I1552" s="22" t="s">
        <v>172</v>
      </c>
      <c r="J1552" s="22" t="s">
        <v>132</v>
      </c>
      <c r="K1552" s="24" t="s">
        <v>7946</v>
      </c>
      <c r="L1552" s="24" t="s">
        <v>8043</v>
      </c>
      <c r="M1552" s="25" t="s">
        <v>5837</v>
      </c>
      <c r="N1552" s="22"/>
      <c r="O1552" s="22" t="s">
        <v>5838</v>
      </c>
      <c r="P1552" s="22" t="str">
        <f>HYPERLINK("https://ceds.ed.gov/cedselementdetails.aspx?termid=22551")</f>
        <v>https://ceds.ed.gov/cedselementdetails.aspx?termid=22551</v>
      </c>
      <c r="Q1552" s="22">
        <v>62848</v>
      </c>
    </row>
    <row r="1553" spans="1:17" ht="259.2" x14ac:dyDescent="0.3">
      <c r="A1553" s="22" t="s">
        <v>7779</v>
      </c>
      <c r="B1553" s="22" t="s">
        <v>7794</v>
      </c>
      <c r="C1553" s="22" t="s">
        <v>7810</v>
      </c>
      <c r="D1553" s="22" t="s">
        <v>7710</v>
      </c>
      <c r="E1553" s="22" t="s">
        <v>5831</v>
      </c>
      <c r="F1553" s="24" t="s">
        <v>5832</v>
      </c>
      <c r="G1553" s="26" t="s">
        <v>8494</v>
      </c>
      <c r="H1553" s="22"/>
      <c r="I1553" s="22" t="s">
        <v>172</v>
      </c>
      <c r="J1553" s="22"/>
      <c r="K1553" s="24" t="s">
        <v>7946</v>
      </c>
      <c r="L1553" s="24"/>
      <c r="M1553" s="25" t="s">
        <v>5833</v>
      </c>
      <c r="N1553" s="22"/>
      <c r="O1553" s="22" t="s">
        <v>5834</v>
      </c>
      <c r="P1553" s="22" t="str">
        <f>HYPERLINK("https://ceds.ed.gov/cedselementdetails.aspx?termid=22550")</f>
        <v>https://ceds.ed.gov/cedselementdetails.aspx?termid=22550</v>
      </c>
      <c r="Q1553" s="22">
        <v>62839</v>
      </c>
    </row>
    <row r="1554" spans="1:17" ht="187.2" x14ac:dyDescent="0.3">
      <c r="A1554" s="22" t="s">
        <v>7779</v>
      </c>
      <c r="B1554" s="22" t="s">
        <v>7794</v>
      </c>
      <c r="C1554" s="22" t="s">
        <v>7810</v>
      </c>
      <c r="D1554" s="22" t="s">
        <v>7710</v>
      </c>
      <c r="E1554" s="22" t="s">
        <v>6836</v>
      </c>
      <c r="F1554" s="24" t="s">
        <v>6837</v>
      </c>
      <c r="G1554" s="26" t="s">
        <v>8528</v>
      </c>
      <c r="H1554" s="22" t="s">
        <v>226</v>
      </c>
      <c r="I1554" s="22" t="s">
        <v>172</v>
      </c>
      <c r="J1554" s="22"/>
      <c r="K1554" s="24" t="s">
        <v>7946</v>
      </c>
      <c r="L1554" s="24"/>
      <c r="M1554" s="25" t="s">
        <v>6838</v>
      </c>
      <c r="N1554" s="22"/>
      <c r="O1554" s="22" t="s">
        <v>6839</v>
      </c>
      <c r="P1554" s="22" t="str">
        <f>HYPERLINK("https://ceds.ed.gov/cedselementdetails.aspx?termid=21549")</f>
        <v>https://ceds.ed.gov/cedselementdetails.aspx?termid=21549</v>
      </c>
      <c r="Q1554" s="22">
        <v>62788</v>
      </c>
    </row>
    <row r="1555" spans="1:17" ht="409.6" x14ac:dyDescent="0.3">
      <c r="A1555" s="22" t="s">
        <v>7779</v>
      </c>
      <c r="B1555" s="22" t="s">
        <v>7794</v>
      </c>
      <c r="C1555" s="22" t="s">
        <v>7811</v>
      </c>
      <c r="D1555" s="22" t="s">
        <v>7710</v>
      </c>
      <c r="E1555" s="22" t="s">
        <v>88</v>
      </c>
      <c r="F1555" s="24" t="s">
        <v>89</v>
      </c>
      <c r="G1555" s="26" t="s">
        <v>8567</v>
      </c>
      <c r="H1555" s="24" t="s">
        <v>93</v>
      </c>
      <c r="I1555" s="22"/>
      <c r="J1555" s="22"/>
      <c r="K1555" s="24"/>
      <c r="L1555" s="24"/>
      <c r="M1555" s="25" t="s">
        <v>91</v>
      </c>
      <c r="N1555" s="22"/>
      <c r="O1555" s="22" t="s">
        <v>92</v>
      </c>
      <c r="P1555" s="22" t="str">
        <f>HYPERLINK("https://ceds.ed.gov/cedselementdetails.aspx?termid=21376")</f>
        <v>https://ceds.ed.gov/cedselementdetails.aspx?termid=21376</v>
      </c>
      <c r="Q1555" s="22">
        <v>62783</v>
      </c>
    </row>
    <row r="1556" spans="1:17" ht="43.2" x14ac:dyDescent="0.3">
      <c r="A1556" s="22" t="s">
        <v>7779</v>
      </c>
      <c r="B1556" s="22" t="s">
        <v>7794</v>
      </c>
      <c r="C1556" s="22" t="s">
        <v>7811</v>
      </c>
      <c r="D1556" s="22" t="s">
        <v>7710</v>
      </c>
      <c r="E1556" s="22" t="s">
        <v>82</v>
      </c>
      <c r="F1556" s="24" t="s">
        <v>83</v>
      </c>
      <c r="G1556" s="23" t="s">
        <v>32</v>
      </c>
      <c r="H1556" s="22"/>
      <c r="I1556" s="22"/>
      <c r="J1556" s="22" t="s">
        <v>85</v>
      </c>
      <c r="K1556" s="24"/>
      <c r="L1556" s="24"/>
      <c r="M1556" s="25" t="s">
        <v>86</v>
      </c>
      <c r="N1556" s="22"/>
      <c r="O1556" s="22" t="s">
        <v>87</v>
      </c>
      <c r="P1556" s="22" t="str">
        <f>HYPERLINK("https://ceds.ed.gov/cedselementdetails.aspx?termid=22116")</f>
        <v>https://ceds.ed.gov/cedselementdetails.aspx?termid=22116</v>
      </c>
      <c r="Q1556" s="22">
        <v>62812</v>
      </c>
    </row>
    <row r="1557" spans="1:17" ht="43.2" x14ac:dyDescent="0.3">
      <c r="A1557" s="22" t="s">
        <v>7779</v>
      </c>
      <c r="B1557" s="22" t="s">
        <v>7794</v>
      </c>
      <c r="C1557" s="22" t="s">
        <v>7811</v>
      </c>
      <c r="D1557" s="22" t="s">
        <v>7710</v>
      </c>
      <c r="E1557" s="22" t="s">
        <v>4639</v>
      </c>
      <c r="F1557" s="24" t="s">
        <v>4640</v>
      </c>
      <c r="G1557" s="23" t="s">
        <v>32</v>
      </c>
      <c r="H1557" s="22"/>
      <c r="I1557" s="22"/>
      <c r="J1557" s="22" t="s">
        <v>328</v>
      </c>
      <c r="K1557" s="24"/>
      <c r="L1557" s="24"/>
      <c r="M1557" s="25" t="s">
        <v>4642</v>
      </c>
      <c r="N1557" s="22"/>
      <c r="O1557" s="22" t="s">
        <v>4643</v>
      </c>
      <c r="P1557" s="22" t="str">
        <f>HYPERLINK("https://ceds.ed.gov/cedselementdetails.aspx?termid=22667")</f>
        <v>https://ceds.ed.gov/cedselementdetails.aspx?termid=22667</v>
      </c>
      <c r="Q1557" s="22">
        <v>62949</v>
      </c>
    </row>
    <row r="1558" spans="1:17" ht="43.2" x14ac:dyDescent="0.3">
      <c r="A1558" s="22" t="s">
        <v>7779</v>
      </c>
      <c r="B1558" s="22" t="s">
        <v>7794</v>
      </c>
      <c r="C1558" s="22" t="s">
        <v>7811</v>
      </c>
      <c r="D1558" s="22" t="s">
        <v>7710</v>
      </c>
      <c r="E1558" s="22" t="s">
        <v>4644</v>
      </c>
      <c r="F1558" s="24" t="s">
        <v>4645</v>
      </c>
      <c r="G1558" s="23" t="s">
        <v>32</v>
      </c>
      <c r="H1558" s="22"/>
      <c r="I1558" s="22"/>
      <c r="J1558" s="22" t="s">
        <v>328</v>
      </c>
      <c r="K1558" s="24"/>
      <c r="L1558" s="24"/>
      <c r="M1558" s="25" t="s">
        <v>4646</v>
      </c>
      <c r="N1558" s="22"/>
      <c r="O1558" s="22" t="s">
        <v>4647</v>
      </c>
      <c r="P1558" s="22" t="str">
        <f>HYPERLINK("https://ceds.ed.gov/cedselementdetails.aspx?termid=22666")</f>
        <v>https://ceds.ed.gov/cedselementdetails.aspx?termid=22666</v>
      </c>
      <c r="Q1558" s="22">
        <v>62950</v>
      </c>
    </row>
    <row r="1559" spans="1:17" ht="345.6" x14ac:dyDescent="0.3">
      <c r="A1559" s="22" t="s">
        <v>7779</v>
      </c>
      <c r="B1559" s="22" t="s">
        <v>7794</v>
      </c>
      <c r="C1559" s="22" t="s">
        <v>7811</v>
      </c>
      <c r="D1559" s="22" t="s">
        <v>7710</v>
      </c>
      <c r="E1559" s="22" t="s">
        <v>6599</v>
      </c>
      <c r="F1559" s="24" t="s">
        <v>6600</v>
      </c>
      <c r="G1559" s="26" t="s">
        <v>8518</v>
      </c>
      <c r="H1559" s="22"/>
      <c r="I1559" s="22" t="s">
        <v>172</v>
      </c>
      <c r="J1559" s="22"/>
      <c r="K1559" s="24" t="s">
        <v>7946</v>
      </c>
      <c r="L1559" s="24" t="s">
        <v>8308</v>
      </c>
      <c r="M1559" s="25" t="s">
        <v>6601</v>
      </c>
      <c r="N1559" s="22" t="s">
        <v>6602</v>
      </c>
      <c r="O1559" s="22" t="s">
        <v>6603</v>
      </c>
      <c r="P1559" s="22" t="str">
        <f>HYPERLINK("https://ceds.ed.gov/cedselementdetails.aspx?termid=22491")</f>
        <v>https://ceds.ed.gov/cedselementdetails.aspx?termid=22491</v>
      </c>
      <c r="Q1559" s="22">
        <v>62835</v>
      </c>
    </row>
    <row r="1560" spans="1:17" ht="144" x14ac:dyDescent="0.3">
      <c r="A1560" s="22" t="s">
        <v>7779</v>
      </c>
      <c r="B1560" s="22" t="s">
        <v>7794</v>
      </c>
      <c r="C1560" s="22" t="s">
        <v>7812</v>
      </c>
      <c r="D1560" s="22" t="s">
        <v>7710</v>
      </c>
      <c r="E1560" s="22" t="s">
        <v>1429</v>
      </c>
      <c r="F1560" s="24" t="s">
        <v>1430</v>
      </c>
      <c r="G1560" s="23" t="s">
        <v>32</v>
      </c>
      <c r="H1560" s="24" t="s">
        <v>1424</v>
      </c>
      <c r="I1560" s="22"/>
      <c r="J1560" s="22" t="s">
        <v>157</v>
      </c>
      <c r="K1560" s="24"/>
      <c r="L1560" s="24"/>
      <c r="M1560" s="25" t="s">
        <v>1432</v>
      </c>
      <c r="N1560" s="22"/>
      <c r="O1560" s="22" t="s">
        <v>1433</v>
      </c>
      <c r="P1560" s="22" t="str">
        <f>HYPERLINK("https://ceds.ed.gov/cedselementdetails.aspx?termid=21028")</f>
        <v>https://ceds.ed.gov/cedselementdetails.aspx?termid=21028</v>
      </c>
      <c r="Q1560" s="22">
        <v>62769</v>
      </c>
    </row>
    <row r="1561" spans="1:17" ht="144" x14ac:dyDescent="0.3">
      <c r="A1561" s="22" t="s">
        <v>7779</v>
      </c>
      <c r="B1561" s="22" t="s">
        <v>7794</v>
      </c>
      <c r="C1561" s="22" t="s">
        <v>7812</v>
      </c>
      <c r="D1561" s="22" t="s">
        <v>7710</v>
      </c>
      <c r="E1561" s="22" t="s">
        <v>410</v>
      </c>
      <c r="F1561" s="24" t="s">
        <v>411</v>
      </c>
      <c r="G1561" s="26" t="s">
        <v>8606</v>
      </c>
      <c r="H1561" s="24" t="s">
        <v>93</v>
      </c>
      <c r="I1561" s="22"/>
      <c r="J1561" s="22"/>
      <c r="K1561" s="24"/>
      <c r="L1561" s="24"/>
      <c r="M1561" s="25" t="s">
        <v>413</v>
      </c>
      <c r="N1561" s="22"/>
      <c r="O1561" s="22" t="s">
        <v>414</v>
      </c>
      <c r="P1561" s="22" t="str">
        <f>HYPERLINK("https://ceds.ed.gov/cedselementdetails.aspx?termid=21374")</f>
        <v>https://ceds.ed.gov/cedselementdetails.aspx?termid=21374</v>
      </c>
      <c r="Q1561" s="22">
        <v>62782</v>
      </c>
    </row>
    <row r="1562" spans="1:17" ht="409.6" x14ac:dyDescent="0.3">
      <c r="A1562" s="22" t="s">
        <v>7779</v>
      </c>
      <c r="B1562" s="22" t="s">
        <v>7794</v>
      </c>
      <c r="C1562" s="22" t="s">
        <v>7812</v>
      </c>
      <c r="D1562" s="22" t="s">
        <v>7710</v>
      </c>
      <c r="E1562" s="22" t="s">
        <v>88</v>
      </c>
      <c r="F1562" s="24" t="s">
        <v>89</v>
      </c>
      <c r="G1562" s="26" t="s">
        <v>8567</v>
      </c>
      <c r="H1562" s="24" t="s">
        <v>93</v>
      </c>
      <c r="I1562" s="22"/>
      <c r="J1562" s="22"/>
      <c r="K1562" s="24"/>
      <c r="L1562" s="24"/>
      <c r="M1562" s="25" t="s">
        <v>91</v>
      </c>
      <c r="N1562" s="22"/>
      <c r="O1562" s="22" t="s">
        <v>92</v>
      </c>
      <c r="P1562" s="22" t="str">
        <f>HYPERLINK("https://ceds.ed.gov/cedselementdetails.aspx?termid=21376")</f>
        <v>https://ceds.ed.gov/cedselementdetails.aspx?termid=21376</v>
      </c>
      <c r="Q1562" s="22">
        <v>62784</v>
      </c>
    </row>
    <row r="1563" spans="1:17" ht="43.2" x14ac:dyDescent="0.3">
      <c r="A1563" s="22" t="s">
        <v>7779</v>
      </c>
      <c r="B1563" s="22" t="s">
        <v>7794</v>
      </c>
      <c r="C1563" s="22" t="s">
        <v>7812</v>
      </c>
      <c r="D1563" s="22" t="s">
        <v>7710</v>
      </c>
      <c r="E1563" s="22" t="s">
        <v>82</v>
      </c>
      <c r="F1563" s="24" t="s">
        <v>83</v>
      </c>
      <c r="G1563" s="23" t="s">
        <v>32</v>
      </c>
      <c r="H1563" s="22"/>
      <c r="I1563" s="22"/>
      <c r="J1563" s="22" t="s">
        <v>85</v>
      </c>
      <c r="K1563" s="24"/>
      <c r="L1563" s="24"/>
      <c r="M1563" s="25" t="s">
        <v>86</v>
      </c>
      <c r="N1563" s="22"/>
      <c r="O1563" s="22" t="s">
        <v>87</v>
      </c>
      <c r="P1563" s="22" t="str">
        <f>HYPERLINK("https://ceds.ed.gov/cedselementdetails.aspx?termid=22116")</f>
        <v>https://ceds.ed.gov/cedselementdetails.aspx?termid=22116</v>
      </c>
      <c r="Q1563" s="22">
        <v>62813</v>
      </c>
    </row>
    <row r="1564" spans="1:17" ht="273.60000000000002" x14ac:dyDescent="0.3">
      <c r="A1564" s="22" t="s">
        <v>7779</v>
      </c>
      <c r="B1564" s="22" t="s">
        <v>7794</v>
      </c>
      <c r="C1564" s="22" t="s">
        <v>7812</v>
      </c>
      <c r="D1564" s="22" t="s">
        <v>7710</v>
      </c>
      <c r="E1564" s="22" t="s">
        <v>8019</v>
      </c>
      <c r="F1564" s="24" t="s">
        <v>8020</v>
      </c>
      <c r="G1564" s="26" t="s">
        <v>8403</v>
      </c>
      <c r="H1564" s="24" t="s">
        <v>1234</v>
      </c>
      <c r="I1564" s="22" t="s">
        <v>172</v>
      </c>
      <c r="J1564" s="22"/>
      <c r="K1564" s="24" t="s">
        <v>8021</v>
      </c>
      <c r="L1564" s="24"/>
      <c r="M1564" s="25" t="s">
        <v>1438</v>
      </c>
      <c r="N1564" s="22"/>
      <c r="O1564" s="22" t="s">
        <v>8022</v>
      </c>
      <c r="P1564" s="22" t="str">
        <f>HYPERLINK("https://ceds.ed.gov/cedselementdetails.aspx?termid=21405")</f>
        <v>https://ceds.ed.gov/cedselementdetails.aspx?termid=21405</v>
      </c>
      <c r="Q1564" s="22">
        <v>62785</v>
      </c>
    </row>
    <row r="1565" spans="1:17" ht="57.6" x14ac:dyDescent="0.3">
      <c r="A1565" s="22" t="s">
        <v>7779</v>
      </c>
      <c r="B1565" s="22" t="s">
        <v>7794</v>
      </c>
      <c r="C1565" s="22" t="s">
        <v>7812</v>
      </c>
      <c r="D1565" s="22" t="s">
        <v>7710</v>
      </c>
      <c r="E1565" s="22" t="s">
        <v>4453</v>
      </c>
      <c r="F1565" s="24" t="s">
        <v>4454</v>
      </c>
      <c r="G1565" s="23" t="s">
        <v>32</v>
      </c>
      <c r="H1565" s="22"/>
      <c r="I1565" s="22"/>
      <c r="J1565" s="22" t="s">
        <v>328</v>
      </c>
      <c r="K1565" s="24"/>
      <c r="L1565" s="24"/>
      <c r="M1565" s="25" t="s">
        <v>4456</v>
      </c>
      <c r="N1565" s="22"/>
      <c r="O1565" s="22" t="s">
        <v>4457</v>
      </c>
      <c r="P1565" s="22" t="str">
        <f>HYPERLINK("https://ceds.ed.gov/cedselementdetails.aspx?termid=22668")</f>
        <v>https://ceds.ed.gov/cedselementdetails.aspx?termid=22668</v>
      </c>
      <c r="Q1565" s="22">
        <v>62934</v>
      </c>
    </row>
    <row r="1566" spans="1:17" ht="72" x14ac:dyDescent="0.3">
      <c r="A1566" s="22" t="s">
        <v>7779</v>
      </c>
      <c r="B1566" s="22" t="s">
        <v>7794</v>
      </c>
      <c r="C1566" s="22" t="s">
        <v>7813</v>
      </c>
      <c r="D1566" s="22" t="s">
        <v>7710</v>
      </c>
      <c r="E1566" s="22" t="s">
        <v>4723</v>
      </c>
      <c r="F1566" s="24" t="s">
        <v>4724</v>
      </c>
      <c r="G1566" s="26" t="s">
        <v>8963</v>
      </c>
      <c r="H1566" s="22"/>
      <c r="I1566" s="22"/>
      <c r="J1566" s="22"/>
      <c r="K1566" s="24"/>
      <c r="L1566" s="24"/>
      <c r="M1566" s="25" t="s">
        <v>4726</v>
      </c>
      <c r="N1566" s="22"/>
      <c r="O1566" s="22" t="s">
        <v>4727</v>
      </c>
      <c r="P1566" s="22" t="str">
        <f>HYPERLINK("https://ceds.ed.gov/cedselementdetails.aspx?termid=22682")</f>
        <v>https://ceds.ed.gov/cedselementdetails.aspx?termid=22682</v>
      </c>
      <c r="Q1566" s="22">
        <v>62959</v>
      </c>
    </row>
    <row r="1567" spans="1:17" ht="72" x14ac:dyDescent="0.3">
      <c r="A1567" s="22" t="s">
        <v>7779</v>
      </c>
      <c r="B1567" s="22" t="s">
        <v>7794</v>
      </c>
      <c r="C1567" s="22" t="s">
        <v>7813</v>
      </c>
      <c r="D1567" s="22" t="s">
        <v>7710</v>
      </c>
      <c r="E1567" s="22" t="s">
        <v>4710</v>
      </c>
      <c r="F1567" s="24" t="s">
        <v>4711</v>
      </c>
      <c r="G1567" s="23" t="s">
        <v>32</v>
      </c>
      <c r="H1567" s="22"/>
      <c r="I1567" s="22"/>
      <c r="J1567" s="22" t="s">
        <v>118</v>
      </c>
      <c r="K1567" s="24"/>
      <c r="L1567" s="24"/>
      <c r="M1567" s="25" t="s">
        <v>4713</v>
      </c>
      <c r="N1567" s="22"/>
      <c r="O1567" s="22" t="s">
        <v>4714</v>
      </c>
      <c r="P1567" s="22" t="str">
        <f>HYPERLINK("https://ceds.ed.gov/cedselementdetails.aspx?termid=22680")</f>
        <v>https://ceds.ed.gov/cedselementdetails.aspx?termid=22680</v>
      </c>
      <c r="Q1567" s="22">
        <v>62955</v>
      </c>
    </row>
    <row r="1568" spans="1:17" ht="72" x14ac:dyDescent="0.3">
      <c r="A1568" s="22" t="s">
        <v>7779</v>
      </c>
      <c r="B1568" s="22" t="s">
        <v>7794</v>
      </c>
      <c r="C1568" s="22" t="s">
        <v>7813</v>
      </c>
      <c r="D1568" s="22" t="s">
        <v>7710</v>
      </c>
      <c r="E1568" s="22" t="s">
        <v>4715</v>
      </c>
      <c r="F1568" s="24" t="s">
        <v>4716</v>
      </c>
      <c r="G1568" s="23" t="s">
        <v>32</v>
      </c>
      <c r="H1568" s="22"/>
      <c r="I1568" s="22"/>
      <c r="J1568" s="22" t="s">
        <v>328</v>
      </c>
      <c r="K1568" s="24"/>
      <c r="L1568" s="24"/>
      <c r="M1568" s="25" t="s">
        <v>4717</v>
      </c>
      <c r="N1568" s="22"/>
      <c r="O1568" s="22" t="s">
        <v>4718</v>
      </c>
      <c r="P1568" s="22" t="str">
        <f>HYPERLINK("https://ceds.ed.gov/cedselementdetails.aspx?termid=22681")</f>
        <v>https://ceds.ed.gov/cedselementdetails.aspx?termid=22681</v>
      </c>
      <c r="Q1568" s="22">
        <v>62956</v>
      </c>
    </row>
    <row r="1569" spans="1:17" ht="57.6" x14ac:dyDescent="0.3">
      <c r="A1569" s="22" t="s">
        <v>7779</v>
      </c>
      <c r="B1569" s="22" t="s">
        <v>7794</v>
      </c>
      <c r="C1569" s="22" t="s">
        <v>7814</v>
      </c>
      <c r="D1569" s="22" t="s">
        <v>7710</v>
      </c>
      <c r="E1569" s="22" t="s">
        <v>4474</v>
      </c>
      <c r="F1569" s="24" t="s">
        <v>4475</v>
      </c>
      <c r="G1569" s="26" t="s">
        <v>8941</v>
      </c>
      <c r="H1569" s="22"/>
      <c r="I1569" s="22"/>
      <c r="J1569" s="22"/>
      <c r="K1569" s="24"/>
      <c r="L1569" s="24"/>
      <c r="M1569" s="25" t="s">
        <v>4476</v>
      </c>
      <c r="N1569" s="22"/>
      <c r="O1569" s="22" t="s">
        <v>4477</v>
      </c>
      <c r="P1569" s="22" t="str">
        <f>HYPERLINK("https://ceds.ed.gov/cedselementdetails.aspx?termid=22679")</f>
        <v>https://ceds.ed.gov/cedselementdetails.aspx?termid=22679</v>
      </c>
      <c r="Q1569" s="22">
        <v>62940</v>
      </c>
    </row>
    <row r="1570" spans="1:17" ht="28.8" x14ac:dyDescent="0.3">
      <c r="A1570" s="22" t="s">
        <v>7779</v>
      </c>
      <c r="B1570" s="22" t="s">
        <v>7794</v>
      </c>
      <c r="C1570" s="22" t="s">
        <v>7814</v>
      </c>
      <c r="D1570" s="22" t="s">
        <v>7710</v>
      </c>
      <c r="E1570" s="22" t="s">
        <v>4129</v>
      </c>
      <c r="F1570" s="24" t="s">
        <v>4130</v>
      </c>
      <c r="G1570" s="23" t="s">
        <v>32</v>
      </c>
      <c r="H1570" s="22"/>
      <c r="I1570" s="22" t="s">
        <v>172</v>
      </c>
      <c r="J1570" s="22" t="s">
        <v>113</v>
      </c>
      <c r="K1570" s="24" t="s">
        <v>8050</v>
      </c>
      <c r="L1570" s="24"/>
      <c r="M1570" s="25" t="s">
        <v>4131</v>
      </c>
      <c r="N1570" s="22"/>
      <c r="O1570" s="22" t="s">
        <v>4132</v>
      </c>
      <c r="P1570" s="22" t="str">
        <f>HYPERLINK("https://ceds.ed.gov/cedselementdetails.aspx?termid=21903")</f>
        <v>https://ceds.ed.gov/cedselementdetails.aspx?termid=21903</v>
      </c>
      <c r="Q1570" s="22">
        <v>62809</v>
      </c>
    </row>
    <row r="1571" spans="1:17" ht="28.8" x14ac:dyDescent="0.3">
      <c r="A1571" s="22" t="s">
        <v>7779</v>
      </c>
      <c r="B1571" s="22" t="s">
        <v>7794</v>
      </c>
      <c r="C1571" s="22" t="s">
        <v>7814</v>
      </c>
      <c r="D1571" s="22" t="s">
        <v>7710</v>
      </c>
      <c r="E1571" s="22" t="s">
        <v>4168</v>
      </c>
      <c r="F1571" s="24" t="s">
        <v>4169</v>
      </c>
      <c r="G1571" s="23" t="s">
        <v>32</v>
      </c>
      <c r="H1571" s="22"/>
      <c r="I1571" s="22"/>
      <c r="J1571" s="22" t="s">
        <v>118</v>
      </c>
      <c r="K1571" s="24"/>
      <c r="L1571" s="24"/>
      <c r="M1571" s="25" t="s">
        <v>4170</v>
      </c>
      <c r="N1571" s="22"/>
      <c r="O1571" s="22" t="s">
        <v>4171</v>
      </c>
      <c r="P1571" s="22" t="str">
        <f>HYPERLINK("https://ceds.ed.gov/cedselementdetails.aspx?termid=22169")</f>
        <v>https://ceds.ed.gov/cedselementdetails.aspx?termid=22169</v>
      </c>
      <c r="Q1571" s="22">
        <v>62816</v>
      </c>
    </row>
    <row r="1572" spans="1:17" ht="100.8" x14ac:dyDescent="0.3">
      <c r="A1572" s="22" t="s">
        <v>7779</v>
      </c>
      <c r="B1572" s="22" t="s">
        <v>7794</v>
      </c>
      <c r="C1572" s="22" t="s">
        <v>7814</v>
      </c>
      <c r="D1572" s="22" t="s">
        <v>7710</v>
      </c>
      <c r="E1572" s="22" t="s">
        <v>4133</v>
      </c>
      <c r="F1572" s="24" t="s">
        <v>4134</v>
      </c>
      <c r="G1572" s="23" t="s">
        <v>32</v>
      </c>
      <c r="H1572" s="22"/>
      <c r="I1572" s="22"/>
      <c r="J1572" s="22" t="s">
        <v>118</v>
      </c>
      <c r="K1572" s="24"/>
      <c r="L1572" s="24" t="s">
        <v>4135</v>
      </c>
      <c r="M1572" s="25" t="s">
        <v>4136</v>
      </c>
      <c r="N1572" s="22"/>
      <c r="O1572" s="22" t="s">
        <v>4137</v>
      </c>
      <c r="P1572" s="22" t="str">
        <f>HYPERLINK("https://ceds.ed.gov/cedselementdetails.aspx?termid=22170")</f>
        <v>https://ceds.ed.gov/cedselementdetails.aspx?termid=22170</v>
      </c>
      <c r="Q1572" s="22">
        <v>62819</v>
      </c>
    </row>
    <row r="1573" spans="1:17" ht="43.2" x14ac:dyDescent="0.3">
      <c r="A1573" s="22" t="s">
        <v>7779</v>
      </c>
      <c r="B1573" s="22" t="s">
        <v>7794</v>
      </c>
      <c r="C1573" s="22" t="s">
        <v>7814</v>
      </c>
      <c r="D1573" s="22" t="s">
        <v>7710</v>
      </c>
      <c r="E1573" s="22" t="s">
        <v>4172</v>
      </c>
      <c r="F1573" s="24" t="s">
        <v>4173</v>
      </c>
      <c r="G1573" s="23" t="s">
        <v>32</v>
      </c>
      <c r="H1573" s="22"/>
      <c r="I1573" s="22"/>
      <c r="J1573" s="22" t="s">
        <v>328</v>
      </c>
      <c r="K1573" s="24"/>
      <c r="L1573" s="24"/>
      <c r="M1573" s="25" t="s">
        <v>4175</v>
      </c>
      <c r="N1573" s="22"/>
      <c r="O1573" s="22" t="s">
        <v>4176</v>
      </c>
      <c r="P1573" s="22" t="str">
        <f>HYPERLINK("https://ceds.ed.gov/cedselementdetails.aspx?termid=22684")</f>
        <v>https://ceds.ed.gov/cedselementdetails.aspx?termid=22684</v>
      </c>
      <c r="Q1573" s="22">
        <v>62929</v>
      </c>
    </row>
    <row r="1574" spans="1:17" ht="72" x14ac:dyDescent="0.3">
      <c r="A1574" s="22" t="s">
        <v>7779</v>
      </c>
      <c r="B1574" s="22" t="s">
        <v>7794</v>
      </c>
      <c r="C1574" s="22" t="s">
        <v>7814</v>
      </c>
      <c r="D1574" s="22" t="s">
        <v>7710</v>
      </c>
      <c r="E1574" s="22" t="s">
        <v>4177</v>
      </c>
      <c r="F1574" s="24" t="s">
        <v>4178</v>
      </c>
      <c r="G1574" s="26" t="s">
        <v>8909</v>
      </c>
      <c r="H1574" s="22"/>
      <c r="I1574" s="22"/>
      <c r="J1574" s="22"/>
      <c r="K1574" s="24"/>
      <c r="L1574" s="24"/>
      <c r="M1574" s="25" t="s">
        <v>4179</v>
      </c>
      <c r="N1574" s="22"/>
      <c r="O1574" s="22" t="s">
        <v>4180</v>
      </c>
      <c r="P1574" s="22" t="str">
        <f>HYPERLINK("https://ceds.ed.gov/cedselementdetails.aspx?termid=22683")</f>
        <v>https://ceds.ed.gov/cedselementdetails.aspx?termid=22683</v>
      </c>
      <c r="Q1574" s="22">
        <v>62930</v>
      </c>
    </row>
    <row r="1575" spans="1:17" ht="43.2" x14ac:dyDescent="0.3">
      <c r="A1575" s="22" t="s">
        <v>7779</v>
      </c>
      <c r="B1575" s="22" t="s">
        <v>7794</v>
      </c>
      <c r="C1575" s="22" t="s">
        <v>7814</v>
      </c>
      <c r="D1575" s="22" t="s">
        <v>7710</v>
      </c>
      <c r="E1575" s="22" t="s">
        <v>4124</v>
      </c>
      <c r="F1575" s="24" t="s">
        <v>4125</v>
      </c>
      <c r="G1575" s="23" t="s">
        <v>32</v>
      </c>
      <c r="H1575" s="22"/>
      <c r="I1575" s="22"/>
      <c r="J1575" s="22" t="s">
        <v>328</v>
      </c>
      <c r="K1575" s="24"/>
      <c r="L1575" s="24"/>
      <c r="M1575" s="25" t="s">
        <v>4127</v>
      </c>
      <c r="N1575" s="22"/>
      <c r="O1575" s="22" t="s">
        <v>4128</v>
      </c>
      <c r="P1575" s="22" t="str">
        <f>HYPERLINK("https://ceds.ed.gov/cedselementdetails.aspx?termid=22671")</f>
        <v>https://ceds.ed.gov/cedselementdetails.aspx?termid=22671</v>
      </c>
      <c r="Q1575" s="22">
        <v>62921</v>
      </c>
    </row>
    <row r="1576" spans="1:17" ht="43.2" x14ac:dyDescent="0.3">
      <c r="A1576" s="22" t="s">
        <v>7779</v>
      </c>
      <c r="B1576" s="22" t="s">
        <v>7794</v>
      </c>
      <c r="C1576" s="22" t="s">
        <v>7814</v>
      </c>
      <c r="D1576" s="22" t="s">
        <v>7710</v>
      </c>
      <c r="E1576" s="22" t="s">
        <v>4181</v>
      </c>
      <c r="F1576" s="24" t="s">
        <v>4182</v>
      </c>
      <c r="G1576" s="23" t="s">
        <v>32</v>
      </c>
      <c r="H1576" s="22"/>
      <c r="I1576" s="22" t="s">
        <v>172</v>
      </c>
      <c r="J1576" s="22" t="s">
        <v>113</v>
      </c>
      <c r="K1576" s="24" t="s">
        <v>8050</v>
      </c>
      <c r="L1576" s="24"/>
      <c r="M1576" s="25" t="s">
        <v>4183</v>
      </c>
      <c r="N1576" s="22"/>
      <c r="O1576" s="22" t="s">
        <v>4184</v>
      </c>
      <c r="P1576" s="22" t="str">
        <f>HYPERLINK("https://ceds.ed.gov/cedselementdetails.aspx?termid=21902")</f>
        <v>https://ceds.ed.gov/cedselementdetails.aspx?termid=21902</v>
      </c>
      <c r="Q1576" s="22">
        <v>62808</v>
      </c>
    </row>
    <row r="1577" spans="1:17" ht="72" x14ac:dyDescent="0.3">
      <c r="A1577" s="22" t="s">
        <v>7779</v>
      </c>
      <c r="B1577" s="22" t="s">
        <v>7794</v>
      </c>
      <c r="C1577" s="22" t="s">
        <v>7814</v>
      </c>
      <c r="D1577" s="22" t="s">
        <v>7710</v>
      </c>
      <c r="E1577" s="22" t="s">
        <v>2181</v>
      </c>
      <c r="F1577" s="24" t="s">
        <v>2182</v>
      </c>
      <c r="G1577" s="23" t="s">
        <v>32</v>
      </c>
      <c r="H1577" s="22"/>
      <c r="I1577" s="22"/>
      <c r="J1577" s="22" t="s">
        <v>85</v>
      </c>
      <c r="K1577" s="24"/>
      <c r="L1577" s="24" t="s">
        <v>8042</v>
      </c>
      <c r="M1577" s="25" t="s">
        <v>2184</v>
      </c>
      <c r="N1577" s="22" t="s">
        <v>2185</v>
      </c>
      <c r="O1577" s="22" t="s">
        <v>2186</v>
      </c>
      <c r="P1577" s="22" t="str">
        <f>HYPERLINK("https://ceds.ed.gov/cedselementdetails.aspx?termid=21669")</f>
        <v>https://ceds.ed.gov/cedselementdetails.aspx?termid=21669</v>
      </c>
      <c r="Q1577" s="22">
        <v>62795</v>
      </c>
    </row>
    <row r="1578" spans="1:17" ht="201.6" x14ac:dyDescent="0.3">
      <c r="A1578" s="22" t="s">
        <v>7779</v>
      </c>
      <c r="B1578" s="22" t="s">
        <v>7794</v>
      </c>
      <c r="C1578" s="22" t="s">
        <v>7814</v>
      </c>
      <c r="D1578" s="22" t="s">
        <v>7710</v>
      </c>
      <c r="E1578" s="22" t="s">
        <v>2275</v>
      </c>
      <c r="F1578" s="24" t="s">
        <v>2276</v>
      </c>
      <c r="G1578" s="23" t="s">
        <v>32</v>
      </c>
      <c r="H1578" s="22" t="s">
        <v>812</v>
      </c>
      <c r="I1578" s="22"/>
      <c r="J1578" s="22" t="s">
        <v>328</v>
      </c>
      <c r="K1578" s="24"/>
      <c r="L1578" s="24" t="s">
        <v>8046</v>
      </c>
      <c r="M1578" s="25" t="s">
        <v>2277</v>
      </c>
      <c r="N1578" s="22" t="s">
        <v>2278</v>
      </c>
      <c r="O1578" s="22" t="s">
        <v>2279</v>
      </c>
      <c r="P1578" s="22" t="str">
        <f>HYPERLINK("https://ceds.ed.gov/cedselementdetails.aspx?termid=21667")</f>
        <v>https://ceds.ed.gov/cedselementdetails.aspx?termid=21667</v>
      </c>
      <c r="Q1578" s="22">
        <v>62793</v>
      </c>
    </row>
    <row r="1579" spans="1:17" ht="86.4" x14ac:dyDescent="0.3">
      <c r="A1579" s="22" t="s">
        <v>7779</v>
      </c>
      <c r="B1579" s="22" t="s">
        <v>7794</v>
      </c>
      <c r="C1579" s="22" t="s">
        <v>7814</v>
      </c>
      <c r="D1579" s="22" t="s">
        <v>7710</v>
      </c>
      <c r="E1579" s="22" t="s">
        <v>2320</v>
      </c>
      <c r="F1579" s="24" t="s">
        <v>2321</v>
      </c>
      <c r="G1579" s="23" t="s">
        <v>32</v>
      </c>
      <c r="H1579" s="22"/>
      <c r="I1579" s="22"/>
      <c r="J1579" s="22" t="s">
        <v>50</v>
      </c>
      <c r="K1579" s="24"/>
      <c r="L1579" s="24" t="s">
        <v>136</v>
      </c>
      <c r="M1579" s="25" t="s">
        <v>2323</v>
      </c>
      <c r="N1579" s="22" t="s">
        <v>2324</v>
      </c>
      <c r="O1579" s="22" t="s">
        <v>2325</v>
      </c>
      <c r="P1579" s="22" t="str">
        <f>HYPERLINK("https://ceds.ed.gov/cedselementdetails.aspx?termid=21874")</f>
        <v>https://ceds.ed.gov/cedselementdetails.aspx?termid=21874</v>
      </c>
      <c r="Q1579" s="22">
        <v>62804</v>
      </c>
    </row>
    <row r="1580" spans="1:17" ht="28.8" x14ac:dyDescent="0.3">
      <c r="A1580" s="22" t="s">
        <v>7779</v>
      </c>
      <c r="B1580" s="22" t="s">
        <v>7794</v>
      </c>
      <c r="C1580" s="22" t="s">
        <v>7815</v>
      </c>
      <c r="D1580" s="22" t="s">
        <v>7710</v>
      </c>
      <c r="E1580" s="22" t="s">
        <v>4677</v>
      </c>
      <c r="F1580" s="24" t="s">
        <v>4678</v>
      </c>
      <c r="G1580" s="23" t="s">
        <v>32</v>
      </c>
      <c r="H1580" s="22"/>
      <c r="I1580" s="22"/>
      <c r="J1580" s="22" t="s">
        <v>328</v>
      </c>
      <c r="K1580" s="24"/>
      <c r="L1580" s="24"/>
      <c r="M1580" s="25" t="s">
        <v>4680</v>
      </c>
      <c r="N1580" s="22"/>
      <c r="O1580" s="22" t="s">
        <v>4681</v>
      </c>
      <c r="P1580" s="22" t="str">
        <f>HYPERLINK("https://ceds.ed.gov/cedselementdetails.aspx?termid=22670")</f>
        <v>https://ceds.ed.gov/cedselementdetails.aspx?termid=22670</v>
      </c>
      <c r="Q1580" s="22">
        <v>62951</v>
      </c>
    </row>
    <row r="1581" spans="1:17" ht="43.2" x14ac:dyDescent="0.3">
      <c r="A1581" s="22" t="s">
        <v>7779</v>
      </c>
      <c r="B1581" s="22" t="s">
        <v>7794</v>
      </c>
      <c r="C1581" s="22" t="s">
        <v>7815</v>
      </c>
      <c r="D1581" s="22" t="s">
        <v>7710</v>
      </c>
      <c r="E1581" s="22" t="s">
        <v>4682</v>
      </c>
      <c r="F1581" s="24" t="s">
        <v>4683</v>
      </c>
      <c r="G1581" s="23" t="s">
        <v>32</v>
      </c>
      <c r="H1581" s="22"/>
      <c r="I1581" s="22"/>
      <c r="J1581" s="22" t="s">
        <v>328</v>
      </c>
      <c r="K1581" s="24"/>
      <c r="L1581" s="24"/>
      <c r="M1581" s="25" t="s">
        <v>4684</v>
      </c>
      <c r="N1581" s="22"/>
      <c r="O1581" s="22" t="s">
        <v>4685</v>
      </c>
      <c r="P1581" s="22" t="str">
        <f>HYPERLINK("https://ceds.ed.gov/cedselementdetails.aspx?termid=22669")</f>
        <v>https://ceds.ed.gov/cedselementdetails.aspx?termid=22669</v>
      </c>
      <c r="Q1581" s="22">
        <v>62952</v>
      </c>
    </row>
    <row r="1582" spans="1:17" ht="409.6" x14ac:dyDescent="0.3">
      <c r="A1582" s="22" t="s">
        <v>7779</v>
      </c>
      <c r="B1582" s="22" t="s">
        <v>7794</v>
      </c>
      <c r="C1582" s="22" t="s">
        <v>7816</v>
      </c>
      <c r="D1582" s="22" t="s">
        <v>7710</v>
      </c>
      <c r="E1582" s="22" t="s">
        <v>3187</v>
      </c>
      <c r="F1582" s="24" t="s">
        <v>3188</v>
      </c>
      <c r="G1582" s="26" t="s">
        <v>8801</v>
      </c>
      <c r="H1582" s="22" t="s">
        <v>25</v>
      </c>
      <c r="I1582" s="22"/>
      <c r="J1582" s="22"/>
      <c r="K1582" s="24"/>
      <c r="L1582" s="24"/>
      <c r="M1582" s="25" t="s">
        <v>3189</v>
      </c>
      <c r="N1582" s="22"/>
      <c r="O1582" s="22" t="s">
        <v>3190</v>
      </c>
      <c r="P1582" s="22" t="str">
        <f>HYPERLINK("https://ceds.ed.gov/cedselementdetails.aspx?termid=21479")</f>
        <v>https://ceds.ed.gov/cedselementdetails.aspx?termid=21479</v>
      </c>
      <c r="Q1582" s="22">
        <v>59855</v>
      </c>
    </row>
    <row r="1583" spans="1:17" ht="115.2" x14ac:dyDescent="0.3">
      <c r="A1583" s="22" t="s">
        <v>7779</v>
      </c>
      <c r="B1583" s="22" t="s">
        <v>7794</v>
      </c>
      <c r="C1583" s="22" t="s">
        <v>7816</v>
      </c>
      <c r="D1583" s="22" t="s">
        <v>7710</v>
      </c>
      <c r="E1583" s="22" t="s">
        <v>3203</v>
      </c>
      <c r="F1583" s="24" t="s">
        <v>3204</v>
      </c>
      <c r="G1583" s="26" t="s">
        <v>8805</v>
      </c>
      <c r="H1583" s="22" t="s">
        <v>226</v>
      </c>
      <c r="I1583" s="22"/>
      <c r="J1583" s="22"/>
      <c r="K1583" s="24"/>
      <c r="L1583" s="24"/>
      <c r="M1583" s="25" t="s">
        <v>3205</v>
      </c>
      <c r="N1583" s="22"/>
      <c r="O1583" s="22" t="s">
        <v>3206</v>
      </c>
      <c r="P1583" s="22" t="str">
        <f>HYPERLINK("https://ceds.ed.gov/cedselementdetails.aspx?termid=21536")</f>
        <v>https://ceds.ed.gov/cedselementdetails.aspx?termid=21536</v>
      </c>
      <c r="Q1583" s="22">
        <v>59869</v>
      </c>
    </row>
    <row r="1584" spans="1:17" ht="28.8" x14ac:dyDescent="0.3">
      <c r="A1584" s="22" t="s">
        <v>7779</v>
      </c>
      <c r="B1584" s="22" t="s">
        <v>7794</v>
      </c>
      <c r="C1584" s="22" t="s">
        <v>7816</v>
      </c>
      <c r="D1584" s="22" t="s">
        <v>7710</v>
      </c>
      <c r="E1584" s="22" t="s">
        <v>3183</v>
      </c>
      <c r="F1584" s="24" t="s">
        <v>3184</v>
      </c>
      <c r="G1584" s="23" t="s">
        <v>32</v>
      </c>
      <c r="H1584" s="22" t="s">
        <v>25</v>
      </c>
      <c r="I1584" s="22"/>
      <c r="J1584" s="22" t="s">
        <v>118</v>
      </c>
      <c r="K1584" s="24"/>
      <c r="L1584" s="24"/>
      <c r="M1584" s="25" t="s">
        <v>3185</v>
      </c>
      <c r="N1584" s="22"/>
      <c r="O1584" s="22" t="s">
        <v>3186</v>
      </c>
      <c r="P1584" s="22" t="str">
        <f>HYPERLINK("https://ceds.ed.gov/cedselementdetails.aspx?termid=21083")</f>
        <v>https://ceds.ed.gov/cedselementdetails.aspx?termid=21083</v>
      </c>
      <c r="Q1584" s="22">
        <v>59739</v>
      </c>
    </row>
    <row r="1585" spans="1:17" ht="57.6" x14ac:dyDescent="0.3">
      <c r="A1585" s="22" t="s">
        <v>7779</v>
      </c>
      <c r="B1585" s="22" t="s">
        <v>7794</v>
      </c>
      <c r="C1585" s="22" t="s">
        <v>7816</v>
      </c>
      <c r="D1585" s="22" t="s">
        <v>7710</v>
      </c>
      <c r="E1585" s="22" t="s">
        <v>3173</v>
      </c>
      <c r="F1585" s="24" t="s">
        <v>3174</v>
      </c>
      <c r="G1585" s="23" t="s">
        <v>32</v>
      </c>
      <c r="H1585" s="22" t="s">
        <v>25</v>
      </c>
      <c r="I1585" s="22"/>
      <c r="J1585" s="22" t="s">
        <v>118</v>
      </c>
      <c r="K1585" s="24"/>
      <c r="L1585" s="24" t="s">
        <v>143</v>
      </c>
      <c r="M1585" s="25" t="s">
        <v>3176</v>
      </c>
      <c r="N1585" s="22"/>
      <c r="O1585" s="22" t="s">
        <v>3177</v>
      </c>
      <c r="P1585" s="22" t="str">
        <f>HYPERLINK("https://ceds.ed.gov/cedselementdetails.aspx?termid=21082")</f>
        <v>https://ceds.ed.gov/cedselementdetails.aspx?termid=21082</v>
      </c>
      <c r="Q1585" s="22">
        <v>59738</v>
      </c>
    </row>
    <row r="1586" spans="1:17" ht="28.8" x14ac:dyDescent="0.3">
      <c r="A1586" s="22" t="s">
        <v>7779</v>
      </c>
      <c r="B1586" s="22" t="s">
        <v>7794</v>
      </c>
      <c r="C1586" s="22" t="s">
        <v>7816</v>
      </c>
      <c r="D1586" s="22" t="s">
        <v>7710</v>
      </c>
      <c r="E1586" s="22" t="s">
        <v>3261</v>
      </c>
      <c r="F1586" s="24" t="s">
        <v>3262</v>
      </c>
      <c r="G1586" s="23" t="s">
        <v>32</v>
      </c>
      <c r="H1586" s="22"/>
      <c r="I1586" s="22"/>
      <c r="J1586" s="22" t="s">
        <v>1518</v>
      </c>
      <c r="K1586" s="24"/>
      <c r="L1586" s="24"/>
      <c r="M1586" s="25" t="s">
        <v>3263</v>
      </c>
      <c r="N1586" s="22"/>
      <c r="O1586" s="22" t="s">
        <v>3264</v>
      </c>
      <c r="P1586" s="22" t="str">
        <f>HYPERLINK("https://ceds.ed.gov/cedselementdetails.aspx?termid=21502")</f>
        <v>https://ceds.ed.gov/cedselementdetails.aspx?termid=21502</v>
      </c>
      <c r="Q1586" s="22">
        <v>59856</v>
      </c>
    </row>
    <row r="1587" spans="1:17" ht="57.6" x14ac:dyDescent="0.3">
      <c r="A1587" s="22" t="s">
        <v>7779</v>
      </c>
      <c r="B1587" s="22" t="s">
        <v>7794</v>
      </c>
      <c r="C1587" s="22" t="s">
        <v>7816</v>
      </c>
      <c r="D1587" s="22" t="s">
        <v>7710</v>
      </c>
      <c r="E1587" s="22" t="s">
        <v>6774</v>
      </c>
      <c r="F1587" s="24" t="s">
        <v>6775</v>
      </c>
      <c r="G1587" s="26" t="s">
        <v>22</v>
      </c>
      <c r="H1587" s="22"/>
      <c r="I1587" s="22"/>
      <c r="J1587" s="22"/>
      <c r="K1587" s="24"/>
      <c r="L1587" s="24"/>
      <c r="M1587" s="25" t="s">
        <v>6776</v>
      </c>
      <c r="N1587" s="22"/>
      <c r="O1587" s="22" t="s">
        <v>6777</v>
      </c>
      <c r="P1587" s="22" t="str">
        <f>HYPERLINK("https://ceds.ed.gov/cedselementdetails.aspx?termid=21505")</f>
        <v>https://ceds.ed.gov/cedselementdetails.aspx?termid=21505</v>
      </c>
      <c r="Q1587" s="22">
        <v>59859</v>
      </c>
    </row>
    <row r="1588" spans="1:17" ht="244.8" x14ac:dyDescent="0.3">
      <c r="A1588" s="22" t="s">
        <v>7779</v>
      </c>
      <c r="B1588" s="22" t="s">
        <v>7794</v>
      </c>
      <c r="C1588" s="22" t="s">
        <v>7816</v>
      </c>
      <c r="D1588" s="22" t="s">
        <v>7710</v>
      </c>
      <c r="E1588" s="22" t="s">
        <v>3191</v>
      </c>
      <c r="F1588" s="24" t="s">
        <v>3192</v>
      </c>
      <c r="G1588" s="26" t="s">
        <v>8802</v>
      </c>
      <c r="H1588" s="22"/>
      <c r="I1588" s="22"/>
      <c r="J1588" s="22"/>
      <c r="K1588" s="24"/>
      <c r="L1588" s="24"/>
      <c r="M1588" s="25" t="s">
        <v>3193</v>
      </c>
      <c r="N1588" s="22"/>
      <c r="O1588" s="22" t="s">
        <v>3194</v>
      </c>
      <c r="P1588" s="22" t="str">
        <f>HYPERLINK("https://ceds.ed.gov/cedselementdetails.aspx?termid=21602")</f>
        <v>https://ceds.ed.gov/cedselementdetails.aspx?termid=21602</v>
      </c>
      <c r="Q1588" s="22">
        <v>59898</v>
      </c>
    </row>
    <row r="1589" spans="1:17" ht="43.2" x14ac:dyDescent="0.3">
      <c r="A1589" s="22" t="s">
        <v>7779</v>
      </c>
      <c r="B1589" s="22" t="s">
        <v>7794</v>
      </c>
      <c r="C1589" s="22" t="s">
        <v>7816</v>
      </c>
      <c r="D1589" s="22" t="s">
        <v>7710</v>
      </c>
      <c r="E1589" s="22" t="s">
        <v>4093</v>
      </c>
      <c r="F1589" s="24" t="s">
        <v>4094</v>
      </c>
      <c r="G1589" s="26" t="s">
        <v>22</v>
      </c>
      <c r="H1589" s="22"/>
      <c r="I1589" s="22"/>
      <c r="J1589" s="22"/>
      <c r="K1589" s="24"/>
      <c r="L1589" s="24"/>
      <c r="M1589" s="25" t="s">
        <v>4095</v>
      </c>
      <c r="N1589" s="22"/>
      <c r="O1589" s="22" t="s">
        <v>4096</v>
      </c>
      <c r="P1589" s="22" t="str">
        <f>HYPERLINK("https://ceds.ed.gov/cedselementdetails.aspx?termid=21504")</f>
        <v>https://ceds.ed.gov/cedselementdetails.aspx?termid=21504</v>
      </c>
      <c r="Q1589" s="22">
        <v>59858</v>
      </c>
    </row>
    <row r="1590" spans="1:17" ht="57.6" x14ac:dyDescent="0.3">
      <c r="A1590" s="22" t="s">
        <v>7779</v>
      </c>
      <c r="B1590" s="22" t="s">
        <v>7794</v>
      </c>
      <c r="C1590" s="22" t="s">
        <v>7816</v>
      </c>
      <c r="D1590" s="22" t="s">
        <v>7710</v>
      </c>
      <c r="E1590" s="22" t="s">
        <v>6420</v>
      </c>
      <c r="F1590" s="24" t="s">
        <v>6421</v>
      </c>
      <c r="G1590" s="26" t="s">
        <v>22</v>
      </c>
      <c r="H1590" s="22"/>
      <c r="I1590" s="22"/>
      <c r="J1590" s="22"/>
      <c r="K1590" s="24"/>
      <c r="L1590" s="24"/>
      <c r="M1590" s="25" t="s">
        <v>6422</v>
      </c>
      <c r="N1590" s="22"/>
      <c r="O1590" s="22" t="s">
        <v>6423</v>
      </c>
      <c r="P1590" s="22" t="str">
        <f>HYPERLINK("https://ceds.ed.gov/cedselementdetails.aspx?termid=21503")</f>
        <v>https://ceds.ed.gov/cedselementdetails.aspx?termid=21503</v>
      </c>
      <c r="Q1590" s="22">
        <v>59857</v>
      </c>
    </row>
    <row r="1591" spans="1:17" ht="43.2" x14ac:dyDescent="0.3">
      <c r="A1591" s="22" t="s">
        <v>7779</v>
      </c>
      <c r="B1591" s="22" t="s">
        <v>7794</v>
      </c>
      <c r="C1591" s="22" t="s">
        <v>7816</v>
      </c>
      <c r="D1591" s="22" t="s">
        <v>7710</v>
      </c>
      <c r="E1591" s="22" t="s">
        <v>4416</v>
      </c>
      <c r="F1591" s="24" t="s">
        <v>4417</v>
      </c>
      <c r="G1591" s="26" t="s">
        <v>8936</v>
      </c>
      <c r="H1591" s="22" t="s">
        <v>226</v>
      </c>
      <c r="I1591" s="22"/>
      <c r="J1591" s="22"/>
      <c r="K1591" s="24"/>
      <c r="L1591" s="24"/>
      <c r="M1591" s="25" t="s">
        <v>4418</v>
      </c>
      <c r="N1591" s="22"/>
      <c r="O1591" s="22" t="s">
        <v>4419</v>
      </c>
      <c r="P1591" s="22" t="str">
        <f>HYPERLINK("https://ceds.ed.gov/cedselementdetails.aspx?termid=21532")</f>
        <v>https://ceds.ed.gov/cedselementdetails.aspx?termid=21532</v>
      </c>
      <c r="Q1591" s="22">
        <v>59868</v>
      </c>
    </row>
    <row r="1592" spans="1:17" ht="57.6" x14ac:dyDescent="0.3">
      <c r="A1592" s="22" t="s">
        <v>7779</v>
      </c>
      <c r="B1592" s="22" t="s">
        <v>7794</v>
      </c>
      <c r="C1592" s="22" t="s">
        <v>7816</v>
      </c>
      <c r="D1592" s="22" t="s">
        <v>7710</v>
      </c>
      <c r="E1592" s="22" t="s">
        <v>4420</v>
      </c>
      <c r="F1592" s="24" t="s">
        <v>4421</v>
      </c>
      <c r="G1592" s="26" t="s">
        <v>8937</v>
      </c>
      <c r="H1592" s="22" t="s">
        <v>226</v>
      </c>
      <c r="I1592" s="22"/>
      <c r="J1592" s="22"/>
      <c r="K1592" s="24"/>
      <c r="L1592" s="24"/>
      <c r="M1592" s="25" t="s">
        <v>4422</v>
      </c>
      <c r="N1592" s="22"/>
      <c r="O1592" s="22" t="s">
        <v>4423</v>
      </c>
      <c r="P1592" s="22" t="str">
        <f>HYPERLINK("https://ceds.ed.gov/cedselementdetails.aspx?termid=21530")</f>
        <v>https://ceds.ed.gov/cedselementdetails.aspx?termid=21530</v>
      </c>
      <c r="Q1592" s="22">
        <v>59867</v>
      </c>
    </row>
    <row r="1593" spans="1:17" ht="172.8" x14ac:dyDescent="0.3">
      <c r="A1593" s="22" t="s">
        <v>7779</v>
      </c>
      <c r="B1593" s="22" t="s">
        <v>7794</v>
      </c>
      <c r="C1593" s="22" t="s">
        <v>7816</v>
      </c>
      <c r="D1593" s="22" t="s">
        <v>7710</v>
      </c>
      <c r="E1593" s="22" t="s">
        <v>3195</v>
      </c>
      <c r="F1593" s="24" t="s">
        <v>3196</v>
      </c>
      <c r="G1593" s="26" t="s">
        <v>8803</v>
      </c>
      <c r="H1593" s="22" t="s">
        <v>226</v>
      </c>
      <c r="I1593" s="22"/>
      <c r="J1593" s="22"/>
      <c r="K1593" s="24"/>
      <c r="L1593" s="24"/>
      <c r="M1593" s="25" t="s">
        <v>3197</v>
      </c>
      <c r="N1593" s="22"/>
      <c r="O1593" s="22" t="s">
        <v>3198</v>
      </c>
      <c r="P1593" s="22" t="str">
        <f>HYPERLINK("https://ceds.ed.gov/cedselementdetails.aspx?termid=21546")</f>
        <v>https://ceds.ed.gov/cedselementdetails.aspx?termid=21546</v>
      </c>
      <c r="Q1593" s="22">
        <v>59872</v>
      </c>
    </row>
    <row r="1594" spans="1:17" ht="43.2" x14ac:dyDescent="0.3">
      <c r="A1594" s="22" t="s">
        <v>7779</v>
      </c>
      <c r="B1594" s="22" t="s">
        <v>7794</v>
      </c>
      <c r="C1594" s="22" t="s">
        <v>7816</v>
      </c>
      <c r="D1594" s="22" t="s">
        <v>7710</v>
      </c>
      <c r="E1594" s="22" t="s">
        <v>3199</v>
      </c>
      <c r="F1594" s="24" t="s">
        <v>3200</v>
      </c>
      <c r="G1594" s="26" t="s">
        <v>8804</v>
      </c>
      <c r="H1594" s="22" t="s">
        <v>226</v>
      </c>
      <c r="I1594" s="22"/>
      <c r="J1594" s="22"/>
      <c r="K1594" s="24"/>
      <c r="L1594" s="24"/>
      <c r="M1594" s="25" t="s">
        <v>3201</v>
      </c>
      <c r="N1594" s="22"/>
      <c r="O1594" s="22" t="s">
        <v>3202</v>
      </c>
      <c r="P1594" s="22" t="str">
        <f>HYPERLINK("https://ceds.ed.gov/cedselementdetails.aspx?termid=21529")</f>
        <v>https://ceds.ed.gov/cedselementdetails.aspx?termid=21529</v>
      </c>
      <c r="Q1594" s="22">
        <v>59866</v>
      </c>
    </row>
    <row r="1595" spans="1:17" ht="129.6" x14ac:dyDescent="0.3">
      <c r="A1595" s="22" t="s">
        <v>7779</v>
      </c>
      <c r="B1595" s="22" t="s">
        <v>7794</v>
      </c>
      <c r="C1595" s="22" t="s">
        <v>7816</v>
      </c>
      <c r="D1595" s="22" t="s">
        <v>7710</v>
      </c>
      <c r="E1595" s="22" t="s">
        <v>4390</v>
      </c>
      <c r="F1595" s="24" t="s">
        <v>4391</v>
      </c>
      <c r="G1595" s="26" t="s">
        <v>8930</v>
      </c>
      <c r="H1595" s="22" t="s">
        <v>226</v>
      </c>
      <c r="I1595" s="22"/>
      <c r="J1595" s="22"/>
      <c r="K1595" s="24"/>
      <c r="L1595" s="24"/>
      <c r="M1595" s="25" t="s">
        <v>4392</v>
      </c>
      <c r="N1595" s="22"/>
      <c r="O1595" s="22" t="s">
        <v>4393</v>
      </c>
      <c r="P1595" s="22" t="str">
        <f>HYPERLINK("https://ceds.ed.gov/cedselementdetails.aspx?termid=21547")</f>
        <v>https://ceds.ed.gov/cedselementdetails.aspx?termid=21547</v>
      </c>
      <c r="Q1595" s="22">
        <v>59873</v>
      </c>
    </row>
    <row r="1596" spans="1:17" ht="72" x14ac:dyDescent="0.3">
      <c r="A1596" s="22" t="s">
        <v>7779</v>
      </c>
      <c r="B1596" s="22" t="s">
        <v>7794</v>
      </c>
      <c r="C1596" s="22" t="s">
        <v>7816</v>
      </c>
      <c r="D1596" s="22" t="s">
        <v>7710</v>
      </c>
      <c r="E1596" s="22" t="s">
        <v>3178</v>
      </c>
      <c r="F1596" s="24" t="s">
        <v>3179</v>
      </c>
      <c r="G1596" s="26" t="s">
        <v>22</v>
      </c>
      <c r="H1596" s="22"/>
      <c r="I1596" s="22"/>
      <c r="J1596" s="22"/>
      <c r="K1596" s="24"/>
      <c r="L1596" s="24"/>
      <c r="M1596" s="25" t="s">
        <v>3181</v>
      </c>
      <c r="N1596" s="22"/>
      <c r="O1596" s="22" t="s">
        <v>3182</v>
      </c>
      <c r="P1596" s="22" t="str">
        <f>HYPERLINK("https://ceds.ed.gov/cedselementdetails.aspx?termid=22288")</f>
        <v>https://ceds.ed.gov/cedselementdetails.aspx?termid=22288</v>
      </c>
      <c r="Q1596" s="22">
        <v>61128</v>
      </c>
    </row>
    <row r="1597" spans="1:17" ht="57.6" x14ac:dyDescent="0.3">
      <c r="A1597" s="22" t="s">
        <v>7779</v>
      </c>
      <c r="B1597" s="22" t="s">
        <v>7794</v>
      </c>
      <c r="C1597" s="22" t="s">
        <v>7816</v>
      </c>
      <c r="D1597" s="22" t="s">
        <v>7710</v>
      </c>
      <c r="E1597" s="22" t="s">
        <v>3457</v>
      </c>
      <c r="F1597" s="24" t="s">
        <v>3458</v>
      </c>
      <c r="G1597" s="26" t="s">
        <v>22</v>
      </c>
      <c r="H1597" s="22"/>
      <c r="I1597" s="22"/>
      <c r="J1597" s="22"/>
      <c r="K1597" s="24"/>
      <c r="L1597" s="24"/>
      <c r="M1597" s="25" t="s">
        <v>3459</v>
      </c>
      <c r="N1597" s="22"/>
      <c r="O1597" s="22" t="s">
        <v>3460</v>
      </c>
      <c r="P1597" s="22" t="str">
        <f>HYPERLINK("https://ceds.ed.gov/cedselementdetails.aspx?termid=21570")</f>
        <v>https://ceds.ed.gov/cedselementdetails.aspx?termid=21570</v>
      </c>
      <c r="Q1597" s="22">
        <v>59885</v>
      </c>
    </row>
    <row r="1598" spans="1:17" ht="129.6" x14ac:dyDescent="0.3">
      <c r="A1598" s="22" t="s">
        <v>7779</v>
      </c>
      <c r="B1598" s="22" t="s">
        <v>7794</v>
      </c>
      <c r="C1598" s="22" t="s">
        <v>7754</v>
      </c>
      <c r="D1598" s="22" t="s">
        <v>7710</v>
      </c>
      <c r="E1598" s="22" t="s">
        <v>4965</v>
      </c>
      <c r="F1598" s="24" t="s">
        <v>4966</v>
      </c>
      <c r="G1598" s="26" t="s">
        <v>8993</v>
      </c>
      <c r="H1598" s="24" t="s">
        <v>4927</v>
      </c>
      <c r="I1598" s="22"/>
      <c r="J1598" s="22"/>
      <c r="K1598" s="24"/>
      <c r="L1598" s="24"/>
      <c r="M1598" s="25" t="s">
        <v>4967</v>
      </c>
      <c r="N1598" s="22"/>
      <c r="O1598" s="22" t="s">
        <v>4968</v>
      </c>
      <c r="P1598" s="22" t="str">
        <f>HYPERLINK("https://ceds.ed.gov/cedselementdetails.aspx?termid=21316")</f>
        <v>https://ceds.ed.gov/cedselementdetails.aspx?termid=21316</v>
      </c>
      <c r="Q1598" s="22">
        <v>59828</v>
      </c>
    </row>
    <row r="1599" spans="1:17" ht="115.2" x14ac:dyDescent="0.3">
      <c r="A1599" s="22" t="s">
        <v>7779</v>
      </c>
      <c r="B1599" s="22" t="s">
        <v>7794</v>
      </c>
      <c r="C1599" s="22" t="s">
        <v>7754</v>
      </c>
      <c r="D1599" s="22" t="s">
        <v>7710</v>
      </c>
      <c r="E1599" s="22" t="s">
        <v>4923</v>
      </c>
      <c r="F1599" s="24" t="s">
        <v>4924</v>
      </c>
      <c r="G1599" s="23" t="s">
        <v>7423</v>
      </c>
      <c r="H1599" s="24" t="s">
        <v>4927</v>
      </c>
      <c r="I1599" s="22"/>
      <c r="J1599" s="22"/>
      <c r="K1599" s="24"/>
      <c r="L1599" s="24" t="s">
        <v>7994</v>
      </c>
      <c r="M1599" s="25" t="s">
        <v>4925</v>
      </c>
      <c r="N1599" s="22"/>
      <c r="O1599" s="22" t="s">
        <v>4926</v>
      </c>
      <c r="P1599" s="22" t="str">
        <f>HYPERLINK("https://ceds.ed.gov/cedselementdetails.aspx?termid=21317")</f>
        <v>https://ceds.ed.gov/cedselementdetails.aspx?termid=21317</v>
      </c>
      <c r="Q1599" s="22">
        <v>59829</v>
      </c>
    </row>
    <row r="1600" spans="1:17" ht="115.2" x14ac:dyDescent="0.3">
      <c r="A1600" s="22" t="s">
        <v>7779</v>
      </c>
      <c r="B1600" s="22" t="s">
        <v>7794</v>
      </c>
      <c r="C1600" s="22" t="s">
        <v>7754</v>
      </c>
      <c r="D1600" s="22" t="s">
        <v>7710</v>
      </c>
      <c r="E1600" s="22" t="s">
        <v>4928</v>
      </c>
      <c r="F1600" s="24" t="s">
        <v>4924</v>
      </c>
      <c r="G1600" s="23" t="s">
        <v>7423</v>
      </c>
      <c r="H1600" s="22"/>
      <c r="I1600" s="22" t="s">
        <v>172</v>
      </c>
      <c r="J1600" s="22"/>
      <c r="K1600" s="24" t="s">
        <v>8231</v>
      </c>
      <c r="L1600" s="24" t="s">
        <v>8232</v>
      </c>
      <c r="M1600" s="25" t="s">
        <v>4929</v>
      </c>
      <c r="N1600" s="22"/>
      <c r="O1600" s="22" t="s">
        <v>4930</v>
      </c>
      <c r="P1600" s="22" t="str">
        <f>HYPERLINK("https://ceds.ed.gov/cedselementdetails.aspx?termid=22618")</f>
        <v>https://ceds.ed.gov/cedselementdetails.aspx?termid=22618</v>
      </c>
      <c r="Q1600" s="22">
        <v>62215</v>
      </c>
    </row>
    <row r="1601" spans="1:17" ht="409.6" x14ac:dyDescent="0.3">
      <c r="A1601" s="22" t="s">
        <v>7779</v>
      </c>
      <c r="B1601" s="22" t="s">
        <v>7794</v>
      </c>
      <c r="C1601" s="22" t="s">
        <v>7754</v>
      </c>
      <c r="D1601" s="22" t="s">
        <v>7710</v>
      </c>
      <c r="E1601" s="22" t="s">
        <v>4931</v>
      </c>
      <c r="F1601" s="24" t="s">
        <v>4932</v>
      </c>
      <c r="G1601" s="26" t="s">
        <v>8988</v>
      </c>
      <c r="H1601" s="22"/>
      <c r="I1601" s="22"/>
      <c r="J1601" s="22"/>
      <c r="K1601" s="24"/>
      <c r="L1601" s="24" t="s">
        <v>8233</v>
      </c>
      <c r="M1601" s="25" t="s">
        <v>4933</v>
      </c>
      <c r="N1601" s="22"/>
      <c r="O1601" s="22" t="s">
        <v>4934</v>
      </c>
      <c r="P1601" s="22" t="str">
        <f>HYPERLINK("https://ceds.ed.gov/cedselementdetails.aspx?termid=22619")</f>
        <v>https://ceds.ed.gov/cedselementdetails.aspx?termid=22619</v>
      </c>
      <c r="Q1601" s="22">
        <v>62222</v>
      </c>
    </row>
    <row r="1602" spans="1:17" ht="72" x14ac:dyDescent="0.3">
      <c r="A1602" s="22" t="s">
        <v>7779</v>
      </c>
      <c r="B1602" s="22" t="s">
        <v>7794</v>
      </c>
      <c r="C1602" s="22" t="s">
        <v>7817</v>
      </c>
      <c r="D1602" s="22" t="s">
        <v>7710</v>
      </c>
      <c r="E1602" s="22" t="s">
        <v>3492</v>
      </c>
      <c r="F1602" s="24" t="s">
        <v>3493</v>
      </c>
      <c r="G1602" s="26" t="s">
        <v>8842</v>
      </c>
      <c r="H1602" s="24" t="s">
        <v>64</v>
      </c>
      <c r="I1602" s="22"/>
      <c r="J1602" s="22"/>
      <c r="K1602" s="24"/>
      <c r="L1602" s="24"/>
      <c r="M1602" s="25" t="s">
        <v>3494</v>
      </c>
      <c r="N1602" s="22"/>
      <c r="O1602" s="22" t="s">
        <v>3495</v>
      </c>
      <c r="P1602" s="22" t="str">
        <f>HYPERLINK("https://ceds.ed.gov/cedselementdetails.aspx?termid=21092")</f>
        <v>https://ceds.ed.gov/cedselementdetails.aspx?termid=21092</v>
      </c>
      <c r="Q1602" s="22">
        <v>59744</v>
      </c>
    </row>
    <row r="1603" spans="1:17" ht="28.8" x14ac:dyDescent="0.3">
      <c r="A1603" s="22" t="s">
        <v>7779</v>
      </c>
      <c r="B1603" s="22" t="s">
        <v>7794</v>
      </c>
      <c r="C1603" s="22" t="s">
        <v>7817</v>
      </c>
      <c r="D1603" s="22" t="s">
        <v>7710</v>
      </c>
      <c r="E1603" s="22" t="s">
        <v>7008</v>
      </c>
      <c r="F1603" s="24" t="s">
        <v>7009</v>
      </c>
      <c r="G1603" s="23" t="s">
        <v>32</v>
      </c>
      <c r="H1603" s="22"/>
      <c r="I1603" s="22"/>
      <c r="J1603" s="22" t="s">
        <v>118</v>
      </c>
      <c r="K1603" s="24"/>
      <c r="L1603" s="24"/>
      <c r="M1603" s="25" t="s">
        <v>7010</v>
      </c>
      <c r="N1603" s="22"/>
      <c r="O1603" s="22" t="s">
        <v>7011</v>
      </c>
      <c r="P1603" s="22" t="str">
        <f>HYPERLINK("https://ceds.ed.gov/cedselementdetails.aspx?termid=22192")</f>
        <v>https://ceds.ed.gov/cedselementdetails.aspx?termid=22192</v>
      </c>
      <c r="Q1603" s="22">
        <v>59917</v>
      </c>
    </row>
    <row r="1604" spans="1:17" ht="374.4" x14ac:dyDescent="0.3">
      <c r="A1604" s="22" t="s">
        <v>7779</v>
      </c>
      <c r="B1604" s="22" t="s">
        <v>7794</v>
      </c>
      <c r="C1604" s="22" t="s">
        <v>7817</v>
      </c>
      <c r="D1604" s="22" t="s">
        <v>7710</v>
      </c>
      <c r="E1604" s="22" t="s">
        <v>7004</v>
      </c>
      <c r="F1604" s="24" t="s">
        <v>7005</v>
      </c>
      <c r="G1604" s="23" t="s">
        <v>32</v>
      </c>
      <c r="H1604" s="22"/>
      <c r="I1604" s="22"/>
      <c r="J1604" s="22" t="s">
        <v>118</v>
      </c>
      <c r="K1604" s="24"/>
      <c r="L1604" s="24" t="s">
        <v>8332</v>
      </c>
      <c r="M1604" s="25" t="s">
        <v>7006</v>
      </c>
      <c r="N1604" s="22"/>
      <c r="O1604" s="22" t="s">
        <v>7007</v>
      </c>
      <c r="P1604" s="22" t="str">
        <f>HYPERLINK("https://ceds.ed.gov/cedselementdetails.aspx?termid=22193")</f>
        <v>https://ceds.ed.gov/cedselementdetails.aspx?termid=22193</v>
      </c>
      <c r="Q1604" s="22">
        <v>59982</v>
      </c>
    </row>
    <row r="1605" spans="1:17" ht="86.4" x14ac:dyDescent="0.3">
      <c r="A1605" s="22" t="s">
        <v>7779</v>
      </c>
      <c r="B1605" s="22" t="s">
        <v>7794</v>
      </c>
      <c r="C1605" s="22" t="s">
        <v>7817</v>
      </c>
      <c r="D1605" s="22" t="s">
        <v>7710</v>
      </c>
      <c r="E1605" s="22" t="s">
        <v>3442</v>
      </c>
      <c r="F1605" s="24" t="s">
        <v>3443</v>
      </c>
      <c r="G1605" s="26" t="s">
        <v>22</v>
      </c>
      <c r="H1605" s="24" t="s">
        <v>1901</v>
      </c>
      <c r="I1605" s="22"/>
      <c r="J1605" s="22"/>
      <c r="K1605" s="24"/>
      <c r="L1605" s="24"/>
      <c r="M1605" s="25" t="s">
        <v>3445</v>
      </c>
      <c r="N1605" s="22"/>
      <c r="O1605" s="22" t="s">
        <v>3446</v>
      </c>
      <c r="P1605" s="22" t="str">
        <f>HYPERLINK("https://ceds.ed.gov/cedselementdetails.aspx?termid=21086")</f>
        <v>https://ceds.ed.gov/cedselementdetails.aspx?termid=21086</v>
      </c>
      <c r="Q1605" s="22">
        <v>59741</v>
      </c>
    </row>
    <row r="1606" spans="1:17" ht="230.4" x14ac:dyDescent="0.3">
      <c r="A1606" s="22" t="s">
        <v>7779</v>
      </c>
      <c r="B1606" s="22" t="s">
        <v>7794</v>
      </c>
      <c r="C1606" s="22" t="s">
        <v>7817</v>
      </c>
      <c r="D1606" s="22" t="s">
        <v>7710</v>
      </c>
      <c r="E1606" s="22" t="s">
        <v>5781</v>
      </c>
      <c r="F1606" s="24" t="s">
        <v>5782</v>
      </c>
      <c r="G1606" s="26" t="s">
        <v>9059</v>
      </c>
      <c r="H1606" s="24" t="s">
        <v>399</v>
      </c>
      <c r="I1606" s="22"/>
      <c r="J1606" s="22"/>
      <c r="K1606" s="24"/>
      <c r="L1606" s="24"/>
      <c r="M1606" s="25" t="s">
        <v>5783</v>
      </c>
      <c r="N1606" s="22"/>
      <c r="O1606" s="22" t="s">
        <v>5784</v>
      </c>
      <c r="P1606" s="22" t="str">
        <f>HYPERLINK("https://ceds.ed.gov/cedselementdetails.aspx?termid=21325")</f>
        <v>https://ceds.ed.gov/cedselementdetails.aspx?termid=21325</v>
      </c>
      <c r="Q1606" s="22">
        <v>59613</v>
      </c>
    </row>
    <row r="1607" spans="1:17" ht="57.6" x14ac:dyDescent="0.3">
      <c r="A1607" s="22" t="s">
        <v>7779</v>
      </c>
      <c r="B1607" s="22" t="s">
        <v>7794</v>
      </c>
      <c r="C1607" s="22" t="s">
        <v>7817</v>
      </c>
      <c r="D1607" s="22" t="s">
        <v>7710</v>
      </c>
      <c r="E1607" s="22" t="s">
        <v>5539</v>
      </c>
      <c r="F1607" s="24" t="s">
        <v>5540</v>
      </c>
      <c r="G1607" s="26" t="s">
        <v>22</v>
      </c>
      <c r="H1607" s="22" t="s">
        <v>226</v>
      </c>
      <c r="I1607" s="22"/>
      <c r="J1607" s="22"/>
      <c r="K1607" s="24"/>
      <c r="L1607" s="24" t="s">
        <v>5541</v>
      </c>
      <c r="M1607" s="25" t="s">
        <v>5542</v>
      </c>
      <c r="N1607" s="22"/>
      <c r="O1607" s="22" t="s">
        <v>5543</v>
      </c>
      <c r="P1607" s="22" t="str">
        <f>HYPERLINK("https://ceds.ed.gov/cedselementdetails.aspx?termid=22635")</f>
        <v>https://ceds.ed.gov/cedselementdetails.aspx?termid=22635</v>
      </c>
      <c r="Q1607" s="22">
        <v>62349</v>
      </c>
    </row>
    <row r="1608" spans="1:17" ht="72" x14ac:dyDescent="0.3">
      <c r="A1608" s="22" t="s">
        <v>7779</v>
      </c>
      <c r="B1608" s="22" t="s">
        <v>7794</v>
      </c>
      <c r="C1608" s="22" t="s">
        <v>7817</v>
      </c>
      <c r="D1608" s="22" t="s">
        <v>7710</v>
      </c>
      <c r="E1608" s="22" t="s">
        <v>7584</v>
      </c>
      <c r="F1608" s="24" t="s">
        <v>7585</v>
      </c>
      <c r="G1608" s="23" t="s">
        <v>32</v>
      </c>
      <c r="H1608" s="22"/>
      <c r="I1608" s="22"/>
      <c r="J1608" s="22" t="s">
        <v>118</v>
      </c>
      <c r="K1608" s="24"/>
      <c r="L1608" s="24"/>
      <c r="M1608" s="25" t="s">
        <v>7586</v>
      </c>
      <c r="N1608" s="22"/>
      <c r="O1608" s="22" t="s">
        <v>7587</v>
      </c>
      <c r="P1608" s="22" t="str">
        <f>HYPERLINK("https://ceds.ed.gov/cedselementdetails.aspx?termid=22943")</f>
        <v>https://ceds.ed.gov/cedselementdetails.aspx?termid=22943</v>
      </c>
      <c r="Q1608" s="22">
        <v>63559</v>
      </c>
    </row>
    <row r="1609" spans="1:17" ht="57.6" x14ac:dyDescent="0.3">
      <c r="A1609" s="22" t="s">
        <v>7779</v>
      </c>
      <c r="B1609" s="22" t="s">
        <v>7794</v>
      </c>
      <c r="C1609" s="22" t="s">
        <v>7817</v>
      </c>
      <c r="D1609" s="22" t="s">
        <v>7710</v>
      </c>
      <c r="E1609" s="22" t="s">
        <v>7588</v>
      </c>
      <c r="F1609" s="24" t="s">
        <v>7589</v>
      </c>
      <c r="G1609" s="23" t="s">
        <v>32</v>
      </c>
      <c r="H1609" s="22"/>
      <c r="I1609" s="22"/>
      <c r="J1609" s="22" t="s">
        <v>148</v>
      </c>
      <c r="K1609" s="24"/>
      <c r="L1609" s="24"/>
      <c r="M1609" s="25" t="s">
        <v>7590</v>
      </c>
      <c r="N1609" s="22"/>
      <c r="O1609" s="22" t="s">
        <v>7591</v>
      </c>
      <c r="P1609" s="22" t="str">
        <f>HYPERLINK("https://ceds.ed.gov/cedselementdetails.aspx?termid=22944")</f>
        <v>https://ceds.ed.gov/cedselementdetails.aspx?termid=22944</v>
      </c>
      <c r="Q1609" s="22">
        <v>63560</v>
      </c>
    </row>
    <row r="1610" spans="1:17" ht="57.6" x14ac:dyDescent="0.3">
      <c r="A1610" s="22" t="s">
        <v>7779</v>
      </c>
      <c r="B1610" s="22" t="s">
        <v>7794</v>
      </c>
      <c r="C1610" s="22" t="s">
        <v>7817</v>
      </c>
      <c r="D1610" s="22" t="s">
        <v>7710</v>
      </c>
      <c r="E1610" s="22" t="s">
        <v>7592</v>
      </c>
      <c r="F1610" s="24" t="s">
        <v>7593</v>
      </c>
      <c r="G1610" s="23" t="s">
        <v>32</v>
      </c>
      <c r="H1610" s="22"/>
      <c r="I1610" s="22"/>
      <c r="J1610" s="22" t="s">
        <v>148</v>
      </c>
      <c r="K1610" s="24"/>
      <c r="L1610" s="24"/>
      <c r="M1610" s="25" t="s">
        <v>7594</v>
      </c>
      <c r="N1610" s="22"/>
      <c r="O1610" s="22" t="s">
        <v>7595</v>
      </c>
      <c r="P1610" s="22" t="str">
        <f>HYPERLINK("https://ceds.ed.gov/cedselementdetails.aspx?termid=22945")</f>
        <v>https://ceds.ed.gov/cedselementdetails.aspx?termid=22945</v>
      </c>
      <c r="Q1610" s="22">
        <v>63561</v>
      </c>
    </row>
    <row r="1611" spans="1:17" ht="72" x14ac:dyDescent="0.3">
      <c r="A1611" s="22" t="s">
        <v>7779</v>
      </c>
      <c r="B1611" s="22" t="s">
        <v>7794</v>
      </c>
      <c r="C1611" s="22" t="s">
        <v>7817</v>
      </c>
      <c r="D1611" s="22" t="s">
        <v>7710</v>
      </c>
      <c r="E1611" s="22" t="s">
        <v>7596</v>
      </c>
      <c r="F1611" s="24" t="s">
        <v>7597</v>
      </c>
      <c r="G1611" s="23" t="s">
        <v>32</v>
      </c>
      <c r="H1611" s="22"/>
      <c r="I1611" s="22"/>
      <c r="J1611" s="22" t="s">
        <v>1844</v>
      </c>
      <c r="K1611" s="24"/>
      <c r="L1611" s="24" t="s">
        <v>7598</v>
      </c>
      <c r="M1611" s="25" t="s">
        <v>7599</v>
      </c>
      <c r="N1611" s="22"/>
      <c r="O1611" s="22" t="s">
        <v>7600</v>
      </c>
      <c r="P1611" s="22" t="str">
        <f>HYPERLINK("https://ceds.ed.gov/cedselementdetails.aspx?termid=22946")</f>
        <v>https://ceds.ed.gov/cedselementdetails.aspx?termid=22946</v>
      </c>
      <c r="Q1611" s="22">
        <v>63562</v>
      </c>
    </row>
    <row r="1612" spans="1:17" ht="72" x14ac:dyDescent="0.3">
      <c r="A1612" s="22" t="s">
        <v>7779</v>
      </c>
      <c r="B1612" s="22" t="s">
        <v>7794</v>
      </c>
      <c r="C1612" s="22" t="s">
        <v>7817</v>
      </c>
      <c r="D1612" s="22" t="s">
        <v>7710</v>
      </c>
      <c r="E1612" s="22" t="s">
        <v>7601</v>
      </c>
      <c r="F1612" s="24" t="s">
        <v>7602</v>
      </c>
      <c r="G1612" s="23" t="s">
        <v>32</v>
      </c>
      <c r="H1612" s="22"/>
      <c r="I1612" s="22"/>
      <c r="J1612" s="22" t="s">
        <v>1844</v>
      </c>
      <c r="K1612" s="24"/>
      <c r="L1612" s="24" t="s">
        <v>7603</v>
      </c>
      <c r="M1612" s="25" t="s">
        <v>7604</v>
      </c>
      <c r="N1612" s="22"/>
      <c r="O1612" s="22" t="s">
        <v>7605</v>
      </c>
      <c r="P1612" s="22" t="str">
        <f>HYPERLINK("https://ceds.ed.gov/cedselementdetails.aspx?termid=22947")</f>
        <v>https://ceds.ed.gov/cedselementdetails.aspx?termid=22947</v>
      </c>
      <c r="Q1612" s="22">
        <v>63563</v>
      </c>
    </row>
    <row r="1613" spans="1:17" ht="72" x14ac:dyDescent="0.3">
      <c r="A1613" s="22" t="s">
        <v>7779</v>
      </c>
      <c r="B1613" s="22" t="s">
        <v>7794</v>
      </c>
      <c r="C1613" s="22" t="s">
        <v>7818</v>
      </c>
      <c r="D1613" s="22" t="s">
        <v>7710</v>
      </c>
      <c r="E1613" s="22" t="s">
        <v>2986</v>
      </c>
      <c r="F1613" s="24" t="s">
        <v>2987</v>
      </c>
      <c r="G1613" s="23" t="s">
        <v>32</v>
      </c>
      <c r="H1613" s="22"/>
      <c r="I1613" s="22"/>
      <c r="J1613" s="22" t="s">
        <v>1518</v>
      </c>
      <c r="K1613" s="24"/>
      <c r="L1613" s="24" t="s">
        <v>2989</v>
      </c>
      <c r="M1613" s="25" t="s">
        <v>2990</v>
      </c>
      <c r="N1613" s="22"/>
      <c r="O1613" s="22" t="s">
        <v>2991</v>
      </c>
      <c r="P1613" s="22" t="str">
        <f>HYPERLINK("https://ceds.ed.gov/cedselementdetails.aspx?termid=22553")</f>
        <v>https://ceds.ed.gov/cedselementdetails.aspx?termid=22553</v>
      </c>
      <c r="Q1613" s="22">
        <v>62145</v>
      </c>
    </row>
    <row r="1614" spans="1:17" ht="72" x14ac:dyDescent="0.3">
      <c r="A1614" s="22" t="s">
        <v>7779</v>
      </c>
      <c r="B1614" s="22" t="s">
        <v>7794</v>
      </c>
      <c r="C1614" s="22" t="s">
        <v>7819</v>
      </c>
      <c r="D1614" s="22" t="s">
        <v>7710</v>
      </c>
      <c r="E1614" s="22" t="s">
        <v>2986</v>
      </c>
      <c r="F1614" s="24" t="s">
        <v>2987</v>
      </c>
      <c r="G1614" s="23" t="s">
        <v>32</v>
      </c>
      <c r="H1614" s="22"/>
      <c r="I1614" s="22"/>
      <c r="J1614" s="22" t="s">
        <v>1518</v>
      </c>
      <c r="K1614" s="24"/>
      <c r="L1614" s="24" t="s">
        <v>2989</v>
      </c>
      <c r="M1614" s="25" t="s">
        <v>2990</v>
      </c>
      <c r="N1614" s="22"/>
      <c r="O1614" s="22" t="s">
        <v>2991</v>
      </c>
      <c r="P1614" s="22" t="str">
        <f>HYPERLINK("https://ceds.ed.gov/cedselementdetails.aspx?termid=22553")</f>
        <v>https://ceds.ed.gov/cedselementdetails.aspx?termid=22553</v>
      </c>
      <c r="Q1614" s="22">
        <v>62147</v>
      </c>
    </row>
    <row r="1615" spans="1:17" ht="345.6" x14ac:dyDescent="0.3">
      <c r="A1615" s="22" t="s">
        <v>7779</v>
      </c>
      <c r="B1615" s="22" t="s">
        <v>7794</v>
      </c>
      <c r="C1615" s="22" t="s">
        <v>7819</v>
      </c>
      <c r="D1615" s="22" t="s">
        <v>7710</v>
      </c>
      <c r="E1615" s="22" t="s">
        <v>6599</v>
      </c>
      <c r="F1615" s="24" t="s">
        <v>6600</v>
      </c>
      <c r="G1615" s="26" t="s">
        <v>8518</v>
      </c>
      <c r="H1615" s="22"/>
      <c r="I1615" s="22" t="s">
        <v>172</v>
      </c>
      <c r="J1615" s="22"/>
      <c r="K1615" s="24" t="s">
        <v>7946</v>
      </c>
      <c r="L1615" s="24" t="s">
        <v>8308</v>
      </c>
      <c r="M1615" s="25" t="s">
        <v>6601</v>
      </c>
      <c r="N1615" s="22" t="s">
        <v>6602</v>
      </c>
      <c r="O1615" s="22" t="s">
        <v>6603</v>
      </c>
      <c r="P1615" s="22" t="str">
        <f>HYPERLINK("https://ceds.ed.gov/cedselementdetails.aspx?termid=22491")</f>
        <v>https://ceds.ed.gov/cedselementdetails.aspx?termid=22491</v>
      </c>
      <c r="Q1615" s="22">
        <v>62146</v>
      </c>
    </row>
    <row r="1616" spans="1:17" ht="172.8" x14ac:dyDescent="0.3">
      <c r="A1616" s="22" t="s">
        <v>7779</v>
      </c>
      <c r="B1616" s="22" t="s">
        <v>7794</v>
      </c>
      <c r="C1616" s="22" t="s">
        <v>7820</v>
      </c>
      <c r="D1616" s="22" t="s">
        <v>7710</v>
      </c>
      <c r="E1616" s="22" t="s">
        <v>2628</v>
      </c>
      <c r="F1616" s="24" t="s">
        <v>2629</v>
      </c>
      <c r="G1616" s="23" t="s">
        <v>32</v>
      </c>
      <c r="H1616" s="24" t="s">
        <v>2632</v>
      </c>
      <c r="I1616" s="22"/>
      <c r="J1616" s="22" t="s">
        <v>132</v>
      </c>
      <c r="K1616" s="24"/>
      <c r="L1616" s="24" t="s">
        <v>7945</v>
      </c>
      <c r="M1616" s="25" t="s">
        <v>2630</v>
      </c>
      <c r="N1616" s="22"/>
      <c r="O1616" s="22" t="s">
        <v>2631</v>
      </c>
      <c r="P1616" s="22" t="str">
        <f>HYPERLINK("https://ceds.ed.gov/cedselementdetails.aspx?termid=21055")</f>
        <v>https://ceds.ed.gov/cedselementdetails.aspx?termid=21055</v>
      </c>
      <c r="Q1616" s="22">
        <v>62148</v>
      </c>
    </row>
    <row r="1617" spans="1:17" ht="144" x14ac:dyDescent="0.3">
      <c r="A1617" s="22" t="s">
        <v>7779</v>
      </c>
      <c r="B1617" s="22" t="s">
        <v>7794</v>
      </c>
      <c r="C1617" s="22" t="s">
        <v>7820</v>
      </c>
      <c r="D1617" s="22" t="s">
        <v>7710</v>
      </c>
      <c r="E1617" s="22" t="s">
        <v>2579</v>
      </c>
      <c r="F1617" s="24" t="s">
        <v>2580</v>
      </c>
      <c r="G1617" s="26" t="s">
        <v>8420</v>
      </c>
      <c r="H1617" s="24" t="s">
        <v>1521</v>
      </c>
      <c r="I1617" s="22" t="s">
        <v>172</v>
      </c>
      <c r="J1617" s="22"/>
      <c r="K1617" s="24" t="s">
        <v>7946</v>
      </c>
      <c r="L1617" s="24"/>
      <c r="M1617" s="25" t="s">
        <v>2582</v>
      </c>
      <c r="N1617" s="22"/>
      <c r="O1617" s="22" t="s">
        <v>2583</v>
      </c>
      <c r="P1617" s="22" t="str">
        <f>HYPERLINK("https://ceds.ed.gov/cedselementdetails.aspx?termid=21056")</f>
        <v>https://ceds.ed.gov/cedselementdetails.aspx?termid=21056</v>
      </c>
      <c r="Q1617" s="22">
        <v>62149</v>
      </c>
    </row>
    <row r="1618" spans="1:17" ht="345.6" x14ac:dyDescent="0.3">
      <c r="A1618" s="22" t="s">
        <v>7779</v>
      </c>
      <c r="B1618" s="22" t="s">
        <v>7794</v>
      </c>
      <c r="C1618" s="22" t="s">
        <v>7820</v>
      </c>
      <c r="D1618" s="22" t="s">
        <v>7710</v>
      </c>
      <c r="E1618" s="22" t="s">
        <v>6599</v>
      </c>
      <c r="F1618" s="24" t="s">
        <v>6600</v>
      </c>
      <c r="G1618" s="26" t="s">
        <v>8518</v>
      </c>
      <c r="H1618" s="22"/>
      <c r="I1618" s="22" t="s">
        <v>172</v>
      </c>
      <c r="J1618" s="22"/>
      <c r="K1618" s="24" t="s">
        <v>7946</v>
      </c>
      <c r="L1618" s="24" t="s">
        <v>8308</v>
      </c>
      <c r="M1618" s="25" t="s">
        <v>6601</v>
      </c>
      <c r="N1618" s="22" t="s">
        <v>6602</v>
      </c>
      <c r="O1618" s="22" t="s">
        <v>6603</v>
      </c>
      <c r="P1618" s="22" t="str">
        <f>HYPERLINK("https://ceds.ed.gov/cedselementdetails.aspx?termid=22491")</f>
        <v>https://ceds.ed.gov/cedselementdetails.aspx?termid=22491</v>
      </c>
      <c r="Q1618" s="22">
        <v>62150</v>
      </c>
    </row>
    <row r="1619" spans="1:17" ht="100.8" x14ac:dyDescent="0.3">
      <c r="A1619" s="22" t="s">
        <v>7779</v>
      </c>
      <c r="B1619" s="22" t="s">
        <v>7794</v>
      </c>
      <c r="C1619" s="22" t="s">
        <v>7820</v>
      </c>
      <c r="D1619" s="22" t="s">
        <v>7710</v>
      </c>
      <c r="E1619" s="22" t="s">
        <v>6611</v>
      </c>
      <c r="F1619" s="24" t="s">
        <v>6612</v>
      </c>
      <c r="G1619" s="23" t="s">
        <v>32</v>
      </c>
      <c r="H1619" s="24" t="s">
        <v>1521</v>
      </c>
      <c r="I1619" s="22" t="s">
        <v>172</v>
      </c>
      <c r="J1619" s="22" t="s">
        <v>2743</v>
      </c>
      <c r="K1619" s="24" t="s">
        <v>7946</v>
      </c>
      <c r="L1619" s="24" t="s">
        <v>6613</v>
      </c>
      <c r="M1619" s="25" t="s">
        <v>6614</v>
      </c>
      <c r="N1619" s="22" t="s">
        <v>6615</v>
      </c>
      <c r="O1619" s="22" t="s">
        <v>6616</v>
      </c>
      <c r="P1619" s="22" t="str">
        <f>HYPERLINK("https://ceds.ed.gov/cedselementdetails.aspx?termid=21250")</f>
        <v>https://ceds.ed.gov/cedselementdetails.aspx?termid=21250</v>
      </c>
      <c r="Q1619" s="22">
        <v>62151</v>
      </c>
    </row>
    <row r="1620" spans="1:17" ht="115.2" x14ac:dyDescent="0.3">
      <c r="A1620" s="22" t="s">
        <v>7779</v>
      </c>
      <c r="B1620" s="22" t="s">
        <v>7794</v>
      </c>
      <c r="C1620" s="22" t="s">
        <v>7820</v>
      </c>
      <c r="D1620" s="22" t="s">
        <v>7710</v>
      </c>
      <c r="E1620" s="22" t="s">
        <v>6590</v>
      </c>
      <c r="F1620" s="24" t="s">
        <v>6591</v>
      </c>
      <c r="G1620" s="23" t="s">
        <v>7423</v>
      </c>
      <c r="H1620" s="22"/>
      <c r="I1620" s="22" t="s">
        <v>172</v>
      </c>
      <c r="J1620" s="22"/>
      <c r="K1620" s="24" t="s">
        <v>8305</v>
      </c>
      <c r="L1620" s="24" t="s">
        <v>8306</v>
      </c>
      <c r="M1620" s="25" t="s">
        <v>6592</v>
      </c>
      <c r="N1620" s="22" t="s">
        <v>6593</v>
      </c>
      <c r="O1620" s="22" t="s">
        <v>6594</v>
      </c>
      <c r="P1620" s="22" t="str">
        <f>HYPERLINK("https://ceds.ed.gov/cedselementdetails.aspx?termid=22490")</f>
        <v>https://ceds.ed.gov/cedselementdetails.aspx?termid=22490</v>
      </c>
      <c r="Q1620" s="22">
        <v>62152</v>
      </c>
    </row>
    <row r="1621" spans="1:17" ht="100.8" x14ac:dyDescent="0.3">
      <c r="A1621" s="22" t="s">
        <v>7779</v>
      </c>
      <c r="B1621" s="22" t="s">
        <v>7794</v>
      </c>
      <c r="C1621" s="22" t="s">
        <v>7820</v>
      </c>
      <c r="D1621" s="22" t="s">
        <v>7710</v>
      </c>
      <c r="E1621" s="22" t="s">
        <v>6595</v>
      </c>
      <c r="F1621" s="24" t="s">
        <v>8307</v>
      </c>
      <c r="G1621" s="26" t="s">
        <v>8517</v>
      </c>
      <c r="H1621" s="22"/>
      <c r="I1621" s="22" t="s">
        <v>172</v>
      </c>
      <c r="J1621" s="22"/>
      <c r="K1621" s="24" t="s">
        <v>7946</v>
      </c>
      <c r="L1621" s="24"/>
      <c r="M1621" s="25" t="s">
        <v>6596</v>
      </c>
      <c r="N1621" s="22" t="s">
        <v>6597</v>
      </c>
      <c r="O1621" s="22" t="s">
        <v>6598</v>
      </c>
      <c r="P1621" s="22" t="str">
        <f>HYPERLINK("https://ceds.ed.gov/cedselementdetails.aspx?termid=22488")</f>
        <v>https://ceds.ed.gov/cedselementdetails.aspx?termid=22488</v>
      </c>
      <c r="Q1621" s="22">
        <v>62153</v>
      </c>
    </row>
    <row r="1622" spans="1:17" ht="100.8" x14ac:dyDescent="0.3">
      <c r="A1622" s="22" t="s">
        <v>7779</v>
      </c>
      <c r="B1622" s="22" t="s">
        <v>7794</v>
      </c>
      <c r="C1622" s="22" t="s">
        <v>7820</v>
      </c>
      <c r="D1622" s="22" t="s">
        <v>7710</v>
      </c>
      <c r="E1622" s="22" t="s">
        <v>6604</v>
      </c>
      <c r="F1622" s="24" t="s">
        <v>6605</v>
      </c>
      <c r="G1622" s="23" t="s">
        <v>32</v>
      </c>
      <c r="H1622" s="22"/>
      <c r="I1622" s="22"/>
      <c r="J1622" s="22" t="s">
        <v>6607</v>
      </c>
      <c r="K1622" s="24"/>
      <c r="L1622" s="24" t="s">
        <v>8309</v>
      </c>
      <c r="M1622" s="25" t="s">
        <v>6608</v>
      </c>
      <c r="N1622" s="22" t="s">
        <v>6609</v>
      </c>
      <c r="O1622" s="22" t="s">
        <v>6610</v>
      </c>
      <c r="P1622" s="22" t="str">
        <f>HYPERLINK("https://ceds.ed.gov/cedselementdetails.aspx?termid=22452")</f>
        <v>https://ceds.ed.gov/cedselementdetails.aspx?termid=22452</v>
      </c>
      <c r="Q1622" s="22">
        <v>62154</v>
      </c>
    </row>
    <row r="1623" spans="1:17" ht="100.8" x14ac:dyDescent="0.3">
      <c r="A1623" s="22" t="s">
        <v>7779</v>
      </c>
      <c r="B1623" s="22" t="s">
        <v>7794</v>
      </c>
      <c r="C1623" s="22" t="s">
        <v>7820</v>
      </c>
      <c r="D1623" s="22" t="s">
        <v>7710</v>
      </c>
      <c r="E1623" s="22" t="s">
        <v>4297</v>
      </c>
      <c r="F1623" s="24" t="s">
        <v>4298</v>
      </c>
      <c r="G1623" s="26" t="s">
        <v>22</v>
      </c>
      <c r="H1623" s="24" t="s">
        <v>1521</v>
      </c>
      <c r="I1623" s="22"/>
      <c r="J1623" s="22"/>
      <c r="K1623" s="24"/>
      <c r="L1623" s="24"/>
      <c r="M1623" s="25" t="s">
        <v>4300</v>
      </c>
      <c r="N1623" s="22"/>
      <c r="O1623" s="22" t="s">
        <v>4301</v>
      </c>
      <c r="P1623" s="22" t="str">
        <f>HYPERLINK("https://ceds.ed.gov/cedselementdetails.aspx?termid=21137")</f>
        <v>https://ceds.ed.gov/cedselementdetails.aspx?termid=21137</v>
      </c>
      <c r="Q1623" s="22">
        <v>62155</v>
      </c>
    </row>
    <row r="1624" spans="1:17" ht="100.8" x14ac:dyDescent="0.3">
      <c r="A1624" s="22" t="s">
        <v>7779</v>
      </c>
      <c r="B1624" s="22" t="s">
        <v>7794</v>
      </c>
      <c r="C1624" s="22" t="s">
        <v>7820</v>
      </c>
      <c r="D1624" s="22" t="s">
        <v>7710</v>
      </c>
      <c r="E1624" s="22" t="s">
        <v>2975</v>
      </c>
      <c r="F1624" s="24" t="s">
        <v>2976</v>
      </c>
      <c r="G1624" s="23" t="s">
        <v>32</v>
      </c>
      <c r="H1624" s="22" t="s">
        <v>58</v>
      </c>
      <c r="I1624" s="22"/>
      <c r="J1624" s="22" t="s">
        <v>1518</v>
      </c>
      <c r="K1624" s="24"/>
      <c r="L1624" s="24" t="s">
        <v>8072</v>
      </c>
      <c r="M1624" s="25" t="s">
        <v>2978</v>
      </c>
      <c r="N1624" s="22"/>
      <c r="O1624" s="22" t="s">
        <v>2979</v>
      </c>
      <c r="P1624" s="22" t="str">
        <f>HYPERLINK("https://ceds.ed.gov/cedselementdetails.aspx?termid=21058")</f>
        <v>https://ceds.ed.gov/cedselementdetails.aspx?termid=21058</v>
      </c>
      <c r="Q1624" s="22">
        <v>62156</v>
      </c>
    </row>
    <row r="1625" spans="1:17" ht="331.2" x14ac:dyDescent="0.3">
      <c r="A1625" s="22" t="s">
        <v>7779</v>
      </c>
      <c r="B1625" s="22" t="s">
        <v>7794</v>
      </c>
      <c r="C1625" s="22" t="s">
        <v>7820</v>
      </c>
      <c r="D1625" s="22" t="s">
        <v>7710</v>
      </c>
      <c r="E1625" s="22" t="s">
        <v>4194</v>
      </c>
      <c r="F1625" s="24" t="s">
        <v>4195</v>
      </c>
      <c r="G1625" s="26" t="s">
        <v>8433</v>
      </c>
      <c r="H1625" s="24" t="s">
        <v>64</v>
      </c>
      <c r="I1625" s="22" t="s">
        <v>172</v>
      </c>
      <c r="J1625" s="22"/>
      <c r="K1625" s="24" t="s">
        <v>7995</v>
      </c>
      <c r="L1625" s="24"/>
      <c r="M1625" s="25" t="s">
        <v>4197</v>
      </c>
      <c r="N1625" s="22"/>
      <c r="O1625" s="22" t="s">
        <v>4198</v>
      </c>
      <c r="P1625" s="22" t="str">
        <f>HYPERLINK("https://ceds.ed.gov/cedselementdetails.aspx?termid=21125")</f>
        <v>https://ceds.ed.gov/cedselementdetails.aspx?termid=21125</v>
      </c>
      <c r="Q1625" s="22">
        <v>62157</v>
      </c>
    </row>
    <row r="1626" spans="1:17" ht="374.4" x14ac:dyDescent="0.3">
      <c r="A1626" s="22" t="s">
        <v>7779</v>
      </c>
      <c r="B1626" s="22" t="s">
        <v>7794</v>
      </c>
      <c r="C1626" s="22" t="s">
        <v>7765</v>
      </c>
      <c r="D1626" s="22" t="s">
        <v>7710</v>
      </c>
      <c r="E1626" s="22" t="s">
        <v>4363</v>
      </c>
      <c r="F1626" s="24" t="s">
        <v>4364</v>
      </c>
      <c r="G1626" s="26" t="s">
        <v>22</v>
      </c>
      <c r="H1626" s="24" t="s">
        <v>4367</v>
      </c>
      <c r="I1626" s="22"/>
      <c r="J1626" s="22"/>
      <c r="K1626" s="24"/>
      <c r="L1626" s="24"/>
      <c r="M1626" s="25" t="s">
        <v>4365</v>
      </c>
      <c r="N1626" s="22"/>
      <c r="O1626" s="22" t="s">
        <v>4366</v>
      </c>
      <c r="P1626" s="22" t="str">
        <f>HYPERLINK("https://ceds.ed.gov/cedselementdetails.aspx?termid=21149")</f>
        <v>https://ceds.ed.gov/cedselementdetails.aspx?termid=21149</v>
      </c>
      <c r="Q1626" s="22">
        <v>59769</v>
      </c>
    </row>
    <row r="1627" spans="1:17" ht="28.8" x14ac:dyDescent="0.3">
      <c r="A1627" s="22" t="s">
        <v>7779</v>
      </c>
      <c r="B1627" s="22" t="s">
        <v>7794</v>
      </c>
      <c r="C1627" s="22" t="s">
        <v>7765</v>
      </c>
      <c r="D1627" s="22" t="s">
        <v>7710</v>
      </c>
      <c r="E1627" s="22" t="s">
        <v>7008</v>
      </c>
      <c r="F1627" s="24" t="s">
        <v>7009</v>
      </c>
      <c r="G1627" s="23" t="s">
        <v>32</v>
      </c>
      <c r="H1627" s="22"/>
      <c r="I1627" s="22"/>
      <c r="J1627" s="22" t="s">
        <v>118</v>
      </c>
      <c r="K1627" s="24"/>
      <c r="L1627" s="24"/>
      <c r="M1627" s="25" t="s">
        <v>7010</v>
      </c>
      <c r="N1627" s="22"/>
      <c r="O1627" s="22" t="s">
        <v>7011</v>
      </c>
      <c r="P1627" s="22" t="str">
        <f>HYPERLINK("https://ceds.ed.gov/cedselementdetails.aspx?termid=22192")</f>
        <v>https://ceds.ed.gov/cedselementdetails.aspx?termid=22192</v>
      </c>
      <c r="Q1627" s="22">
        <v>59420</v>
      </c>
    </row>
    <row r="1628" spans="1:17" ht="374.4" x14ac:dyDescent="0.3">
      <c r="A1628" s="22" t="s">
        <v>7779</v>
      </c>
      <c r="B1628" s="22" t="s">
        <v>7794</v>
      </c>
      <c r="C1628" s="22" t="s">
        <v>7765</v>
      </c>
      <c r="D1628" s="22" t="s">
        <v>7710</v>
      </c>
      <c r="E1628" s="22" t="s">
        <v>7004</v>
      </c>
      <c r="F1628" s="24" t="s">
        <v>7005</v>
      </c>
      <c r="G1628" s="23" t="s">
        <v>32</v>
      </c>
      <c r="H1628" s="22"/>
      <c r="I1628" s="22"/>
      <c r="J1628" s="22" t="s">
        <v>118</v>
      </c>
      <c r="K1628" s="24"/>
      <c r="L1628" s="24" t="s">
        <v>8332</v>
      </c>
      <c r="M1628" s="25" t="s">
        <v>7006</v>
      </c>
      <c r="N1628" s="22"/>
      <c r="O1628" s="22" t="s">
        <v>7007</v>
      </c>
      <c r="P1628" s="22" t="str">
        <f>HYPERLINK("https://ceds.ed.gov/cedselementdetails.aspx?termid=22193")</f>
        <v>https://ceds.ed.gov/cedselementdetails.aspx?termid=22193</v>
      </c>
      <c r="Q1628" s="22">
        <v>59543</v>
      </c>
    </row>
    <row r="1629" spans="1:17" ht="100.8" x14ac:dyDescent="0.3">
      <c r="A1629" s="22" t="s">
        <v>7779</v>
      </c>
      <c r="B1629" s="22" t="s">
        <v>7794</v>
      </c>
      <c r="C1629" s="22" t="s">
        <v>7765</v>
      </c>
      <c r="D1629" s="22" t="s">
        <v>7710</v>
      </c>
      <c r="E1629" s="22" t="s">
        <v>4351</v>
      </c>
      <c r="F1629" s="24" t="s">
        <v>4352</v>
      </c>
      <c r="G1629" s="26" t="s">
        <v>8926</v>
      </c>
      <c r="H1629" s="22" t="s">
        <v>226</v>
      </c>
      <c r="I1629" s="22"/>
      <c r="J1629" s="22"/>
      <c r="K1629" s="24"/>
      <c r="L1629" s="24"/>
      <c r="M1629" s="25" t="s">
        <v>4353</v>
      </c>
      <c r="N1629" s="22"/>
      <c r="O1629" s="22" t="s">
        <v>4354</v>
      </c>
      <c r="P1629" s="22" t="str">
        <f>HYPERLINK("https://ceds.ed.gov/cedselementdetails.aspx?termid=21146")</f>
        <v>https://ceds.ed.gov/cedselementdetails.aspx?termid=21146</v>
      </c>
      <c r="Q1629" s="22">
        <v>59766</v>
      </c>
    </row>
    <row r="1630" spans="1:17" ht="43.2" x14ac:dyDescent="0.3">
      <c r="A1630" s="22" t="s">
        <v>7779</v>
      </c>
      <c r="B1630" s="22" t="s">
        <v>7794</v>
      </c>
      <c r="C1630" s="22" t="s">
        <v>7765</v>
      </c>
      <c r="D1630" s="22" t="s">
        <v>7710</v>
      </c>
      <c r="E1630" s="22" t="s">
        <v>4355</v>
      </c>
      <c r="F1630" s="24" t="s">
        <v>8213</v>
      </c>
      <c r="G1630" s="26" t="s">
        <v>22</v>
      </c>
      <c r="H1630" s="22"/>
      <c r="I1630" s="22"/>
      <c r="J1630" s="22"/>
      <c r="K1630" s="24"/>
      <c r="L1630" s="24"/>
      <c r="M1630" s="25" t="s">
        <v>4356</v>
      </c>
      <c r="N1630" s="22"/>
      <c r="O1630" s="22" t="s">
        <v>4357</v>
      </c>
      <c r="P1630" s="22" t="str">
        <f>HYPERLINK("https://ceds.ed.gov/cedselementdetails.aspx?termid=21147")</f>
        <v>https://ceds.ed.gov/cedselementdetails.aspx?termid=21147</v>
      </c>
      <c r="Q1630" s="22">
        <v>59767</v>
      </c>
    </row>
    <row r="1631" spans="1:17" ht="43.2" x14ac:dyDescent="0.3">
      <c r="A1631" s="22" t="s">
        <v>7779</v>
      </c>
      <c r="B1631" s="22" t="s">
        <v>7794</v>
      </c>
      <c r="C1631" s="22" t="s">
        <v>7765</v>
      </c>
      <c r="D1631" s="22" t="s">
        <v>7710</v>
      </c>
      <c r="E1631" s="22" t="s">
        <v>4358</v>
      </c>
      <c r="F1631" s="24" t="s">
        <v>4359</v>
      </c>
      <c r="G1631" s="26" t="s">
        <v>22</v>
      </c>
      <c r="H1631" s="22" t="s">
        <v>226</v>
      </c>
      <c r="I1631" s="22"/>
      <c r="J1631" s="22"/>
      <c r="K1631" s="24"/>
      <c r="L1631" s="24"/>
      <c r="M1631" s="25" t="s">
        <v>4361</v>
      </c>
      <c r="N1631" s="22"/>
      <c r="O1631" s="22" t="s">
        <v>4362</v>
      </c>
      <c r="P1631" s="22" t="str">
        <f>HYPERLINK("https://ceds.ed.gov/cedselementdetails.aspx?termid=21148")</f>
        <v>https://ceds.ed.gov/cedselementdetails.aspx?termid=21148</v>
      </c>
      <c r="Q1631" s="22">
        <v>59768</v>
      </c>
    </row>
    <row r="1632" spans="1:17" ht="100.8" x14ac:dyDescent="0.3">
      <c r="A1632" s="22" t="s">
        <v>7779</v>
      </c>
      <c r="B1632" s="22" t="s">
        <v>7794</v>
      </c>
      <c r="C1632" s="22" t="s">
        <v>7821</v>
      </c>
      <c r="D1632" s="22" t="s">
        <v>7710</v>
      </c>
      <c r="E1632" s="22" t="s">
        <v>7249</v>
      </c>
      <c r="F1632" s="24" t="s">
        <v>7250</v>
      </c>
      <c r="G1632" s="26" t="s">
        <v>22</v>
      </c>
      <c r="H1632" s="24" t="s">
        <v>64</v>
      </c>
      <c r="I1632" s="22"/>
      <c r="J1632" s="22"/>
      <c r="K1632" s="24"/>
      <c r="L1632" s="24"/>
      <c r="M1632" s="25" t="s">
        <v>7251</v>
      </c>
      <c r="N1632" s="22"/>
      <c r="O1632" s="22" t="s">
        <v>7252</v>
      </c>
      <c r="P1632" s="22" t="str">
        <f>HYPERLINK("https://ceds.ed.gov/cedselementdetails.aspx?termid=21291")</f>
        <v>https://ceds.ed.gov/cedselementdetails.aspx?termid=21291</v>
      </c>
      <c r="Q1632" s="22">
        <v>59826</v>
      </c>
    </row>
    <row r="1633" spans="1:17" ht="86.4" x14ac:dyDescent="0.3">
      <c r="A1633" s="22" t="s">
        <v>7779</v>
      </c>
      <c r="B1633" s="22" t="s">
        <v>7794</v>
      </c>
      <c r="C1633" s="22" t="s">
        <v>7821</v>
      </c>
      <c r="D1633" s="22" t="s">
        <v>7710</v>
      </c>
      <c r="E1633" s="22" t="s">
        <v>7245</v>
      </c>
      <c r="F1633" s="24" t="s">
        <v>7246</v>
      </c>
      <c r="G1633" s="26" t="s">
        <v>22</v>
      </c>
      <c r="H1633" s="22" t="s">
        <v>226</v>
      </c>
      <c r="I1633" s="22"/>
      <c r="J1633" s="22"/>
      <c r="K1633" s="24"/>
      <c r="L1633" s="24"/>
      <c r="M1633" s="25" t="s">
        <v>7247</v>
      </c>
      <c r="N1633" s="22"/>
      <c r="O1633" s="22" t="s">
        <v>7248</v>
      </c>
      <c r="P1633" s="22" t="str">
        <f>HYPERLINK("https://ceds.ed.gov/cedselementdetails.aspx?termid=21290")</f>
        <v>https://ceds.ed.gov/cedselementdetails.aspx?termid=21290</v>
      </c>
      <c r="Q1633" s="22">
        <v>59825</v>
      </c>
    </row>
    <row r="1634" spans="1:17" ht="28.8" x14ac:dyDescent="0.3">
      <c r="A1634" s="22" t="s">
        <v>7779</v>
      </c>
      <c r="B1634" s="22" t="s">
        <v>7794</v>
      </c>
      <c r="C1634" s="22" t="s">
        <v>7821</v>
      </c>
      <c r="D1634" s="22" t="s">
        <v>7710</v>
      </c>
      <c r="E1634" s="22" t="s">
        <v>7008</v>
      </c>
      <c r="F1634" s="24" t="s">
        <v>7009</v>
      </c>
      <c r="G1634" s="23" t="s">
        <v>32</v>
      </c>
      <c r="H1634" s="22"/>
      <c r="I1634" s="22"/>
      <c r="J1634" s="22" t="s">
        <v>118</v>
      </c>
      <c r="K1634" s="24"/>
      <c r="L1634" s="24"/>
      <c r="M1634" s="25" t="s">
        <v>7010</v>
      </c>
      <c r="N1634" s="22"/>
      <c r="O1634" s="22" t="s">
        <v>7011</v>
      </c>
      <c r="P1634" s="22" t="str">
        <f>HYPERLINK("https://ceds.ed.gov/cedselementdetails.aspx?termid=22192")</f>
        <v>https://ceds.ed.gov/cedselementdetails.aspx?termid=22192</v>
      </c>
      <c r="Q1634" s="22">
        <v>59983</v>
      </c>
    </row>
    <row r="1635" spans="1:17" ht="374.4" x14ac:dyDescent="0.3">
      <c r="A1635" s="22" t="s">
        <v>7779</v>
      </c>
      <c r="B1635" s="22" t="s">
        <v>7794</v>
      </c>
      <c r="C1635" s="22" t="s">
        <v>7821</v>
      </c>
      <c r="D1635" s="22" t="s">
        <v>7710</v>
      </c>
      <c r="E1635" s="22" t="s">
        <v>7004</v>
      </c>
      <c r="F1635" s="24" t="s">
        <v>7005</v>
      </c>
      <c r="G1635" s="23" t="s">
        <v>32</v>
      </c>
      <c r="H1635" s="22"/>
      <c r="I1635" s="22"/>
      <c r="J1635" s="22" t="s">
        <v>118</v>
      </c>
      <c r="K1635" s="24"/>
      <c r="L1635" s="24" t="s">
        <v>8332</v>
      </c>
      <c r="M1635" s="25" t="s">
        <v>7006</v>
      </c>
      <c r="N1635" s="22"/>
      <c r="O1635" s="22" t="s">
        <v>7007</v>
      </c>
      <c r="P1635" s="22" t="str">
        <f>HYPERLINK("https://ceds.ed.gov/cedselementdetails.aspx?termid=22193")</f>
        <v>https://ceds.ed.gov/cedselementdetails.aspx?termid=22193</v>
      </c>
      <c r="Q1635" s="22">
        <v>59984</v>
      </c>
    </row>
    <row r="1636" spans="1:17" ht="43.2" x14ac:dyDescent="0.3">
      <c r="A1636" s="22" t="s">
        <v>7779</v>
      </c>
      <c r="B1636" s="22" t="s">
        <v>7794</v>
      </c>
      <c r="C1636" s="22" t="s">
        <v>7821</v>
      </c>
      <c r="D1636" s="22" t="s">
        <v>7710</v>
      </c>
      <c r="E1636" s="22" t="s">
        <v>4041</v>
      </c>
      <c r="F1636" s="24" t="s">
        <v>4042</v>
      </c>
      <c r="G1636" s="23" t="s">
        <v>32</v>
      </c>
      <c r="H1636" s="22"/>
      <c r="I1636" s="22"/>
      <c r="J1636" s="22" t="s">
        <v>118</v>
      </c>
      <c r="K1636" s="24"/>
      <c r="L1636" s="24"/>
      <c r="M1636" s="25" t="s">
        <v>4044</v>
      </c>
      <c r="N1636" s="22"/>
      <c r="O1636" s="22" t="s">
        <v>4045</v>
      </c>
      <c r="P1636" s="22" t="str">
        <f>HYPERLINK("https://ceds.ed.gov/cedselementdetails.aspx?termid=21520")</f>
        <v>https://ceds.ed.gov/cedselementdetails.aspx?termid=21520</v>
      </c>
      <c r="Q1636" s="22">
        <v>59860</v>
      </c>
    </row>
    <row r="1637" spans="1:17" ht="409.6" x14ac:dyDescent="0.3">
      <c r="A1637" s="22" t="s">
        <v>7779</v>
      </c>
      <c r="B1637" s="22" t="s">
        <v>7794</v>
      </c>
      <c r="C1637" s="22" t="s">
        <v>7822</v>
      </c>
      <c r="D1637" s="22" t="s">
        <v>7710</v>
      </c>
      <c r="E1637" s="22" t="s">
        <v>3577</v>
      </c>
      <c r="F1637" s="24" t="s">
        <v>8107</v>
      </c>
      <c r="G1637" s="26" t="s">
        <v>22</v>
      </c>
      <c r="H1637" s="24" t="s">
        <v>1901</v>
      </c>
      <c r="I1637" s="22" t="s">
        <v>172</v>
      </c>
      <c r="J1637" s="22"/>
      <c r="K1637" s="24" t="s">
        <v>8108</v>
      </c>
      <c r="L1637" s="24" t="s">
        <v>3578</v>
      </c>
      <c r="M1637" s="25" t="s">
        <v>3579</v>
      </c>
      <c r="N1637" s="22"/>
      <c r="O1637" s="22" t="s">
        <v>3580</v>
      </c>
      <c r="P1637" s="22" t="str">
        <f>HYPERLINK("https://ceds.ed.gov/cedselementdetails.aspx?termid=21180")</f>
        <v>https://ceds.ed.gov/cedselementdetails.aspx?termid=21180</v>
      </c>
      <c r="Q1637" s="22">
        <v>59783</v>
      </c>
    </row>
    <row r="1638" spans="1:17" ht="57.6" x14ac:dyDescent="0.3">
      <c r="A1638" s="22" t="s">
        <v>7779</v>
      </c>
      <c r="B1638" s="22" t="s">
        <v>7794</v>
      </c>
      <c r="C1638" s="22" t="s">
        <v>7822</v>
      </c>
      <c r="D1638" s="22" t="s">
        <v>7710</v>
      </c>
      <c r="E1638" s="22" t="s">
        <v>6197</v>
      </c>
      <c r="F1638" s="24" t="s">
        <v>6198</v>
      </c>
      <c r="G1638" s="23" t="s">
        <v>32</v>
      </c>
      <c r="H1638" s="24" t="s">
        <v>6201</v>
      </c>
      <c r="I1638" s="22"/>
      <c r="J1638" s="22" t="s">
        <v>118</v>
      </c>
      <c r="K1638" s="24"/>
      <c r="L1638" s="24"/>
      <c r="M1638" s="25" t="s">
        <v>6199</v>
      </c>
      <c r="N1638" s="22"/>
      <c r="O1638" s="22" t="s">
        <v>6200</v>
      </c>
      <c r="P1638" s="22" t="str">
        <f>HYPERLINK("https://ceds.ed.gov/cedselementdetails.aspx?termid=21583")</f>
        <v>https://ceds.ed.gov/cedselementdetails.aspx?termid=21583</v>
      </c>
      <c r="Q1638" s="22">
        <v>59985</v>
      </c>
    </row>
    <row r="1639" spans="1:17" ht="57.6" x14ac:dyDescent="0.3">
      <c r="A1639" s="22" t="s">
        <v>7779</v>
      </c>
      <c r="B1639" s="22" t="s">
        <v>7794</v>
      </c>
      <c r="C1639" s="22" t="s">
        <v>7822</v>
      </c>
      <c r="D1639" s="22" t="s">
        <v>7710</v>
      </c>
      <c r="E1639" s="22" t="s">
        <v>6193</v>
      </c>
      <c r="F1639" s="24" t="s">
        <v>1938</v>
      </c>
      <c r="G1639" s="23" t="s">
        <v>32</v>
      </c>
      <c r="H1639" s="24" t="s">
        <v>6196</v>
      </c>
      <c r="I1639" s="22"/>
      <c r="J1639" s="22" t="s">
        <v>118</v>
      </c>
      <c r="K1639" s="24"/>
      <c r="L1639" s="24" t="s">
        <v>143</v>
      </c>
      <c r="M1639" s="25" t="s">
        <v>6194</v>
      </c>
      <c r="N1639" s="22"/>
      <c r="O1639" s="22" t="s">
        <v>6195</v>
      </c>
      <c r="P1639" s="22" t="str">
        <f>HYPERLINK("https://ceds.ed.gov/cedselementdetails.aspx?termid=21584")</f>
        <v>https://ceds.ed.gov/cedselementdetails.aspx?termid=21584</v>
      </c>
      <c r="Q1639" s="22">
        <v>59986</v>
      </c>
    </row>
    <row r="1640" spans="1:17" ht="115.2" x14ac:dyDescent="0.3">
      <c r="A1640" s="22" t="s">
        <v>7779</v>
      </c>
      <c r="B1640" s="22" t="s">
        <v>7794</v>
      </c>
      <c r="C1640" s="22" t="s">
        <v>7822</v>
      </c>
      <c r="D1640" s="22" t="s">
        <v>7710</v>
      </c>
      <c r="E1640" s="22" t="s">
        <v>8269</v>
      </c>
      <c r="F1640" s="24" t="s">
        <v>8270</v>
      </c>
      <c r="G1640" s="26" t="s">
        <v>22</v>
      </c>
      <c r="H1640" s="22" t="s">
        <v>226</v>
      </c>
      <c r="I1640" s="22" t="s">
        <v>172</v>
      </c>
      <c r="J1640" s="22"/>
      <c r="K1640" s="24" t="s">
        <v>8271</v>
      </c>
      <c r="L1640" s="24"/>
      <c r="M1640" s="25" t="s">
        <v>5817</v>
      </c>
      <c r="N1640" s="22"/>
      <c r="O1640" s="22" t="s">
        <v>8272</v>
      </c>
      <c r="P1640" s="22" t="str">
        <f>HYPERLINK("https://ceds.ed.gov/cedselementdetails.aspx?termid=21574")</f>
        <v>https://ceds.ed.gov/cedselementdetails.aspx?termid=21574</v>
      </c>
      <c r="Q1640" s="22">
        <v>59887</v>
      </c>
    </row>
    <row r="1641" spans="1:17" ht="57.6" x14ac:dyDescent="0.3">
      <c r="A1641" s="22" t="s">
        <v>7779</v>
      </c>
      <c r="B1641" s="22" t="s">
        <v>7794</v>
      </c>
      <c r="C1641" s="22" t="s">
        <v>7822</v>
      </c>
      <c r="D1641" s="22" t="s">
        <v>7710</v>
      </c>
      <c r="E1641" s="22" t="s">
        <v>7237</v>
      </c>
      <c r="F1641" s="24" t="s">
        <v>7238</v>
      </c>
      <c r="G1641" s="26" t="s">
        <v>9174</v>
      </c>
      <c r="H1641" s="22" t="s">
        <v>226</v>
      </c>
      <c r="I1641" s="22"/>
      <c r="J1641" s="22"/>
      <c r="K1641" s="24"/>
      <c r="L1641" s="24"/>
      <c r="M1641" s="25" t="s">
        <v>7239</v>
      </c>
      <c r="N1641" s="22"/>
      <c r="O1641" s="22" t="s">
        <v>7240</v>
      </c>
      <c r="P1641" s="22" t="str">
        <f>HYPERLINK("https://ceds.ed.gov/cedselementdetails.aspx?termid=21527")</f>
        <v>https://ceds.ed.gov/cedselementdetails.aspx?termid=21527</v>
      </c>
      <c r="Q1641" s="22">
        <v>59865</v>
      </c>
    </row>
    <row r="1642" spans="1:17" ht="57.6" x14ac:dyDescent="0.3">
      <c r="A1642" s="22" t="s">
        <v>7779</v>
      </c>
      <c r="B1642" s="22" t="s">
        <v>7794</v>
      </c>
      <c r="C1642" s="22" t="s">
        <v>7822</v>
      </c>
      <c r="D1642" s="22" t="s">
        <v>7710</v>
      </c>
      <c r="E1642" s="22" t="s">
        <v>7241</v>
      </c>
      <c r="F1642" s="24" t="s">
        <v>7242</v>
      </c>
      <c r="G1642" s="26" t="s">
        <v>22</v>
      </c>
      <c r="H1642" s="22" t="s">
        <v>226</v>
      </c>
      <c r="I1642" s="22" t="s">
        <v>172</v>
      </c>
      <c r="J1642" s="22"/>
      <c r="K1642" s="24" t="s">
        <v>8341</v>
      </c>
      <c r="L1642" s="24"/>
      <c r="M1642" s="25" t="s">
        <v>7243</v>
      </c>
      <c r="N1642" s="22"/>
      <c r="O1642" s="22" t="s">
        <v>7244</v>
      </c>
      <c r="P1642" s="22" t="str">
        <f>HYPERLINK("https://ceds.ed.gov/cedselementdetails.aspx?termid=21557")</f>
        <v>https://ceds.ed.gov/cedselementdetails.aspx?termid=21557</v>
      </c>
      <c r="Q1642" s="22">
        <v>59877</v>
      </c>
    </row>
    <row r="1643" spans="1:17" ht="144" x14ac:dyDescent="0.3">
      <c r="A1643" s="22" t="s">
        <v>7779</v>
      </c>
      <c r="B1643" s="22" t="s">
        <v>7794</v>
      </c>
      <c r="C1643" s="22" t="s">
        <v>7822</v>
      </c>
      <c r="D1643" s="22" t="s">
        <v>7710</v>
      </c>
      <c r="E1643" s="22" t="s">
        <v>7316</v>
      </c>
      <c r="F1643" s="24" t="s">
        <v>7317</v>
      </c>
      <c r="G1643" s="26" t="s">
        <v>9183</v>
      </c>
      <c r="H1643" s="22" t="s">
        <v>214</v>
      </c>
      <c r="I1643" s="22"/>
      <c r="J1643" s="22"/>
      <c r="K1643" s="24"/>
      <c r="L1643" s="24"/>
      <c r="M1643" s="25" t="s">
        <v>7319</v>
      </c>
      <c r="N1643" s="22" t="s">
        <v>7320</v>
      </c>
      <c r="O1643" s="22" t="s">
        <v>7321</v>
      </c>
      <c r="P1643" s="22" t="str">
        <f>HYPERLINK("https://ceds.ed.gov/cedselementdetails.aspx?termid=21477")</f>
        <v>https://ceds.ed.gov/cedselementdetails.aspx?termid=21477</v>
      </c>
      <c r="Q1643" s="22">
        <v>63003</v>
      </c>
    </row>
    <row r="1644" spans="1:17" ht="230.4" x14ac:dyDescent="0.3">
      <c r="A1644" s="22" t="s">
        <v>7779</v>
      </c>
      <c r="B1644" s="22" t="s">
        <v>7794</v>
      </c>
      <c r="C1644" s="22" t="s">
        <v>7822</v>
      </c>
      <c r="D1644" s="22" t="s">
        <v>7710</v>
      </c>
      <c r="E1644" s="22" t="s">
        <v>7538</v>
      </c>
      <c r="F1644" s="24" t="s">
        <v>7539</v>
      </c>
      <c r="G1644" s="23" t="s">
        <v>32</v>
      </c>
      <c r="H1644" s="22"/>
      <c r="I1644" s="22"/>
      <c r="J1644" s="22" t="s">
        <v>118</v>
      </c>
      <c r="K1644" s="24"/>
      <c r="L1644" s="24" t="s">
        <v>7540</v>
      </c>
      <c r="M1644" s="25" t="s">
        <v>7541</v>
      </c>
      <c r="N1644" s="22"/>
      <c r="O1644" s="22" t="s">
        <v>7542</v>
      </c>
      <c r="P1644" s="22" t="str">
        <f>HYPERLINK("https://ceds.ed.gov/cedselementdetails.aspx?termid=22934")</f>
        <v>https://ceds.ed.gov/cedselementdetails.aspx?termid=22934</v>
      </c>
      <c r="Q1644" s="22">
        <v>63565</v>
      </c>
    </row>
    <row r="1645" spans="1:17" ht="158.4" x14ac:dyDescent="0.3">
      <c r="A1645" s="22" t="s">
        <v>7779</v>
      </c>
      <c r="B1645" s="22" t="s">
        <v>7794</v>
      </c>
      <c r="C1645" s="22" t="s">
        <v>7822</v>
      </c>
      <c r="D1645" s="22" t="s">
        <v>7710</v>
      </c>
      <c r="E1645" s="22" t="s">
        <v>7543</v>
      </c>
      <c r="F1645" s="24" t="s">
        <v>7544</v>
      </c>
      <c r="G1645" s="26" t="s">
        <v>3039</v>
      </c>
      <c r="H1645" s="22"/>
      <c r="I1645" s="22"/>
      <c r="J1645" s="22"/>
      <c r="K1645" s="24"/>
      <c r="L1645" s="24" t="s">
        <v>7545</v>
      </c>
      <c r="M1645" s="25" t="s">
        <v>7546</v>
      </c>
      <c r="N1645" s="22"/>
      <c r="O1645" s="22" t="s">
        <v>7547</v>
      </c>
      <c r="P1645" s="22" t="str">
        <f>HYPERLINK("https://ceds.ed.gov/cedselementdetails.aspx?termid=22935")</f>
        <v>https://ceds.ed.gov/cedselementdetails.aspx?termid=22935</v>
      </c>
      <c r="Q1645" s="22">
        <v>63566</v>
      </c>
    </row>
    <row r="1646" spans="1:17" ht="172.8" x14ac:dyDescent="0.3">
      <c r="A1646" s="22" t="s">
        <v>7779</v>
      </c>
      <c r="B1646" s="22" t="s">
        <v>7794</v>
      </c>
      <c r="C1646" s="22" t="s">
        <v>7823</v>
      </c>
      <c r="D1646" s="22" t="s">
        <v>7710</v>
      </c>
      <c r="E1646" s="22" t="s">
        <v>7040</v>
      </c>
      <c r="F1646" s="24" t="s">
        <v>7041</v>
      </c>
      <c r="G1646" s="23" t="s">
        <v>32</v>
      </c>
      <c r="H1646" s="24" t="s">
        <v>7039</v>
      </c>
      <c r="I1646" s="22" t="s">
        <v>172</v>
      </c>
      <c r="J1646" s="22" t="s">
        <v>132</v>
      </c>
      <c r="K1646" s="24" t="s">
        <v>7946</v>
      </c>
      <c r="L1646" s="24" t="s">
        <v>7945</v>
      </c>
      <c r="M1646" s="25" t="s">
        <v>7042</v>
      </c>
      <c r="N1646" s="22"/>
      <c r="O1646" s="22" t="s">
        <v>7043</v>
      </c>
      <c r="P1646" s="22" t="str">
        <f>HYPERLINK("https://ceds.ed.gov/cedselementdetails.aspx?termid=21157")</f>
        <v>https://ceds.ed.gov/cedselementdetails.aspx?termid=21157</v>
      </c>
      <c r="Q1646" s="22">
        <v>59347</v>
      </c>
    </row>
    <row r="1647" spans="1:17" ht="144" x14ac:dyDescent="0.3">
      <c r="A1647" s="22" t="s">
        <v>7779</v>
      </c>
      <c r="B1647" s="22" t="s">
        <v>7794</v>
      </c>
      <c r="C1647" s="22" t="s">
        <v>7823</v>
      </c>
      <c r="D1647" s="22" t="s">
        <v>7710</v>
      </c>
      <c r="E1647" s="22" t="s">
        <v>7035</v>
      </c>
      <c r="F1647" s="24" t="s">
        <v>7036</v>
      </c>
      <c r="G1647" s="26" t="s">
        <v>8540</v>
      </c>
      <c r="H1647" s="24" t="s">
        <v>7039</v>
      </c>
      <c r="I1647" s="22" t="s">
        <v>172</v>
      </c>
      <c r="J1647" s="22"/>
      <c r="K1647" s="24" t="s">
        <v>7946</v>
      </c>
      <c r="L1647" s="24"/>
      <c r="M1647" s="25" t="s">
        <v>7037</v>
      </c>
      <c r="N1647" s="22"/>
      <c r="O1647" s="22" t="s">
        <v>7038</v>
      </c>
      <c r="P1647" s="22" t="str">
        <f>HYPERLINK("https://ceds.ed.gov/cedselementdetails.aspx?termid=21163")</f>
        <v>https://ceds.ed.gov/cedselementdetails.aspx?termid=21163</v>
      </c>
      <c r="Q1647" s="22">
        <v>59346</v>
      </c>
    </row>
    <row r="1648" spans="1:17" ht="230.4" x14ac:dyDescent="0.3">
      <c r="A1648" s="22" t="s">
        <v>7779</v>
      </c>
      <c r="B1648" s="22" t="s">
        <v>7794</v>
      </c>
      <c r="C1648" s="22" t="s">
        <v>7823</v>
      </c>
      <c r="D1648" s="22" t="s">
        <v>7710</v>
      </c>
      <c r="E1648" s="22" t="s">
        <v>5474</v>
      </c>
      <c r="F1648" s="24" t="s">
        <v>5475</v>
      </c>
      <c r="G1648" s="26" t="s">
        <v>22</v>
      </c>
      <c r="H1648" s="24" t="s">
        <v>1901</v>
      </c>
      <c r="I1648" s="22"/>
      <c r="J1648" s="22"/>
      <c r="K1648" s="24"/>
      <c r="L1648" s="24"/>
      <c r="M1648" s="25" t="s">
        <v>5476</v>
      </c>
      <c r="N1648" s="22"/>
      <c r="O1648" s="22" t="s">
        <v>5477</v>
      </c>
      <c r="P1648" s="22" t="str">
        <f>HYPERLINK("https://ceds.ed.gov/cedselementdetails.aspx?termid=21189")</f>
        <v>https://ceds.ed.gov/cedselementdetails.aspx?termid=21189</v>
      </c>
      <c r="Q1648" s="22">
        <v>59789</v>
      </c>
    </row>
    <row r="1649" spans="1:17" ht="57.6" x14ac:dyDescent="0.3">
      <c r="A1649" s="22" t="s">
        <v>7779</v>
      </c>
      <c r="B1649" s="22" t="s">
        <v>7794</v>
      </c>
      <c r="C1649" s="22" t="s">
        <v>7823</v>
      </c>
      <c r="D1649" s="22" t="s">
        <v>7710</v>
      </c>
      <c r="E1649" s="22" t="s">
        <v>6197</v>
      </c>
      <c r="F1649" s="24" t="s">
        <v>6198</v>
      </c>
      <c r="G1649" s="23" t="s">
        <v>32</v>
      </c>
      <c r="H1649" s="24" t="s">
        <v>6201</v>
      </c>
      <c r="I1649" s="22"/>
      <c r="J1649" s="22" t="s">
        <v>118</v>
      </c>
      <c r="K1649" s="24"/>
      <c r="L1649" s="24"/>
      <c r="M1649" s="25" t="s">
        <v>6199</v>
      </c>
      <c r="N1649" s="22"/>
      <c r="O1649" s="22" t="s">
        <v>6200</v>
      </c>
      <c r="P1649" s="22" t="str">
        <f>HYPERLINK("https://ceds.ed.gov/cedselementdetails.aspx?termid=21583")</f>
        <v>https://ceds.ed.gov/cedselementdetails.aspx?termid=21583</v>
      </c>
      <c r="Q1649" s="22">
        <v>59987</v>
      </c>
    </row>
    <row r="1650" spans="1:17" ht="57.6" x14ac:dyDescent="0.3">
      <c r="A1650" s="22" t="s">
        <v>7779</v>
      </c>
      <c r="B1650" s="22" t="s">
        <v>7794</v>
      </c>
      <c r="C1650" s="22" t="s">
        <v>7823</v>
      </c>
      <c r="D1650" s="22" t="s">
        <v>7710</v>
      </c>
      <c r="E1650" s="22" t="s">
        <v>6193</v>
      </c>
      <c r="F1650" s="24" t="s">
        <v>1938</v>
      </c>
      <c r="G1650" s="23" t="s">
        <v>32</v>
      </c>
      <c r="H1650" s="24" t="s">
        <v>6196</v>
      </c>
      <c r="I1650" s="22"/>
      <c r="J1650" s="22" t="s">
        <v>118</v>
      </c>
      <c r="K1650" s="24"/>
      <c r="L1650" s="24" t="s">
        <v>143</v>
      </c>
      <c r="M1650" s="25" t="s">
        <v>6194</v>
      </c>
      <c r="N1650" s="22"/>
      <c r="O1650" s="22" t="s">
        <v>6195</v>
      </c>
      <c r="P1650" s="22" t="str">
        <f>HYPERLINK("https://ceds.ed.gov/cedselementdetails.aspx?termid=21584")</f>
        <v>https://ceds.ed.gov/cedselementdetails.aspx?termid=21584</v>
      </c>
      <c r="Q1650" s="22">
        <v>59988</v>
      </c>
    </row>
    <row r="1651" spans="1:17" ht="115.2" x14ac:dyDescent="0.3">
      <c r="A1651" s="22" t="s">
        <v>7779</v>
      </c>
      <c r="B1651" s="22" t="s">
        <v>7794</v>
      </c>
      <c r="C1651" s="22" t="s">
        <v>7823</v>
      </c>
      <c r="D1651" s="22" t="s">
        <v>7710</v>
      </c>
      <c r="E1651" s="22" t="s">
        <v>5424</v>
      </c>
      <c r="F1651" s="24" t="s">
        <v>5425</v>
      </c>
      <c r="G1651" s="23" t="s">
        <v>32</v>
      </c>
      <c r="H1651" s="22" t="s">
        <v>1553</v>
      </c>
      <c r="I1651" s="22"/>
      <c r="J1651" s="22" t="s">
        <v>118</v>
      </c>
      <c r="K1651" s="24"/>
      <c r="L1651" s="24"/>
      <c r="M1651" s="25" t="s">
        <v>5426</v>
      </c>
      <c r="N1651" s="22" t="s">
        <v>5427</v>
      </c>
      <c r="O1651" s="22" t="s">
        <v>5428</v>
      </c>
      <c r="P1651" s="22" t="str">
        <f>HYPERLINK("https://ceds.ed.gov/cedselementdetails.aspx?termid=21420")</f>
        <v>https://ceds.ed.gov/cedselementdetails.aspx?termid=21420</v>
      </c>
      <c r="Q1651" s="22">
        <v>59840</v>
      </c>
    </row>
    <row r="1652" spans="1:17" ht="43.2" x14ac:dyDescent="0.3">
      <c r="A1652" s="22" t="s">
        <v>7779</v>
      </c>
      <c r="B1652" s="22" t="s">
        <v>7794</v>
      </c>
      <c r="C1652" s="22" t="s">
        <v>7823</v>
      </c>
      <c r="D1652" s="22" t="s">
        <v>7710</v>
      </c>
      <c r="E1652" s="22" t="s">
        <v>5434</v>
      </c>
      <c r="F1652" s="24" t="s">
        <v>5435</v>
      </c>
      <c r="G1652" s="26" t="s">
        <v>22</v>
      </c>
      <c r="H1652" s="22" t="s">
        <v>226</v>
      </c>
      <c r="I1652" s="22"/>
      <c r="J1652" s="22"/>
      <c r="K1652" s="24"/>
      <c r="L1652" s="24"/>
      <c r="M1652" s="25" t="s">
        <v>5436</v>
      </c>
      <c r="N1652" s="22" t="s">
        <v>5437</v>
      </c>
      <c r="O1652" s="22" t="s">
        <v>5438</v>
      </c>
      <c r="P1652" s="22" t="str">
        <f>HYPERLINK("https://ceds.ed.gov/cedselementdetails.aspx?termid=21185")</f>
        <v>https://ceds.ed.gov/cedselementdetails.aspx?termid=21185</v>
      </c>
      <c r="Q1652" s="22">
        <v>59787</v>
      </c>
    </row>
    <row r="1653" spans="1:17" ht="100.8" x14ac:dyDescent="0.3">
      <c r="A1653" s="22" t="s">
        <v>7779</v>
      </c>
      <c r="B1653" s="22" t="s">
        <v>7794</v>
      </c>
      <c r="C1653" s="22" t="s">
        <v>7823</v>
      </c>
      <c r="D1653" s="22" t="s">
        <v>7710</v>
      </c>
      <c r="E1653" s="22" t="s">
        <v>5429</v>
      </c>
      <c r="F1653" s="24" t="s">
        <v>5430</v>
      </c>
      <c r="G1653" s="26" t="s">
        <v>9028</v>
      </c>
      <c r="H1653" s="22" t="s">
        <v>1553</v>
      </c>
      <c r="I1653" s="22"/>
      <c r="J1653" s="22"/>
      <c r="K1653" s="24"/>
      <c r="L1653" s="24"/>
      <c r="M1653" s="25" t="s">
        <v>5431</v>
      </c>
      <c r="N1653" s="22" t="s">
        <v>5432</v>
      </c>
      <c r="O1653" s="22" t="s">
        <v>5433</v>
      </c>
      <c r="P1653" s="22" t="str">
        <f>HYPERLINK("https://ceds.ed.gov/cedselementdetails.aspx?termid=21427")</f>
        <v>https://ceds.ed.gov/cedselementdetails.aspx?termid=21427</v>
      </c>
      <c r="Q1653" s="22">
        <v>59847</v>
      </c>
    </row>
    <row r="1654" spans="1:17" ht="115.2" x14ac:dyDescent="0.3">
      <c r="A1654" s="22" t="s">
        <v>7779</v>
      </c>
      <c r="B1654" s="22" t="s">
        <v>7794</v>
      </c>
      <c r="C1654" s="22" t="s">
        <v>7823</v>
      </c>
      <c r="D1654" s="22" t="s">
        <v>7710</v>
      </c>
      <c r="E1654" s="22" t="s">
        <v>5454</v>
      </c>
      <c r="F1654" s="24" t="s">
        <v>5455</v>
      </c>
      <c r="G1654" s="26" t="s">
        <v>9031</v>
      </c>
      <c r="H1654" s="22" t="s">
        <v>226</v>
      </c>
      <c r="I1654" s="22"/>
      <c r="J1654" s="22"/>
      <c r="K1654" s="24"/>
      <c r="L1654" s="24"/>
      <c r="M1654" s="25" t="s">
        <v>5456</v>
      </c>
      <c r="N1654" s="22" t="s">
        <v>5457</v>
      </c>
      <c r="O1654" s="22" t="s">
        <v>5458</v>
      </c>
      <c r="P1654" s="22" t="str">
        <f>HYPERLINK("https://ceds.ed.gov/cedselementdetails.aspx?termid=21186")</f>
        <v>https://ceds.ed.gov/cedselementdetails.aspx?termid=21186</v>
      </c>
      <c r="Q1654" s="22">
        <v>59788</v>
      </c>
    </row>
    <row r="1655" spans="1:17" ht="72" x14ac:dyDescent="0.3">
      <c r="A1655" s="22" t="s">
        <v>7779</v>
      </c>
      <c r="B1655" s="22" t="s">
        <v>7794</v>
      </c>
      <c r="C1655" s="22" t="s">
        <v>7823</v>
      </c>
      <c r="D1655" s="22" t="s">
        <v>7710</v>
      </c>
      <c r="E1655" s="22" t="s">
        <v>5419</v>
      </c>
      <c r="F1655" s="24" t="s">
        <v>5420</v>
      </c>
      <c r="G1655" s="26" t="s">
        <v>22</v>
      </c>
      <c r="H1655" s="22" t="s">
        <v>226</v>
      </c>
      <c r="I1655" s="22"/>
      <c r="J1655" s="22"/>
      <c r="K1655" s="24"/>
      <c r="L1655" s="24"/>
      <c r="M1655" s="25" t="s">
        <v>5421</v>
      </c>
      <c r="N1655" s="22" t="s">
        <v>5422</v>
      </c>
      <c r="O1655" s="22" t="s">
        <v>5423</v>
      </c>
      <c r="P1655" s="22" t="str">
        <f>HYPERLINK("https://ceds.ed.gov/cedselementdetails.aspx?termid=21555")</f>
        <v>https://ceds.ed.gov/cedselementdetails.aspx?termid=21555</v>
      </c>
      <c r="Q1655" s="22">
        <v>59876</v>
      </c>
    </row>
    <row r="1656" spans="1:17" ht="72" x14ac:dyDescent="0.3">
      <c r="A1656" s="22" t="s">
        <v>7779</v>
      </c>
      <c r="B1656" s="22" t="s">
        <v>7794</v>
      </c>
      <c r="C1656" s="22" t="s">
        <v>7823</v>
      </c>
      <c r="D1656" s="22" t="s">
        <v>7710</v>
      </c>
      <c r="E1656" s="22" t="s">
        <v>2478</v>
      </c>
      <c r="F1656" s="24" t="s">
        <v>2479</v>
      </c>
      <c r="G1656" s="26" t="s">
        <v>8740</v>
      </c>
      <c r="H1656" s="22" t="s">
        <v>1553</v>
      </c>
      <c r="I1656" s="22"/>
      <c r="J1656" s="22"/>
      <c r="K1656" s="24"/>
      <c r="L1656" s="24"/>
      <c r="M1656" s="25" t="s">
        <v>2481</v>
      </c>
      <c r="N1656" s="22"/>
      <c r="O1656" s="22" t="s">
        <v>2482</v>
      </c>
      <c r="P1656" s="22" t="str">
        <f>HYPERLINK("https://ceds.ed.gov/cedselementdetails.aspx?termid=21419")</f>
        <v>https://ceds.ed.gov/cedselementdetails.aspx?termid=21419</v>
      </c>
      <c r="Q1656" s="22">
        <v>59839</v>
      </c>
    </row>
    <row r="1657" spans="1:17" ht="43.2" x14ac:dyDescent="0.3">
      <c r="A1657" s="22" t="s">
        <v>7779</v>
      </c>
      <c r="B1657" s="22" t="s">
        <v>7794</v>
      </c>
      <c r="C1657" s="22" t="s">
        <v>7823</v>
      </c>
      <c r="D1657" s="22" t="s">
        <v>7710</v>
      </c>
      <c r="E1657" s="22" t="s">
        <v>5444</v>
      </c>
      <c r="F1657" s="24" t="s">
        <v>5445</v>
      </c>
      <c r="G1657" s="26" t="s">
        <v>9029</v>
      </c>
      <c r="H1657" s="22" t="s">
        <v>1553</v>
      </c>
      <c r="I1657" s="22"/>
      <c r="J1657" s="22"/>
      <c r="K1657" s="24"/>
      <c r="L1657" s="24"/>
      <c r="M1657" s="25" t="s">
        <v>5446</v>
      </c>
      <c r="N1657" s="22" t="s">
        <v>5447</v>
      </c>
      <c r="O1657" s="22" t="s">
        <v>5448</v>
      </c>
      <c r="P1657" s="22" t="str">
        <f>HYPERLINK("https://ceds.ed.gov/cedselementdetails.aspx?termid=21430")</f>
        <v>https://ceds.ed.gov/cedselementdetails.aspx?termid=21430</v>
      </c>
      <c r="Q1657" s="22">
        <v>59850</v>
      </c>
    </row>
    <row r="1658" spans="1:17" ht="100.8" x14ac:dyDescent="0.3">
      <c r="A1658" s="22" t="s">
        <v>7779</v>
      </c>
      <c r="B1658" s="22" t="s">
        <v>7794</v>
      </c>
      <c r="C1658" s="22" t="s">
        <v>7823</v>
      </c>
      <c r="D1658" s="22" t="s">
        <v>7710</v>
      </c>
      <c r="E1658" s="22" t="s">
        <v>5470</v>
      </c>
      <c r="F1658" s="24" t="s">
        <v>5471</v>
      </c>
      <c r="G1658" s="26" t="s">
        <v>22</v>
      </c>
      <c r="H1658" s="22" t="s">
        <v>226</v>
      </c>
      <c r="I1658" s="22"/>
      <c r="J1658" s="22"/>
      <c r="K1658" s="24"/>
      <c r="L1658" s="24"/>
      <c r="M1658" s="25" t="s">
        <v>5472</v>
      </c>
      <c r="N1658" s="22"/>
      <c r="O1658" s="22" t="s">
        <v>5473</v>
      </c>
      <c r="P1658" s="22" t="str">
        <f>HYPERLINK("https://ceds.ed.gov/cedselementdetails.aspx?termid=21554")</f>
        <v>https://ceds.ed.gov/cedselementdetails.aspx?termid=21554</v>
      </c>
      <c r="Q1658" s="22">
        <v>59875</v>
      </c>
    </row>
    <row r="1659" spans="1:17" ht="172.8" x14ac:dyDescent="0.3">
      <c r="A1659" s="22" t="s">
        <v>7779</v>
      </c>
      <c r="B1659" s="22" t="s">
        <v>7794</v>
      </c>
      <c r="C1659" s="22" t="s">
        <v>7823</v>
      </c>
      <c r="D1659" s="22" t="s">
        <v>7710</v>
      </c>
      <c r="E1659" s="22" t="s">
        <v>5478</v>
      </c>
      <c r="F1659" s="24" t="s">
        <v>8253</v>
      </c>
      <c r="G1659" s="23" t="s">
        <v>32</v>
      </c>
      <c r="H1659" s="22" t="s">
        <v>1553</v>
      </c>
      <c r="I1659" s="22"/>
      <c r="J1659" s="22" t="s">
        <v>118</v>
      </c>
      <c r="K1659" s="24"/>
      <c r="L1659" s="24"/>
      <c r="M1659" s="25" t="s">
        <v>5479</v>
      </c>
      <c r="N1659" s="22"/>
      <c r="O1659" s="22" t="s">
        <v>5480</v>
      </c>
      <c r="P1659" s="22" t="str">
        <f>HYPERLINK("https://ceds.ed.gov/cedselementdetails.aspx?termid=21422")</f>
        <v>https://ceds.ed.gov/cedselementdetails.aspx?termid=21422</v>
      </c>
      <c r="Q1659" s="22">
        <v>59842</v>
      </c>
    </row>
    <row r="1660" spans="1:17" ht="28.8" x14ac:dyDescent="0.3">
      <c r="A1660" s="22" t="s">
        <v>7779</v>
      </c>
      <c r="B1660" s="22" t="s">
        <v>7794</v>
      </c>
      <c r="C1660" s="22" t="s">
        <v>7823</v>
      </c>
      <c r="D1660" s="22" t="s">
        <v>7710</v>
      </c>
      <c r="E1660" s="22" t="s">
        <v>4978</v>
      </c>
      <c r="F1660" s="24" t="s">
        <v>4979</v>
      </c>
      <c r="G1660" s="23" t="s">
        <v>32</v>
      </c>
      <c r="H1660" s="22" t="s">
        <v>226</v>
      </c>
      <c r="I1660" s="22"/>
      <c r="J1660" s="22" t="s">
        <v>118</v>
      </c>
      <c r="K1660" s="24"/>
      <c r="L1660" s="24"/>
      <c r="M1660" s="25" t="s">
        <v>4980</v>
      </c>
      <c r="N1660" s="22"/>
      <c r="O1660" s="22" t="s">
        <v>4981</v>
      </c>
      <c r="P1660" s="22" t="str">
        <f>HYPERLINK("https://ceds.ed.gov/cedselementdetails.aspx?termid=21171")</f>
        <v>https://ceds.ed.gov/cedselementdetails.aspx?termid=21171</v>
      </c>
      <c r="Q1660" s="22">
        <v>59780</v>
      </c>
    </row>
    <row r="1661" spans="1:17" ht="28.8" x14ac:dyDescent="0.3">
      <c r="A1661" s="22" t="s">
        <v>7779</v>
      </c>
      <c r="B1661" s="22" t="s">
        <v>7794</v>
      </c>
      <c r="C1661" s="22" t="s">
        <v>7823</v>
      </c>
      <c r="D1661" s="22" t="s">
        <v>7710</v>
      </c>
      <c r="E1661" s="22" t="s">
        <v>6287</v>
      </c>
      <c r="F1661" s="24" t="s">
        <v>6288</v>
      </c>
      <c r="G1661" s="23" t="s">
        <v>32</v>
      </c>
      <c r="H1661" s="22" t="s">
        <v>1553</v>
      </c>
      <c r="I1661" s="22"/>
      <c r="J1661" s="22" t="s">
        <v>85</v>
      </c>
      <c r="K1661" s="24"/>
      <c r="L1661" s="24"/>
      <c r="M1661" s="25" t="s">
        <v>6289</v>
      </c>
      <c r="N1661" s="22"/>
      <c r="O1661" s="22" t="s">
        <v>6290</v>
      </c>
      <c r="P1661" s="22" t="str">
        <f>HYPERLINK("https://ceds.ed.gov/cedselementdetails.aspx?termid=21423")</f>
        <v>https://ceds.ed.gov/cedselementdetails.aspx?termid=21423</v>
      </c>
      <c r="Q1661" s="22">
        <v>59843</v>
      </c>
    </row>
    <row r="1662" spans="1:17" ht="409.6" x14ac:dyDescent="0.3">
      <c r="A1662" s="22" t="s">
        <v>7779</v>
      </c>
      <c r="B1662" s="22" t="s">
        <v>7794</v>
      </c>
      <c r="C1662" s="22" t="s">
        <v>7823</v>
      </c>
      <c r="D1662" s="22" t="s">
        <v>7710</v>
      </c>
      <c r="E1662" s="22" t="s">
        <v>6291</v>
      </c>
      <c r="F1662" s="24" t="s">
        <v>6292</v>
      </c>
      <c r="G1662" s="26" t="s">
        <v>8743</v>
      </c>
      <c r="H1662" s="22" t="s">
        <v>1553</v>
      </c>
      <c r="I1662" s="22"/>
      <c r="J1662" s="22"/>
      <c r="K1662" s="24"/>
      <c r="L1662" s="24" t="s">
        <v>8055</v>
      </c>
      <c r="M1662" s="25" t="s">
        <v>6293</v>
      </c>
      <c r="N1662" s="22"/>
      <c r="O1662" s="22" t="s">
        <v>6294</v>
      </c>
      <c r="P1662" s="22" t="str">
        <f>HYPERLINK("https://ceds.ed.gov/cedselementdetails.aspx?termid=21424")</f>
        <v>https://ceds.ed.gov/cedselementdetails.aspx?termid=21424</v>
      </c>
      <c r="Q1662" s="22">
        <v>59844</v>
      </c>
    </row>
    <row r="1663" spans="1:17" ht="409.6" x14ac:dyDescent="0.3">
      <c r="A1663" s="22" t="s">
        <v>7779</v>
      </c>
      <c r="B1663" s="22" t="s">
        <v>7794</v>
      </c>
      <c r="C1663" s="22" t="s">
        <v>7823</v>
      </c>
      <c r="D1663" s="22" t="s">
        <v>7710</v>
      </c>
      <c r="E1663" s="22" t="s">
        <v>6295</v>
      </c>
      <c r="F1663" s="24" t="s">
        <v>6296</v>
      </c>
      <c r="G1663" s="26" t="s">
        <v>9119</v>
      </c>
      <c r="H1663" s="22" t="s">
        <v>1553</v>
      </c>
      <c r="I1663" s="22"/>
      <c r="J1663" s="22"/>
      <c r="K1663" s="24"/>
      <c r="L1663" s="24"/>
      <c r="M1663" s="25" t="s">
        <v>6297</v>
      </c>
      <c r="N1663" s="22"/>
      <c r="O1663" s="22" t="s">
        <v>6298</v>
      </c>
      <c r="P1663" s="22" t="str">
        <f>HYPERLINK("https://ceds.ed.gov/cedselementdetails.aspx?termid=21425")</f>
        <v>https://ceds.ed.gov/cedselementdetails.aspx?termid=21425</v>
      </c>
      <c r="Q1663" s="22">
        <v>59845</v>
      </c>
    </row>
    <row r="1664" spans="1:17" ht="172.8" x14ac:dyDescent="0.3">
      <c r="A1664" s="22" t="s">
        <v>7779</v>
      </c>
      <c r="B1664" s="22" t="s">
        <v>7794</v>
      </c>
      <c r="C1664" s="22" t="s">
        <v>7823</v>
      </c>
      <c r="D1664" s="22" t="s">
        <v>7710</v>
      </c>
      <c r="E1664" s="22" t="s">
        <v>3117</v>
      </c>
      <c r="F1664" s="24" t="s">
        <v>3118</v>
      </c>
      <c r="G1664" s="23" t="s">
        <v>32</v>
      </c>
      <c r="H1664" s="22" t="s">
        <v>1553</v>
      </c>
      <c r="I1664" s="22"/>
      <c r="J1664" s="22" t="s">
        <v>132</v>
      </c>
      <c r="K1664" s="24"/>
      <c r="L1664" s="24" t="s">
        <v>7945</v>
      </c>
      <c r="M1664" s="25" t="s">
        <v>3119</v>
      </c>
      <c r="N1664" s="22"/>
      <c r="O1664" s="22" t="s">
        <v>3120</v>
      </c>
      <c r="P1664" s="22" t="str">
        <f>HYPERLINK("https://ceds.ed.gov/cedselementdetails.aspx?termid=21426")</f>
        <v>https://ceds.ed.gov/cedselementdetails.aspx?termid=21426</v>
      </c>
      <c r="Q1664" s="22">
        <v>59846</v>
      </c>
    </row>
    <row r="1665" spans="1:17" ht="28.8" x14ac:dyDescent="0.3">
      <c r="A1665" s="22" t="s">
        <v>7779</v>
      </c>
      <c r="B1665" s="22" t="s">
        <v>7794</v>
      </c>
      <c r="C1665" s="22" t="s">
        <v>7823</v>
      </c>
      <c r="D1665" s="22" t="s">
        <v>7710</v>
      </c>
      <c r="E1665" s="22" t="s">
        <v>1548</v>
      </c>
      <c r="F1665" s="24" t="s">
        <v>1549</v>
      </c>
      <c r="G1665" s="23" t="s">
        <v>32</v>
      </c>
      <c r="H1665" s="22" t="s">
        <v>1553</v>
      </c>
      <c r="I1665" s="22"/>
      <c r="J1665" s="22" t="s">
        <v>157</v>
      </c>
      <c r="K1665" s="24"/>
      <c r="L1665" s="24"/>
      <c r="M1665" s="25" t="s">
        <v>1551</v>
      </c>
      <c r="N1665" s="22"/>
      <c r="O1665" s="22" t="s">
        <v>1552</v>
      </c>
      <c r="P1665" s="22" t="str">
        <f>HYPERLINK("https://ceds.ed.gov/cedselementdetails.aspx?termid=21418")</f>
        <v>https://ceds.ed.gov/cedselementdetails.aspx?termid=21418</v>
      </c>
      <c r="Q1665" s="22">
        <v>59838</v>
      </c>
    </row>
    <row r="1666" spans="1:17" ht="43.2" x14ac:dyDescent="0.3">
      <c r="A1666" s="22" t="s">
        <v>7779</v>
      </c>
      <c r="B1666" s="22" t="s">
        <v>7794</v>
      </c>
      <c r="C1666" s="22" t="s">
        <v>7823</v>
      </c>
      <c r="D1666" s="22" t="s">
        <v>7710</v>
      </c>
      <c r="E1666" s="22" t="s">
        <v>4521</v>
      </c>
      <c r="F1666" s="24" t="s">
        <v>4522</v>
      </c>
      <c r="G1666" s="26" t="s">
        <v>22</v>
      </c>
      <c r="H1666" s="22" t="s">
        <v>1553</v>
      </c>
      <c r="I1666" s="22"/>
      <c r="J1666" s="22"/>
      <c r="K1666" s="24"/>
      <c r="L1666" s="24"/>
      <c r="M1666" s="25" t="s">
        <v>4523</v>
      </c>
      <c r="N1666" s="22"/>
      <c r="O1666" s="22" t="s">
        <v>4524</v>
      </c>
      <c r="P1666" s="22" t="str">
        <f>HYPERLINK("https://ceds.ed.gov/cedselementdetails.aspx?termid=21428")</f>
        <v>https://ceds.ed.gov/cedselementdetails.aspx?termid=21428</v>
      </c>
      <c r="Q1666" s="22">
        <v>59848</v>
      </c>
    </row>
    <row r="1667" spans="1:17" ht="43.2" x14ac:dyDescent="0.3">
      <c r="A1667" s="22" t="s">
        <v>7779</v>
      </c>
      <c r="B1667" s="22" t="s">
        <v>7794</v>
      </c>
      <c r="C1667" s="22" t="s">
        <v>7823</v>
      </c>
      <c r="D1667" s="22" t="s">
        <v>7710</v>
      </c>
      <c r="E1667" s="22" t="s">
        <v>5513</v>
      </c>
      <c r="F1667" s="24" t="s">
        <v>5514</v>
      </c>
      <c r="G1667" s="26" t="s">
        <v>22</v>
      </c>
      <c r="H1667" s="22" t="s">
        <v>1553</v>
      </c>
      <c r="I1667" s="22"/>
      <c r="J1667" s="22"/>
      <c r="K1667" s="24"/>
      <c r="L1667" s="24"/>
      <c r="M1667" s="25" t="s">
        <v>5515</v>
      </c>
      <c r="N1667" s="22"/>
      <c r="O1667" s="22" t="s">
        <v>5516</v>
      </c>
      <c r="P1667" s="22" t="str">
        <f>HYPERLINK("https://ceds.ed.gov/cedselementdetails.aspx?termid=21421")</f>
        <v>https://ceds.ed.gov/cedselementdetails.aspx?termid=21421</v>
      </c>
      <c r="Q1667" s="22">
        <v>59841</v>
      </c>
    </row>
    <row r="1668" spans="1:17" ht="100.8" x14ac:dyDescent="0.3">
      <c r="A1668" s="22" t="s">
        <v>7779</v>
      </c>
      <c r="B1668" s="22" t="s">
        <v>7794</v>
      </c>
      <c r="C1668" s="22" t="s">
        <v>7824</v>
      </c>
      <c r="D1668" s="22" t="s">
        <v>7710</v>
      </c>
      <c r="E1668" s="22" t="s">
        <v>5571</v>
      </c>
      <c r="F1668" s="24" t="s">
        <v>5572</v>
      </c>
      <c r="G1668" s="26" t="s">
        <v>9041</v>
      </c>
      <c r="H1668" s="22" t="s">
        <v>226</v>
      </c>
      <c r="I1668" s="22"/>
      <c r="J1668" s="22"/>
      <c r="K1668" s="24"/>
      <c r="L1668" s="24"/>
      <c r="M1668" s="25" t="s">
        <v>5573</v>
      </c>
      <c r="N1668" s="22"/>
      <c r="O1668" s="22" t="s">
        <v>5574</v>
      </c>
      <c r="P1668" s="22" t="str">
        <f>HYPERLINK("https://ceds.ed.gov/cedselementdetails.aspx?termid=21194")</f>
        <v>https://ceds.ed.gov/cedselementdetails.aspx?termid=21194</v>
      </c>
      <c r="Q1668" s="22">
        <v>59792</v>
      </c>
    </row>
    <row r="1669" spans="1:17" ht="86.4" x14ac:dyDescent="0.3">
      <c r="A1669" s="22" t="s">
        <v>7779</v>
      </c>
      <c r="B1669" s="22" t="s">
        <v>7794</v>
      </c>
      <c r="C1669" s="22" t="s">
        <v>7824</v>
      </c>
      <c r="D1669" s="22" t="s">
        <v>7710</v>
      </c>
      <c r="E1669" s="22" t="s">
        <v>5575</v>
      </c>
      <c r="F1669" s="24" t="s">
        <v>5576</v>
      </c>
      <c r="G1669" s="26" t="s">
        <v>3039</v>
      </c>
      <c r="H1669" s="24" t="s">
        <v>1901</v>
      </c>
      <c r="I1669" s="22"/>
      <c r="J1669" s="22"/>
      <c r="K1669" s="24"/>
      <c r="L1669" s="24"/>
      <c r="M1669" s="25" t="s">
        <v>5577</v>
      </c>
      <c r="N1669" s="22"/>
      <c r="O1669" s="22" t="s">
        <v>5578</v>
      </c>
      <c r="P1669" s="22" t="str">
        <f>HYPERLINK("https://ceds.ed.gov/cedselementdetails.aspx?termid=21193")</f>
        <v>https://ceds.ed.gov/cedselementdetails.aspx?termid=21193</v>
      </c>
      <c r="Q1669" s="22">
        <v>59791</v>
      </c>
    </row>
    <row r="1670" spans="1:17" ht="57.6" x14ac:dyDescent="0.3">
      <c r="A1670" s="22" t="s">
        <v>7779</v>
      </c>
      <c r="B1670" s="22" t="s">
        <v>7794</v>
      </c>
      <c r="C1670" s="22" t="s">
        <v>7824</v>
      </c>
      <c r="D1670" s="22" t="s">
        <v>7710</v>
      </c>
      <c r="E1670" s="22" t="s">
        <v>6197</v>
      </c>
      <c r="F1670" s="24" t="s">
        <v>6198</v>
      </c>
      <c r="G1670" s="23" t="s">
        <v>32</v>
      </c>
      <c r="H1670" s="24" t="s">
        <v>6201</v>
      </c>
      <c r="I1670" s="22"/>
      <c r="J1670" s="22" t="s">
        <v>118</v>
      </c>
      <c r="K1670" s="24"/>
      <c r="L1670" s="24"/>
      <c r="M1670" s="25" t="s">
        <v>6199</v>
      </c>
      <c r="N1670" s="22"/>
      <c r="O1670" s="22" t="s">
        <v>6200</v>
      </c>
      <c r="P1670" s="22" t="str">
        <f>HYPERLINK("https://ceds.ed.gov/cedselementdetails.aspx?termid=21583")</f>
        <v>https://ceds.ed.gov/cedselementdetails.aspx?termid=21583</v>
      </c>
      <c r="Q1670" s="22">
        <v>59989</v>
      </c>
    </row>
    <row r="1671" spans="1:17" ht="57.6" x14ac:dyDescent="0.3">
      <c r="A1671" s="22" t="s">
        <v>7779</v>
      </c>
      <c r="B1671" s="22" t="s">
        <v>7794</v>
      </c>
      <c r="C1671" s="22" t="s">
        <v>7824</v>
      </c>
      <c r="D1671" s="22" t="s">
        <v>7710</v>
      </c>
      <c r="E1671" s="22" t="s">
        <v>6193</v>
      </c>
      <c r="F1671" s="24" t="s">
        <v>1938</v>
      </c>
      <c r="G1671" s="23" t="s">
        <v>32</v>
      </c>
      <c r="H1671" s="24" t="s">
        <v>6196</v>
      </c>
      <c r="I1671" s="22"/>
      <c r="J1671" s="22" t="s">
        <v>118</v>
      </c>
      <c r="K1671" s="24"/>
      <c r="L1671" s="24" t="s">
        <v>143</v>
      </c>
      <c r="M1671" s="25" t="s">
        <v>6194</v>
      </c>
      <c r="N1671" s="22"/>
      <c r="O1671" s="22" t="s">
        <v>6195</v>
      </c>
      <c r="P1671" s="22" t="str">
        <f>HYPERLINK("https://ceds.ed.gov/cedselementdetails.aspx?termid=21584")</f>
        <v>https://ceds.ed.gov/cedselementdetails.aspx?termid=21584</v>
      </c>
      <c r="Q1671" s="22">
        <v>59990</v>
      </c>
    </row>
    <row r="1672" spans="1:17" ht="144" x14ac:dyDescent="0.3">
      <c r="A1672" s="22" t="s">
        <v>7779</v>
      </c>
      <c r="B1672" s="22" t="s">
        <v>7794</v>
      </c>
      <c r="C1672" s="22" t="s">
        <v>7824</v>
      </c>
      <c r="D1672" s="22" t="s">
        <v>7710</v>
      </c>
      <c r="E1672" s="22" t="s">
        <v>5558</v>
      </c>
      <c r="F1672" s="24" t="s">
        <v>5559</v>
      </c>
      <c r="G1672" s="26" t="s">
        <v>22</v>
      </c>
      <c r="H1672" s="22" t="s">
        <v>226</v>
      </c>
      <c r="I1672" s="22"/>
      <c r="J1672" s="22"/>
      <c r="K1672" s="24"/>
      <c r="L1672" s="24" t="s">
        <v>8257</v>
      </c>
      <c r="M1672" s="25" t="s">
        <v>5561</v>
      </c>
      <c r="N1672" s="22"/>
      <c r="O1672" s="22" t="s">
        <v>5562</v>
      </c>
      <c r="P1672" s="22" t="str">
        <f>HYPERLINK("https://ceds.ed.gov/cedselementdetails.aspx?termid=21636")</f>
        <v>https://ceds.ed.gov/cedselementdetails.aspx?termid=21636</v>
      </c>
      <c r="Q1672" s="22">
        <v>59903</v>
      </c>
    </row>
    <row r="1673" spans="1:17" ht="144" x14ac:dyDescent="0.3">
      <c r="A1673" s="22" t="s">
        <v>7779</v>
      </c>
      <c r="B1673" s="22" t="s">
        <v>7794</v>
      </c>
      <c r="C1673" s="22" t="s">
        <v>7824</v>
      </c>
      <c r="D1673" s="22" t="s">
        <v>7710</v>
      </c>
      <c r="E1673" s="22" t="s">
        <v>5563</v>
      </c>
      <c r="F1673" s="24" t="s">
        <v>5564</v>
      </c>
      <c r="G1673" s="26" t="s">
        <v>22</v>
      </c>
      <c r="H1673" s="22" t="s">
        <v>226</v>
      </c>
      <c r="I1673" s="22"/>
      <c r="J1673" s="22"/>
      <c r="K1673" s="24"/>
      <c r="L1673" s="24" t="s">
        <v>8257</v>
      </c>
      <c r="M1673" s="25" t="s">
        <v>5565</v>
      </c>
      <c r="N1673" s="22"/>
      <c r="O1673" s="22" t="s">
        <v>5566</v>
      </c>
      <c r="P1673" s="22" t="str">
        <f>HYPERLINK("https://ceds.ed.gov/cedselementdetails.aspx?termid=21638")</f>
        <v>https://ceds.ed.gov/cedselementdetails.aspx?termid=21638</v>
      </c>
      <c r="Q1673" s="22">
        <v>59904</v>
      </c>
    </row>
    <row r="1674" spans="1:17" ht="43.2" x14ac:dyDescent="0.3">
      <c r="A1674" s="22" t="s">
        <v>7779</v>
      </c>
      <c r="B1674" s="22" t="s">
        <v>7794</v>
      </c>
      <c r="C1674" s="22" t="s">
        <v>7824</v>
      </c>
      <c r="D1674" s="22" t="s">
        <v>7710</v>
      </c>
      <c r="E1674" s="22" t="s">
        <v>5567</v>
      </c>
      <c r="F1674" s="24" t="s">
        <v>5568</v>
      </c>
      <c r="G1674" s="26" t="s">
        <v>22</v>
      </c>
      <c r="H1674" s="22" t="s">
        <v>214</v>
      </c>
      <c r="I1674" s="22"/>
      <c r="J1674" s="22"/>
      <c r="K1674" s="24"/>
      <c r="L1674" s="24"/>
      <c r="M1674" s="25" t="s">
        <v>5569</v>
      </c>
      <c r="N1674" s="22"/>
      <c r="O1674" s="22" t="s">
        <v>5570</v>
      </c>
      <c r="P1674" s="22" t="str">
        <f>HYPERLINK("https://ceds.ed.gov/cedselementdetails.aspx?termid=21475")</f>
        <v>https://ceds.ed.gov/cedselementdetails.aspx?termid=21475</v>
      </c>
      <c r="Q1674" s="22">
        <v>59854</v>
      </c>
    </row>
    <row r="1675" spans="1:17" ht="144" x14ac:dyDescent="0.3">
      <c r="A1675" s="22" t="s">
        <v>7779</v>
      </c>
      <c r="B1675" s="22" t="s">
        <v>7794</v>
      </c>
      <c r="C1675" s="22" t="s">
        <v>7824</v>
      </c>
      <c r="D1675" s="22" t="s">
        <v>7710</v>
      </c>
      <c r="E1675" s="22" t="s">
        <v>7507</v>
      </c>
      <c r="F1675" s="24" t="s">
        <v>7508</v>
      </c>
      <c r="G1675" s="26" t="s">
        <v>8835</v>
      </c>
      <c r="H1675" s="22"/>
      <c r="I1675" s="22"/>
      <c r="J1675" s="22"/>
      <c r="K1675" s="24"/>
      <c r="L1675" s="24"/>
      <c r="M1675" s="25" t="s">
        <v>7509</v>
      </c>
      <c r="N1675" s="22"/>
      <c r="O1675" s="22" t="s">
        <v>7510</v>
      </c>
      <c r="P1675" s="22" t="str">
        <f>HYPERLINK("https://ceds.ed.gov/cedselementdetails.aspx?termid=22927")</f>
        <v>https://ceds.ed.gov/cedselementdetails.aspx?termid=22927</v>
      </c>
      <c r="Q1675" s="22">
        <v>63572</v>
      </c>
    </row>
    <row r="1676" spans="1:17" ht="129.6" x14ac:dyDescent="0.3">
      <c r="A1676" s="22" t="s">
        <v>7779</v>
      </c>
      <c r="B1676" s="22" t="s">
        <v>7794</v>
      </c>
      <c r="C1676" s="22" t="s">
        <v>7824</v>
      </c>
      <c r="D1676" s="22" t="s">
        <v>7710</v>
      </c>
      <c r="E1676" s="22" t="s">
        <v>7511</v>
      </c>
      <c r="F1676" s="24" t="s">
        <v>7512</v>
      </c>
      <c r="G1676" s="26" t="s">
        <v>8836</v>
      </c>
      <c r="H1676" s="22"/>
      <c r="I1676" s="22"/>
      <c r="J1676" s="22"/>
      <c r="K1676" s="24"/>
      <c r="L1676" s="24"/>
      <c r="M1676" s="25" t="s">
        <v>7513</v>
      </c>
      <c r="N1676" s="22"/>
      <c r="O1676" s="22" t="s">
        <v>7514</v>
      </c>
      <c r="P1676" s="22" t="str">
        <f>HYPERLINK("https://ceds.ed.gov/cedselementdetails.aspx?termid=22928")</f>
        <v>https://ceds.ed.gov/cedselementdetails.aspx?termid=22928</v>
      </c>
      <c r="Q1676" s="22">
        <v>63573</v>
      </c>
    </row>
    <row r="1677" spans="1:17" ht="409.6" x14ac:dyDescent="0.3">
      <c r="A1677" s="22" t="s">
        <v>7779</v>
      </c>
      <c r="B1677" s="22" t="s">
        <v>7794</v>
      </c>
      <c r="C1677" s="22" t="s">
        <v>7764</v>
      </c>
      <c r="D1677" s="22" t="s">
        <v>7710</v>
      </c>
      <c r="E1677" s="22" t="s">
        <v>6230</v>
      </c>
      <c r="F1677" s="24" t="s">
        <v>6231</v>
      </c>
      <c r="G1677" s="26" t="s">
        <v>8506</v>
      </c>
      <c r="H1677" s="24" t="s">
        <v>64</v>
      </c>
      <c r="I1677" s="22" t="s">
        <v>172</v>
      </c>
      <c r="J1677" s="22"/>
      <c r="K1677" s="24" t="s">
        <v>8285</v>
      </c>
      <c r="L1677" s="24"/>
      <c r="M1677" s="25" t="s">
        <v>6232</v>
      </c>
      <c r="N1677" s="22"/>
      <c r="O1677" s="22" t="s">
        <v>6233</v>
      </c>
      <c r="P1677" s="22" t="str">
        <f>HYPERLINK("https://ceds.ed.gov/cedselementdetails.aspx?termid=21225")</f>
        <v>https://ceds.ed.gov/cedselementdetails.aspx?termid=21225</v>
      </c>
      <c r="Q1677" s="22">
        <v>59992</v>
      </c>
    </row>
    <row r="1678" spans="1:17" ht="172.8" x14ac:dyDescent="0.3">
      <c r="A1678" s="22" t="s">
        <v>7779</v>
      </c>
      <c r="B1678" s="22" t="s">
        <v>7794</v>
      </c>
      <c r="C1678" s="22" t="s">
        <v>7764</v>
      </c>
      <c r="D1678" s="22" t="s">
        <v>7710</v>
      </c>
      <c r="E1678" s="22" t="s">
        <v>6174</v>
      </c>
      <c r="F1678" s="24" t="s">
        <v>6175</v>
      </c>
      <c r="G1678" s="23" t="s">
        <v>32</v>
      </c>
      <c r="H1678" s="22" t="s">
        <v>2608</v>
      </c>
      <c r="I1678" s="22" t="s">
        <v>172</v>
      </c>
      <c r="J1678" s="22" t="s">
        <v>132</v>
      </c>
      <c r="K1678" s="24" t="s">
        <v>8282</v>
      </c>
      <c r="L1678" s="24" t="s">
        <v>7945</v>
      </c>
      <c r="M1678" s="25" t="s">
        <v>6176</v>
      </c>
      <c r="N1678" s="22"/>
      <c r="O1678" s="22" t="s">
        <v>6177</v>
      </c>
      <c r="P1678" s="22" t="str">
        <f>HYPERLINK("https://ceds.ed.gov/cedselementdetails.aspx?termid=21618")</f>
        <v>https://ceds.ed.gov/cedselementdetails.aspx?termid=21618</v>
      </c>
      <c r="Q1678" s="22">
        <v>61697</v>
      </c>
    </row>
    <row r="1679" spans="1:17" ht="43.2" x14ac:dyDescent="0.3">
      <c r="A1679" s="22" t="s">
        <v>7779</v>
      </c>
      <c r="B1679" s="22" t="s">
        <v>7794</v>
      </c>
      <c r="C1679" s="22" t="s">
        <v>7764</v>
      </c>
      <c r="D1679" s="22" t="s">
        <v>7710</v>
      </c>
      <c r="E1679" s="22" t="s">
        <v>6189</v>
      </c>
      <c r="F1679" s="24" t="s">
        <v>6190</v>
      </c>
      <c r="G1679" s="23" t="s">
        <v>32</v>
      </c>
      <c r="H1679" s="22" t="s">
        <v>2608</v>
      </c>
      <c r="I1679" s="22" t="s">
        <v>172</v>
      </c>
      <c r="J1679" s="22" t="s">
        <v>157</v>
      </c>
      <c r="K1679" s="24" t="s">
        <v>8282</v>
      </c>
      <c r="L1679" s="24"/>
      <c r="M1679" s="25" t="s">
        <v>6191</v>
      </c>
      <c r="N1679" s="22"/>
      <c r="O1679" s="22" t="s">
        <v>6192</v>
      </c>
      <c r="P1679" s="22" t="str">
        <f>HYPERLINK("https://ceds.ed.gov/cedselementdetails.aspx?termid=21619")</f>
        <v>https://ceds.ed.gov/cedselementdetails.aspx?termid=21619</v>
      </c>
      <c r="Q1679" s="22">
        <v>61696</v>
      </c>
    </row>
    <row r="1680" spans="1:17" ht="115.2" x14ac:dyDescent="0.3">
      <c r="A1680" s="22" t="s">
        <v>7779</v>
      </c>
      <c r="B1680" s="22" t="s">
        <v>7794</v>
      </c>
      <c r="C1680" s="22" t="s">
        <v>7764</v>
      </c>
      <c r="D1680" s="22" t="s">
        <v>7710</v>
      </c>
      <c r="E1680" s="22" t="s">
        <v>6202</v>
      </c>
      <c r="F1680" s="24" t="s">
        <v>6203</v>
      </c>
      <c r="G1680" s="26" t="s">
        <v>9109</v>
      </c>
      <c r="H1680" s="22" t="s">
        <v>2608</v>
      </c>
      <c r="I1680" s="22"/>
      <c r="J1680" s="22"/>
      <c r="K1680" s="24"/>
      <c r="L1680" s="24"/>
      <c r="M1680" s="25" t="s">
        <v>6204</v>
      </c>
      <c r="N1680" s="22"/>
      <c r="O1680" s="22" t="s">
        <v>6205</v>
      </c>
      <c r="P1680" s="22" t="str">
        <f>HYPERLINK("https://ceds.ed.gov/cedselementdetails.aspx?termid=22209")</f>
        <v>https://ceds.ed.gov/cedselementdetails.aspx?termid=22209</v>
      </c>
      <c r="Q1680" s="22">
        <v>59708</v>
      </c>
    </row>
    <row r="1681" spans="1:17" ht="57.6" x14ac:dyDescent="0.3">
      <c r="A1681" s="22" t="s">
        <v>7779</v>
      </c>
      <c r="B1681" s="22" t="s">
        <v>7794</v>
      </c>
      <c r="C1681" s="22" t="s">
        <v>7764</v>
      </c>
      <c r="D1681" s="22" t="s">
        <v>7710</v>
      </c>
      <c r="E1681" s="22" t="s">
        <v>6197</v>
      </c>
      <c r="F1681" s="24" t="s">
        <v>6198</v>
      </c>
      <c r="G1681" s="23" t="s">
        <v>32</v>
      </c>
      <c r="H1681" s="24" t="s">
        <v>6201</v>
      </c>
      <c r="I1681" s="22"/>
      <c r="J1681" s="22" t="s">
        <v>118</v>
      </c>
      <c r="K1681" s="24"/>
      <c r="L1681" s="24"/>
      <c r="M1681" s="25" t="s">
        <v>6199</v>
      </c>
      <c r="N1681" s="22"/>
      <c r="O1681" s="22" t="s">
        <v>6200</v>
      </c>
      <c r="P1681" s="22" t="str">
        <f>HYPERLINK("https://ceds.ed.gov/cedselementdetails.aspx?termid=21583")</f>
        <v>https://ceds.ed.gov/cedselementdetails.aspx?termid=21583</v>
      </c>
      <c r="Q1681" s="22">
        <v>59993</v>
      </c>
    </row>
    <row r="1682" spans="1:17" ht="57.6" x14ac:dyDescent="0.3">
      <c r="A1682" s="22" t="s">
        <v>7779</v>
      </c>
      <c r="B1682" s="22" t="s">
        <v>7794</v>
      </c>
      <c r="C1682" s="22" t="s">
        <v>7764</v>
      </c>
      <c r="D1682" s="22" t="s">
        <v>7710</v>
      </c>
      <c r="E1682" s="22" t="s">
        <v>6193</v>
      </c>
      <c r="F1682" s="24" t="s">
        <v>1938</v>
      </c>
      <c r="G1682" s="23" t="s">
        <v>32</v>
      </c>
      <c r="H1682" s="24" t="s">
        <v>6196</v>
      </c>
      <c r="I1682" s="22"/>
      <c r="J1682" s="22" t="s">
        <v>118</v>
      </c>
      <c r="K1682" s="24"/>
      <c r="L1682" s="24" t="s">
        <v>143</v>
      </c>
      <c r="M1682" s="25" t="s">
        <v>6194</v>
      </c>
      <c r="N1682" s="22"/>
      <c r="O1682" s="22" t="s">
        <v>6195</v>
      </c>
      <c r="P1682" s="22" t="str">
        <f>HYPERLINK("https://ceds.ed.gov/cedselementdetails.aspx?termid=21584")</f>
        <v>https://ceds.ed.gov/cedselementdetails.aspx?termid=21584</v>
      </c>
      <c r="Q1682" s="22">
        <v>59994</v>
      </c>
    </row>
    <row r="1683" spans="1:17" ht="409.6" x14ac:dyDescent="0.3">
      <c r="A1683" s="22" t="s">
        <v>7779</v>
      </c>
      <c r="B1683" s="22" t="s">
        <v>7794</v>
      </c>
      <c r="C1683" s="22" t="s">
        <v>7764</v>
      </c>
      <c r="D1683" s="22" t="s">
        <v>7710</v>
      </c>
      <c r="E1683" s="22" t="s">
        <v>3629</v>
      </c>
      <c r="F1683" s="24" t="s">
        <v>3630</v>
      </c>
      <c r="G1683" s="26" t="s">
        <v>8858</v>
      </c>
      <c r="H1683" s="22"/>
      <c r="I1683" s="22"/>
      <c r="J1683" s="22"/>
      <c r="K1683" s="24"/>
      <c r="L1683" s="24"/>
      <c r="M1683" s="25" t="s">
        <v>3631</v>
      </c>
      <c r="N1683" s="22"/>
      <c r="O1683" s="22" t="s">
        <v>3632</v>
      </c>
      <c r="P1683" s="22" t="str">
        <f>HYPERLINK("https://ceds.ed.gov/cedselementdetails.aspx?termid=21222")</f>
        <v>https://ceds.ed.gov/cedselementdetails.aspx?termid=21222</v>
      </c>
      <c r="Q1683" s="22">
        <v>59802</v>
      </c>
    </row>
    <row r="1684" spans="1:17" ht="72" x14ac:dyDescent="0.3">
      <c r="A1684" s="22" t="s">
        <v>7779</v>
      </c>
      <c r="B1684" s="22" t="s">
        <v>7794</v>
      </c>
      <c r="C1684" s="22" t="s">
        <v>7764</v>
      </c>
      <c r="D1684" s="22" t="s">
        <v>7710</v>
      </c>
      <c r="E1684" s="22" t="s">
        <v>2986</v>
      </c>
      <c r="F1684" s="24" t="s">
        <v>2987</v>
      </c>
      <c r="G1684" s="23" t="s">
        <v>32</v>
      </c>
      <c r="H1684" s="22"/>
      <c r="I1684" s="22"/>
      <c r="J1684" s="22" t="s">
        <v>1518</v>
      </c>
      <c r="K1684" s="24"/>
      <c r="L1684" s="24" t="s">
        <v>2989</v>
      </c>
      <c r="M1684" s="25" t="s">
        <v>2990</v>
      </c>
      <c r="N1684" s="22"/>
      <c r="O1684" s="22" t="s">
        <v>2991</v>
      </c>
      <c r="P1684" s="22" t="str">
        <f>HYPERLINK("https://ceds.ed.gov/cedselementdetails.aspx?termid=22553")</f>
        <v>https://ceds.ed.gov/cedselementdetails.aspx?termid=22553</v>
      </c>
      <c r="Q1684" s="22">
        <v>61928</v>
      </c>
    </row>
    <row r="1685" spans="1:17" ht="187.2" x14ac:dyDescent="0.3">
      <c r="A1685" s="22" t="s">
        <v>7779</v>
      </c>
      <c r="B1685" s="22" t="s">
        <v>7794</v>
      </c>
      <c r="C1685" s="22" t="s">
        <v>7764</v>
      </c>
      <c r="D1685" s="22" t="s">
        <v>7710</v>
      </c>
      <c r="E1685" s="22" t="s">
        <v>7394</v>
      </c>
      <c r="F1685" s="24" t="s">
        <v>7395</v>
      </c>
      <c r="G1685" s="26" t="s">
        <v>9190</v>
      </c>
      <c r="H1685" s="22"/>
      <c r="I1685" s="22"/>
      <c r="J1685" s="22"/>
      <c r="K1685" s="24"/>
      <c r="L1685" s="24"/>
      <c r="M1685" s="25" t="s">
        <v>7397</v>
      </c>
      <c r="N1685" s="22"/>
      <c r="O1685" s="22" t="s">
        <v>7398</v>
      </c>
      <c r="P1685" s="22" t="str">
        <f>HYPERLINK("https://ceds.ed.gov/cedselementdetails.aspx?termid=22471")</f>
        <v>https://ceds.ed.gov/cedselementdetails.aspx?termid=22471</v>
      </c>
      <c r="Q1685" s="22">
        <v>61455</v>
      </c>
    </row>
    <row r="1686" spans="1:17" ht="28.8" x14ac:dyDescent="0.3">
      <c r="A1686" s="22" t="s">
        <v>7779</v>
      </c>
      <c r="B1686" s="22" t="s">
        <v>7794</v>
      </c>
      <c r="C1686" s="22" t="s">
        <v>7764</v>
      </c>
      <c r="D1686" s="22" t="s">
        <v>7710</v>
      </c>
      <c r="E1686" s="22" t="s">
        <v>6157</v>
      </c>
      <c r="F1686" s="24" t="s">
        <v>6158</v>
      </c>
      <c r="G1686" s="23" t="s">
        <v>32</v>
      </c>
      <c r="H1686" s="22"/>
      <c r="I1686" s="22"/>
      <c r="J1686" s="22" t="s">
        <v>113</v>
      </c>
      <c r="K1686" s="24"/>
      <c r="L1686" s="24"/>
      <c r="M1686" s="25" t="s">
        <v>6159</v>
      </c>
      <c r="N1686" s="22"/>
      <c r="O1686" s="22" t="s">
        <v>6160</v>
      </c>
      <c r="P1686" s="22" t="str">
        <f>HYPERLINK("https://ceds.ed.gov/cedselementdetails.aspx?termid=22909")</f>
        <v>https://ceds.ed.gov/cedselementdetails.aspx?termid=22909</v>
      </c>
      <c r="Q1686" s="22">
        <v>63347</v>
      </c>
    </row>
    <row r="1687" spans="1:17" ht="43.2" x14ac:dyDescent="0.3">
      <c r="A1687" s="22" t="s">
        <v>7779</v>
      </c>
      <c r="B1687" s="22" t="s">
        <v>7794</v>
      </c>
      <c r="C1687" s="22" t="s">
        <v>7764</v>
      </c>
      <c r="D1687" s="22" t="s">
        <v>7710</v>
      </c>
      <c r="E1687" s="22" t="s">
        <v>396</v>
      </c>
      <c r="F1687" s="24" t="s">
        <v>7963</v>
      </c>
      <c r="G1687" s="23" t="s">
        <v>32</v>
      </c>
      <c r="H1687" s="24" t="s">
        <v>399</v>
      </c>
      <c r="I1687" s="22"/>
      <c r="J1687" s="22" t="s">
        <v>118</v>
      </c>
      <c r="K1687" s="24"/>
      <c r="L1687" s="24"/>
      <c r="M1687" s="25" t="s">
        <v>397</v>
      </c>
      <c r="N1687" s="22"/>
      <c r="O1687" s="22" t="s">
        <v>398</v>
      </c>
      <c r="P1687" s="22" t="str">
        <f>HYPERLINK("https://ceds.ed.gov/cedselementdetails.aspx?termid=21323")</f>
        <v>https://ceds.ed.gov/cedselementdetails.aspx?termid=21323</v>
      </c>
      <c r="Q1687" s="22">
        <v>63574</v>
      </c>
    </row>
    <row r="1688" spans="1:17" ht="216" x14ac:dyDescent="0.3">
      <c r="A1688" s="22" t="s">
        <v>7779</v>
      </c>
      <c r="B1688" s="22" t="s">
        <v>7794</v>
      </c>
      <c r="C1688" s="22" t="s">
        <v>7764</v>
      </c>
      <c r="D1688" s="22" t="s">
        <v>7710</v>
      </c>
      <c r="E1688" s="22" t="s">
        <v>7656</v>
      </c>
      <c r="F1688" s="24" t="s">
        <v>7657</v>
      </c>
      <c r="G1688" s="26" t="s">
        <v>8514</v>
      </c>
      <c r="H1688" s="22"/>
      <c r="I1688" s="22" t="s">
        <v>172</v>
      </c>
      <c r="J1688" s="22"/>
      <c r="K1688" s="24" t="s">
        <v>7995</v>
      </c>
      <c r="L1688" s="24"/>
      <c r="M1688" s="25" t="s">
        <v>7658</v>
      </c>
      <c r="N1688" s="22"/>
      <c r="O1688" s="22" t="s">
        <v>7656</v>
      </c>
      <c r="P1688" s="22" t="str">
        <f>HYPERLINK("https://ceds.ed.gov/cedselementdetails.aspx?termid=22959")</f>
        <v>https://ceds.ed.gov/cedselementdetails.aspx?termid=22959</v>
      </c>
      <c r="Q1688" s="22">
        <v>63575</v>
      </c>
    </row>
    <row r="1689" spans="1:17" ht="100.8" x14ac:dyDescent="0.3">
      <c r="A1689" s="22" t="s">
        <v>7779</v>
      </c>
      <c r="B1689" s="22" t="s">
        <v>7794</v>
      </c>
      <c r="C1689" s="22" t="s">
        <v>7764</v>
      </c>
      <c r="D1689" s="22" t="s">
        <v>7741</v>
      </c>
      <c r="E1689" s="22" t="s">
        <v>4081</v>
      </c>
      <c r="F1689" s="24" t="s">
        <v>8203</v>
      </c>
      <c r="G1689" s="26" t="s">
        <v>8451</v>
      </c>
      <c r="H1689" s="22"/>
      <c r="I1689" s="22" t="s">
        <v>172</v>
      </c>
      <c r="J1689" s="22"/>
      <c r="K1689" s="24" t="s">
        <v>8204</v>
      </c>
      <c r="L1689" s="24" t="s">
        <v>8205</v>
      </c>
      <c r="M1689" s="25" t="s">
        <v>4082</v>
      </c>
      <c r="N1689" s="22"/>
      <c r="O1689" s="22" t="s">
        <v>4083</v>
      </c>
      <c r="P1689" s="22" t="str">
        <f>HYPERLINK("https://ceds.ed.gov/cedselementdetails.aspx?termid=22323")</f>
        <v>https://ceds.ed.gov/cedselementdetails.aspx?termid=22323</v>
      </c>
      <c r="Q1689" s="22">
        <v>63915</v>
      </c>
    </row>
    <row r="1690" spans="1:17" ht="57.6" x14ac:dyDescent="0.3">
      <c r="A1690" s="22" t="s">
        <v>7779</v>
      </c>
      <c r="B1690" s="22" t="s">
        <v>7794</v>
      </c>
      <c r="C1690" s="22" t="s">
        <v>7772</v>
      </c>
      <c r="D1690" s="22" t="s">
        <v>7710</v>
      </c>
      <c r="E1690" s="22" t="s">
        <v>3555</v>
      </c>
      <c r="F1690" s="24" t="s">
        <v>3556</v>
      </c>
      <c r="G1690" s="23" t="s">
        <v>32</v>
      </c>
      <c r="H1690" s="24" t="s">
        <v>3559</v>
      </c>
      <c r="I1690" s="22"/>
      <c r="J1690" s="22" t="s">
        <v>118</v>
      </c>
      <c r="K1690" s="24"/>
      <c r="L1690" s="24"/>
      <c r="M1690" s="25" t="s">
        <v>3557</v>
      </c>
      <c r="N1690" s="22"/>
      <c r="O1690" s="22" t="s">
        <v>3558</v>
      </c>
      <c r="P1690" s="22" t="str">
        <f>HYPERLINK("https://ceds.ed.gov/cedselementdetails.aspx?termid=21345")</f>
        <v>https://ceds.ed.gov/cedselementdetails.aspx?termid=21345</v>
      </c>
      <c r="Q1690" s="22">
        <v>61705</v>
      </c>
    </row>
    <row r="1691" spans="1:17" ht="57.6" x14ac:dyDescent="0.3">
      <c r="A1691" s="22" t="s">
        <v>7779</v>
      </c>
      <c r="B1691" s="22" t="s">
        <v>7794</v>
      </c>
      <c r="C1691" s="22" t="s">
        <v>7772</v>
      </c>
      <c r="D1691" s="22" t="s">
        <v>7710</v>
      </c>
      <c r="E1691" s="22" t="s">
        <v>3519</v>
      </c>
      <c r="F1691" s="24" t="s">
        <v>3520</v>
      </c>
      <c r="G1691" s="23" t="s">
        <v>32</v>
      </c>
      <c r="H1691" s="22" t="s">
        <v>207</v>
      </c>
      <c r="I1691" s="22"/>
      <c r="J1691" s="22" t="s">
        <v>118</v>
      </c>
      <c r="K1691" s="24"/>
      <c r="L1691" s="24" t="s">
        <v>143</v>
      </c>
      <c r="M1691" s="25" t="s">
        <v>3521</v>
      </c>
      <c r="N1691" s="22"/>
      <c r="O1691" s="22" t="s">
        <v>3522</v>
      </c>
      <c r="P1691" s="22" t="str">
        <f>HYPERLINK("https://ceds.ed.gov/cedselementdetails.aspx?termid=21794")</f>
        <v>https://ceds.ed.gov/cedselementdetails.aspx?termid=21794</v>
      </c>
      <c r="Q1691" s="22">
        <v>61700</v>
      </c>
    </row>
    <row r="1692" spans="1:17" ht="43.2" x14ac:dyDescent="0.3">
      <c r="A1692" s="22" t="s">
        <v>7779</v>
      </c>
      <c r="B1692" s="22" t="s">
        <v>7794</v>
      </c>
      <c r="C1692" s="22" t="s">
        <v>7772</v>
      </c>
      <c r="D1692" s="22" t="s">
        <v>7710</v>
      </c>
      <c r="E1692" s="22" t="s">
        <v>3528</v>
      </c>
      <c r="F1692" s="24" t="s">
        <v>3529</v>
      </c>
      <c r="G1692" s="23" t="s">
        <v>2887</v>
      </c>
      <c r="H1692" s="22"/>
      <c r="I1692" s="22"/>
      <c r="J1692" s="22" t="s">
        <v>2888</v>
      </c>
      <c r="K1692" s="24"/>
      <c r="L1692" s="24"/>
      <c r="M1692" s="25" t="s">
        <v>3531</v>
      </c>
      <c r="N1692" s="22"/>
      <c r="O1692" s="22" t="s">
        <v>3532</v>
      </c>
      <c r="P1692" s="22" t="str">
        <f>HYPERLINK("https://ceds.ed.gov/cedselementdetails.aspx?termid=22070")</f>
        <v>https://ceds.ed.gov/cedselementdetails.aspx?termid=22070</v>
      </c>
      <c r="Q1692" s="22">
        <v>59621</v>
      </c>
    </row>
    <row r="1693" spans="1:17" ht="201.6" x14ac:dyDescent="0.3">
      <c r="A1693" s="22" t="s">
        <v>7779</v>
      </c>
      <c r="B1693" s="22" t="s">
        <v>7794</v>
      </c>
      <c r="C1693" s="22" t="s">
        <v>7772</v>
      </c>
      <c r="D1693" s="22" t="s">
        <v>7710</v>
      </c>
      <c r="E1693" s="22" t="s">
        <v>3514</v>
      </c>
      <c r="F1693" s="24" t="s">
        <v>3515</v>
      </c>
      <c r="G1693" s="26" t="s">
        <v>3503</v>
      </c>
      <c r="H1693" s="22" t="s">
        <v>3507</v>
      </c>
      <c r="I1693" s="22"/>
      <c r="J1693" s="22"/>
      <c r="K1693" s="24"/>
      <c r="L1693" s="24" t="s">
        <v>3516</v>
      </c>
      <c r="M1693" s="25" t="s">
        <v>3517</v>
      </c>
      <c r="N1693" s="22"/>
      <c r="O1693" s="22" t="s">
        <v>3518</v>
      </c>
      <c r="P1693" s="22" t="str">
        <f>HYPERLINK("https://ceds.ed.gov/cedselementdetails.aspx?termid=21989")</f>
        <v>https://ceds.ed.gov/cedselementdetails.aspx?termid=21989</v>
      </c>
      <c r="Q1693" s="22">
        <v>59619</v>
      </c>
    </row>
    <row r="1694" spans="1:17" ht="230.4" x14ac:dyDescent="0.3">
      <c r="A1694" s="22" t="s">
        <v>7779</v>
      </c>
      <c r="B1694" s="22" t="s">
        <v>7794</v>
      </c>
      <c r="C1694" s="22" t="s">
        <v>7772</v>
      </c>
      <c r="D1694" s="22" t="s">
        <v>7710</v>
      </c>
      <c r="E1694" s="22" t="s">
        <v>3501</v>
      </c>
      <c r="F1694" s="24" t="s">
        <v>3502</v>
      </c>
      <c r="G1694" s="26" t="s">
        <v>3503</v>
      </c>
      <c r="H1694" s="22" t="s">
        <v>3507</v>
      </c>
      <c r="I1694" s="22"/>
      <c r="J1694" s="22"/>
      <c r="K1694" s="24"/>
      <c r="L1694" s="24" t="s">
        <v>8106</v>
      </c>
      <c r="M1694" s="25" t="s">
        <v>3505</v>
      </c>
      <c r="N1694" s="22"/>
      <c r="O1694" s="22" t="s">
        <v>3506</v>
      </c>
      <c r="P1694" s="22" t="str">
        <f>HYPERLINK("https://ceds.ed.gov/cedselementdetails.aspx?termid=21990")</f>
        <v>https://ceds.ed.gov/cedselementdetails.aspx?termid=21990</v>
      </c>
      <c r="Q1694" s="22">
        <v>59617</v>
      </c>
    </row>
    <row r="1695" spans="1:17" ht="216" x14ac:dyDescent="0.3">
      <c r="A1695" s="22" t="s">
        <v>7779</v>
      </c>
      <c r="B1695" s="22" t="s">
        <v>7794</v>
      </c>
      <c r="C1695" s="22" t="s">
        <v>7772</v>
      </c>
      <c r="D1695" s="22" t="s">
        <v>7710</v>
      </c>
      <c r="E1695" s="22" t="s">
        <v>7656</v>
      </c>
      <c r="F1695" s="24" t="s">
        <v>7657</v>
      </c>
      <c r="G1695" s="26" t="s">
        <v>8514</v>
      </c>
      <c r="H1695" s="22"/>
      <c r="I1695" s="22" t="s">
        <v>172</v>
      </c>
      <c r="J1695" s="22"/>
      <c r="K1695" s="24" t="s">
        <v>7995</v>
      </c>
      <c r="L1695" s="24"/>
      <c r="M1695" s="25" t="s">
        <v>7658</v>
      </c>
      <c r="N1695" s="22"/>
      <c r="O1695" s="22" t="s">
        <v>7656</v>
      </c>
      <c r="P1695" s="22" t="str">
        <f>HYPERLINK("https://ceds.ed.gov/cedselementdetails.aspx?termid=22959")</f>
        <v>https://ceds.ed.gov/cedselementdetails.aspx?termid=22959</v>
      </c>
      <c r="Q1695" s="22">
        <v>63564</v>
      </c>
    </row>
    <row r="1696" spans="1:17" ht="172.8" x14ac:dyDescent="0.3">
      <c r="A1696" s="22" t="s">
        <v>7779</v>
      </c>
      <c r="B1696" s="22" t="s">
        <v>7794</v>
      </c>
      <c r="C1696" s="22" t="s">
        <v>7825</v>
      </c>
      <c r="D1696" s="22" t="s">
        <v>7710</v>
      </c>
      <c r="E1696" s="22" t="s">
        <v>4989</v>
      </c>
      <c r="F1696" s="24" t="s">
        <v>8236</v>
      </c>
      <c r="G1696" s="23" t="s">
        <v>32</v>
      </c>
      <c r="H1696" s="22"/>
      <c r="I1696" s="22"/>
      <c r="J1696" s="22" t="s">
        <v>132</v>
      </c>
      <c r="K1696" s="24"/>
      <c r="L1696" s="24" t="s">
        <v>7945</v>
      </c>
      <c r="M1696" s="25" t="s">
        <v>4991</v>
      </c>
      <c r="N1696" s="22"/>
      <c r="O1696" s="22" t="s">
        <v>4992</v>
      </c>
      <c r="P1696" s="22" t="str">
        <f>HYPERLINK("https://ceds.ed.gov/cedselementdetails.aspx?termid=22533")</f>
        <v>https://ceds.ed.gov/cedselementdetails.aspx?termid=22533</v>
      </c>
      <c r="Q1696" s="22">
        <v>61868</v>
      </c>
    </row>
    <row r="1697" spans="1:17" ht="28.8" x14ac:dyDescent="0.3">
      <c r="A1697" s="22" t="s">
        <v>7779</v>
      </c>
      <c r="B1697" s="22" t="s">
        <v>7794</v>
      </c>
      <c r="C1697" s="22" t="s">
        <v>7825</v>
      </c>
      <c r="D1697" s="22" t="s">
        <v>7710</v>
      </c>
      <c r="E1697" s="22" t="s">
        <v>4993</v>
      </c>
      <c r="F1697" s="24" t="s">
        <v>4994</v>
      </c>
      <c r="G1697" s="23" t="s">
        <v>32</v>
      </c>
      <c r="H1697" s="22"/>
      <c r="I1697" s="22"/>
      <c r="J1697" s="22" t="s">
        <v>845</v>
      </c>
      <c r="K1697" s="24"/>
      <c r="L1697" s="24"/>
      <c r="M1697" s="25" t="s">
        <v>4995</v>
      </c>
      <c r="N1697" s="22"/>
      <c r="O1697" s="22" t="s">
        <v>4996</v>
      </c>
      <c r="P1697" s="22" t="str">
        <f>HYPERLINK("https://ceds.ed.gov/cedselementdetails.aspx?termid=21938")</f>
        <v>https://ceds.ed.gov/cedselementdetails.aspx?termid=21938</v>
      </c>
      <c r="Q1697" s="22">
        <v>61869</v>
      </c>
    </row>
    <row r="1698" spans="1:17" ht="28.8" x14ac:dyDescent="0.3">
      <c r="A1698" s="22" t="s">
        <v>7779</v>
      </c>
      <c r="B1698" s="22" t="s">
        <v>7794</v>
      </c>
      <c r="C1698" s="22" t="s">
        <v>7825</v>
      </c>
      <c r="D1698" s="22" t="s">
        <v>7710</v>
      </c>
      <c r="E1698" s="22" t="s">
        <v>4997</v>
      </c>
      <c r="F1698" s="24" t="s">
        <v>4998</v>
      </c>
      <c r="G1698" s="23" t="s">
        <v>32</v>
      </c>
      <c r="H1698" s="22"/>
      <c r="I1698" s="22"/>
      <c r="J1698" s="22" t="s">
        <v>113</v>
      </c>
      <c r="K1698" s="24"/>
      <c r="L1698" s="24"/>
      <c r="M1698" s="25" t="s">
        <v>4999</v>
      </c>
      <c r="N1698" s="22"/>
      <c r="O1698" s="22" t="s">
        <v>5000</v>
      </c>
      <c r="P1698" s="22" t="str">
        <f>HYPERLINK("https://ceds.ed.gov/cedselementdetails.aspx?termid=22534")</f>
        <v>https://ceds.ed.gov/cedselementdetails.aspx?termid=22534</v>
      </c>
      <c r="Q1698" s="22">
        <v>61870</v>
      </c>
    </row>
    <row r="1699" spans="1:17" ht="172.8" x14ac:dyDescent="0.3">
      <c r="A1699" s="22" t="s">
        <v>7779</v>
      </c>
      <c r="B1699" s="22" t="s">
        <v>7794</v>
      </c>
      <c r="C1699" s="22" t="s">
        <v>7825</v>
      </c>
      <c r="D1699" s="22" t="s">
        <v>7710</v>
      </c>
      <c r="E1699" s="22" t="s">
        <v>5001</v>
      </c>
      <c r="F1699" s="24" t="s">
        <v>5002</v>
      </c>
      <c r="G1699" s="23" t="s">
        <v>32</v>
      </c>
      <c r="H1699" s="22"/>
      <c r="I1699" s="22"/>
      <c r="J1699" s="22" t="s">
        <v>132</v>
      </c>
      <c r="K1699" s="24"/>
      <c r="L1699" s="24" t="s">
        <v>7945</v>
      </c>
      <c r="M1699" s="25" t="s">
        <v>5003</v>
      </c>
      <c r="N1699" s="22"/>
      <c r="O1699" s="22" t="s">
        <v>5004</v>
      </c>
      <c r="P1699" s="22" t="str">
        <f>HYPERLINK("https://ceds.ed.gov/cedselementdetails.aspx?termid=22535")</f>
        <v>https://ceds.ed.gov/cedselementdetails.aspx?termid=22535</v>
      </c>
      <c r="Q1699" s="22">
        <v>61873</v>
      </c>
    </row>
    <row r="1700" spans="1:17" ht="28.8" x14ac:dyDescent="0.3">
      <c r="A1700" s="22" t="s">
        <v>7779</v>
      </c>
      <c r="B1700" s="22" t="s">
        <v>7794</v>
      </c>
      <c r="C1700" s="22" t="s">
        <v>7825</v>
      </c>
      <c r="D1700" s="22" t="s">
        <v>7710</v>
      </c>
      <c r="E1700" s="22" t="s">
        <v>5005</v>
      </c>
      <c r="F1700" s="24" t="s">
        <v>5006</v>
      </c>
      <c r="G1700" s="23" t="s">
        <v>32</v>
      </c>
      <c r="H1700" s="22"/>
      <c r="I1700" s="22"/>
      <c r="J1700" s="22" t="s">
        <v>157</v>
      </c>
      <c r="K1700" s="24"/>
      <c r="L1700" s="24"/>
      <c r="M1700" s="25" t="s">
        <v>5007</v>
      </c>
      <c r="N1700" s="22"/>
      <c r="O1700" s="22" t="s">
        <v>5008</v>
      </c>
      <c r="P1700" s="22" t="str">
        <f>HYPERLINK("https://ceds.ed.gov/cedselementdetails.aspx?termid=22536")</f>
        <v>https://ceds.ed.gov/cedselementdetails.aspx?termid=22536</v>
      </c>
      <c r="Q1700" s="22">
        <v>61876</v>
      </c>
    </row>
    <row r="1701" spans="1:17" ht="409.6" x14ac:dyDescent="0.3">
      <c r="A1701" s="22" t="s">
        <v>7779</v>
      </c>
      <c r="B1701" s="22" t="s">
        <v>7794</v>
      </c>
      <c r="C1701" s="22" t="s">
        <v>7825</v>
      </c>
      <c r="D1701" s="22" t="s">
        <v>7710</v>
      </c>
      <c r="E1701" s="22" t="s">
        <v>5009</v>
      </c>
      <c r="F1701" s="24" t="s">
        <v>5010</v>
      </c>
      <c r="G1701" s="26" t="s">
        <v>8996</v>
      </c>
      <c r="H1701" s="22"/>
      <c r="I1701" s="22"/>
      <c r="J1701" s="22"/>
      <c r="K1701" s="24"/>
      <c r="L1701" s="24" t="s">
        <v>8237</v>
      </c>
      <c r="M1701" s="25" t="s">
        <v>5011</v>
      </c>
      <c r="N1701" s="22"/>
      <c r="O1701" s="22" t="s">
        <v>5012</v>
      </c>
      <c r="P1701" s="22" t="str">
        <f>HYPERLINK("https://ceds.ed.gov/cedselementdetails.aspx?termid=21935")</f>
        <v>https://ceds.ed.gov/cedselementdetails.aspx?termid=21935</v>
      </c>
      <c r="Q1701" s="22">
        <v>61879</v>
      </c>
    </row>
    <row r="1702" spans="1:17" ht="72" x14ac:dyDescent="0.3">
      <c r="A1702" s="22" t="s">
        <v>7779</v>
      </c>
      <c r="B1702" s="22" t="s">
        <v>7794</v>
      </c>
      <c r="C1702" s="22" t="s">
        <v>7825</v>
      </c>
      <c r="D1702" s="22" t="s">
        <v>7710</v>
      </c>
      <c r="E1702" s="22" t="s">
        <v>5013</v>
      </c>
      <c r="F1702" s="24" t="s">
        <v>5014</v>
      </c>
      <c r="G1702" s="23" t="s">
        <v>32</v>
      </c>
      <c r="H1702" s="22"/>
      <c r="I1702" s="22"/>
      <c r="J1702" s="22" t="s">
        <v>328</v>
      </c>
      <c r="K1702" s="24"/>
      <c r="L1702" s="24"/>
      <c r="M1702" s="25" t="s">
        <v>5015</v>
      </c>
      <c r="N1702" s="22"/>
      <c r="O1702" s="22" t="s">
        <v>5016</v>
      </c>
      <c r="P1702" s="22" t="str">
        <f>HYPERLINK("https://ceds.ed.gov/cedselementdetails.aspx?termid=21936")</f>
        <v>https://ceds.ed.gov/cedselementdetails.aspx?termid=21936</v>
      </c>
      <c r="Q1702" s="22">
        <v>61880</v>
      </c>
    </row>
    <row r="1703" spans="1:17" ht="409.6" x14ac:dyDescent="0.3">
      <c r="A1703" s="22" t="s">
        <v>7779</v>
      </c>
      <c r="B1703" s="22" t="s">
        <v>7794</v>
      </c>
      <c r="C1703" s="22" t="s">
        <v>7766</v>
      </c>
      <c r="D1703" s="22" t="s">
        <v>7710</v>
      </c>
      <c r="E1703" s="22" t="s">
        <v>5851</v>
      </c>
      <c r="F1703" s="24" t="s">
        <v>5852</v>
      </c>
      <c r="G1703" s="26" t="s">
        <v>9062</v>
      </c>
      <c r="H1703" s="22" t="s">
        <v>1553</v>
      </c>
      <c r="I1703" s="22"/>
      <c r="J1703" s="22"/>
      <c r="K1703" s="24"/>
      <c r="L1703" s="24" t="s">
        <v>5853</v>
      </c>
      <c r="M1703" s="25" t="s">
        <v>5854</v>
      </c>
      <c r="N1703" s="22"/>
      <c r="O1703" s="22" t="s">
        <v>5855</v>
      </c>
      <c r="P1703" s="22" t="str">
        <f>HYPERLINK("https://ceds.ed.gov/cedselementdetails.aspx?termid=21415")</f>
        <v>https://ceds.ed.gov/cedselementdetails.aspx?termid=21415</v>
      </c>
      <c r="Q1703" s="22">
        <v>63348</v>
      </c>
    </row>
    <row r="1704" spans="1:17" ht="43.2" x14ac:dyDescent="0.3">
      <c r="A1704" s="22" t="s">
        <v>7779</v>
      </c>
      <c r="B1704" s="22" t="s">
        <v>7794</v>
      </c>
      <c r="C1704" s="22" t="s">
        <v>4</v>
      </c>
      <c r="D1704" s="22" t="s">
        <v>7710</v>
      </c>
      <c r="E1704" s="22" t="s">
        <v>1527</v>
      </c>
      <c r="F1704" s="24" t="s">
        <v>1528</v>
      </c>
      <c r="G1704" s="26" t="s">
        <v>22</v>
      </c>
      <c r="H1704" s="22"/>
      <c r="I1704" s="22"/>
      <c r="J1704" s="22"/>
      <c r="K1704" s="24"/>
      <c r="L1704" s="24"/>
      <c r="M1704" s="25" t="s">
        <v>1529</v>
      </c>
      <c r="N1704" s="22"/>
      <c r="O1704" s="22" t="s">
        <v>1530</v>
      </c>
      <c r="P1704" s="22" t="str">
        <f>HYPERLINK("https://ceds.ed.gov/cedselementdetails.aspx?termid=22903")</f>
        <v>https://ceds.ed.gov/cedselementdetails.aspx?termid=22903</v>
      </c>
      <c r="Q1704" s="22">
        <v>63349</v>
      </c>
    </row>
    <row r="1705" spans="1:17" ht="57.6" x14ac:dyDescent="0.3">
      <c r="A1705" s="22" t="s">
        <v>7779</v>
      </c>
      <c r="B1705" s="22" t="s">
        <v>7794</v>
      </c>
      <c r="C1705" s="22" t="s">
        <v>4</v>
      </c>
      <c r="D1705" s="22" t="s">
        <v>7710</v>
      </c>
      <c r="E1705" s="22" t="s">
        <v>6262</v>
      </c>
      <c r="F1705" s="24" t="s">
        <v>6263</v>
      </c>
      <c r="G1705" s="26" t="s">
        <v>22</v>
      </c>
      <c r="H1705" s="22"/>
      <c r="I1705" s="22"/>
      <c r="J1705" s="22"/>
      <c r="K1705" s="24"/>
      <c r="L1705" s="24"/>
      <c r="M1705" s="25" t="s">
        <v>6264</v>
      </c>
      <c r="N1705" s="22"/>
      <c r="O1705" s="22" t="s">
        <v>6265</v>
      </c>
      <c r="P1705" s="22" t="str">
        <f>HYPERLINK("https://ceds.ed.gov/cedselementdetails.aspx?termid=21760")</f>
        <v>https://ceds.ed.gov/cedselementdetails.aspx?termid=21760</v>
      </c>
      <c r="Q1705" s="22">
        <v>63350</v>
      </c>
    </row>
    <row r="1706" spans="1:17" ht="115.2" x14ac:dyDescent="0.3">
      <c r="A1706" s="22" t="s">
        <v>7779</v>
      </c>
      <c r="B1706" s="22" t="s">
        <v>7794</v>
      </c>
      <c r="C1706" s="22" t="s">
        <v>7826</v>
      </c>
      <c r="D1706" s="22" t="s">
        <v>7710</v>
      </c>
      <c r="E1706" s="22" t="s">
        <v>7441</v>
      </c>
      <c r="F1706" s="24" t="s">
        <v>7442</v>
      </c>
      <c r="G1706" s="26" t="s">
        <v>8654</v>
      </c>
      <c r="H1706" s="22"/>
      <c r="I1706" s="22"/>
      <c r="J1706" s="22"/>
      <c r="K1706" s="24"/>
      <c r="L1706" s="24" t="s">
        <v>7443</v>
      </c>
      <c r="M1706" s="25" t="s">
        <v>7444</v>
      </c>
      <c r="N1706" s="22"/>
      <c r="O1706" s="22" t="s">
        <v>7445</v>
      </c>
      <c r="P1706" s="22" t="str">
        <f>HYPERLINK("https://ceds.ed.gov/cedselementdetails.aspx?termid=22916")</f>
        <v>https://ceds.ed.gov/cedselementdetails.aspx?termid=22916</v>
      </c>
      <c r="Q1706" s="22">
        <v>63549</v>
      </c>
    </row>
    <row r="1707" spans="1:17" ht="57.6" x14ac:dyDescent="0.3">
      <c r="A1707" s="22" t="s">
        <v>7779</v>
      </c>
      <c r="B1707" s="22" t="s">
        <v>7794</v>
      </c>
      <c r="C1707" s="22" t="s">
        <v>7767</v>
      </c>
      <c r="D1707" s="22" t="s">
        <v>7710</v>
      </c>
      <c r="E1707" s="22" t="s">
        <v>7559</v>
      </c>
      <c r="F1707" s="24" t="s">
        <v>7560</v>
      </c>
      <c r="G1707" s="23" t="s">
        <v>32</v>
      </c>
      <c r="H1707" s="22"/>
      <c r="I1707" s="22"/>
      <c r="J1707" s="22" t="s">
        <v>148</v>
      </c>
      <c r="K1707" s="24"/>
      <c r="L1707" s="24" t="s">
        <v>7561</v>
      </c>
      <c r="M1707" s="25" t="s">
        <v>7562</v>
      </c>
      <c r="N1707" s="22"/>
      <c r="O1707" s="22" t="s">
        <v>7563</v>
      </c>
      <c r="P1707" s="22" t="str">
        <f>HYPERLINK("https://ceds.ed.gov/cedselementdetails.aspx?termid=22938")</f>
        <v>https://ceds.ed.gov/cedselementdetails.aspx?termid=22938</v>
      </c>
      <c r="Q1707" s="22">
        <v>63556</v>
      </c>
    </row>
    <row r="1708" spans="1:17" ht="72" x14ac:dyDescent="0.3">
      <c r="A1708" s="22" t="s">
        <v>7779</v>
      </c>
      <c r="B1708" s="22" t="s">
        <v>7794</v>
      </c>
      <c r="C1708" s="22" t="s">
        <v>7826</v>
      </c>
      <c r="D1708" s="22" t="s">
        <v>7710</v>
      </c>
      <c r="E1708" s="22" t="s">
        <v>7549</v>
      </c>
      <c r="F1708" s="24" t="s">
        <v>7550</v>
      </c>
      <c r="G1708" s="26" t="s">
        <v>22</v>
      </c>
      <c r="H1708" s="22"/>
      <c r="I1708" s="22"/>
      <c r="J1708" s="22"/>
      <c r="K1708" s="24"/>
      <c r="L1708" s="24" t="s">
        <v>7551</v>
      </c>
      <c r="M1708" s="25" t="s">
        <v>7552</v>
      </c>
      <c r="N1708" s="22"/>
      <c r="O1708" s="22" t="s">
        <v>7553</v>
      </c>
      <c r="P1708" s="22" t="str">
        <f>HYPERLINK("https://ceds.ed.gov/cedselementdetails.aspx?termid=22936")</f>
        <v>https://ceds.ed.gov/cedselementdetails.aspx?termid=22936</v>
      </c>
      <c r="Q1708" s="22">
        <v>63550</v>
      </c>
    </row>
    <row r="1709" spans="1:17" ht="43.2" x14ac:dyDescent="0.3">
      <c r="A1709" s="22" t="s">
        <v>7779</v>
      </c>
      <c r="B1709" s="22" t="s">
        <v>7794</v>
      </c>
      <c r="C1709" s="22" t="s">
        <v>7767</v>
      </c>
      <c r="D1709" s="22" t="s">
        <v>7710</v>
      </c>
      <c r="E1709" s="22" t="s">
        <v>7569</v>
      </c>
      <c r="F1709" s="24" t="s">
        <v>7570</v>
      </c>
      <c r="G1709" s="23" t="s">
        <v>32</v>
      </c>
      <c r="H1709" s="22"/>
      <c r="I1709" s="22"/>
      <c r="J1709" s="22" t="s">
        <v>845</v>
      </c>
      <c r="K1709" s="24"/>
      <c r="L1709" s="24" t="s">
        <v>7571</v>
      </c>
      <c r="M1709" s="25" t="s">
        <v>7572</v>
      </c>
      <c r="N1709" s="22"/>
      <c r="O1709" s="22" t="s">
        <v>7573</v>
      </c>
      <c r="P1709" s="22" t="str">
        <f>HYPERLINK("https://ceds.ed.gov/cedselementdetails.aspx?termid=22940")</f>
        <v>https://ceds.ed.gov/cedselementdetails.aspx?termid=22940</v>
      </c>
      <c r="Q1709" s="22">
        <v>63557</v>
      </c>
    </row>
    <row r="1710" spans="1:17" ht="144" x14ac:dyDescent="0.3">
      <c r="A1710" s="22" t="s">
        <v>7779</v>
      </c>
      <c r="B1710" s="22" t="s">
        <v>7794</v>
      </c>
      <c r="C1710" s="22" t="s">
        <v>7826</v>
      </c>
      <c r="D1710" s="22" t="s">
        <v>7710</v>
      </c>
      <c r="E1710" s="22" t="s">
        <v>7554</v>
      </c>
      <c r="F1710" s="24" t="s">
        <v>7555</v>
      </c>
      <c r="G1710" s="26" t="s">
        <v>8973</v>
      </c>
      <c r="H1710" s="22"/>
      <c r="I1710" s="22"/>
      <c r="J1710" s="22"/>
      <c r="K1710" s="24"/>
      <c r="L1710" s="24" t="s">
        <v>7556</v>
      </c>
      <c r="M1710" s="25" t="s">
        <v>7557</v>
      </c>
      <c r="N1710" s="22"/>
      <c r="O1710" s="22" t="s">
        <v>7558</v>
      </c>
      <c r="P1710" s="22" t="str">
        <f>HYPERLINK("https://ceds.ed.gov/cedselementdetails.aspx?termid=22937")</f>
        <v>https://ceds.ed.gov/cedselementdetails.aspx?termid=22937</v>
      </c>
      <c r="Q1710" s="22">
        <v>63551</v>
      </c>
    </row>
    <row r="1711" spans="1:17" ht="57.6" x14ac:dyDescent="0.3">
      <c r="A1711" s="22" t="s">
        <v>7779</v>
      </c>
      <c r="B1711" s="22" t="s">
        <v>7794</v>
      </c>
      <c r="C1711" s="22" t="s">
        <v>7767</v>
      </c>
      <c r="D1711" s="22" t="s">
        <v>7710</v>
      </c>
      <c r="E1711" s="22" t="s">
        <v>7574</v>
      </c>
      <c r="F1711" s="24" t="s">
        <v>7575</v>
      </c>
      <c r="G1711" s="23" t="s">
        <v>32</v>
      </c>
      <c r="H1711" s="22"/>
      <c r="I1711" s="22"/>
      <c r="J1711" s="22" t="s">
        <v>148</v>
      </c>
      <c r="K1711" s="24"/>
      <c r="L1711" s="24" t="s">
        <v>7576</v>
      </c>
      <c r="M1711" s="25" t="s">
        <v>7577</v>
      </c>
      <c r="N1711" s="22"/>
      <c r="O1711" s="22" t="s">
        <v>7578</v>
      </c>
      <c r="P1711" s="22" t="str">
        <f>HYPERLINK("https://ceds.ed.gov/cedselementdetails.aspx?termid=22941")</f>
        <v>https://ceds.ed.gov/cedselementdetails.aspx?termid=22941</v>
      </c>
      <c r="Q1711" s="22">
        <v>63558</v>
      </c>
    </row>
    <row r="1712" spans="1:17" ht="100.8" x14ac:dyDescent="0.3">
      <c r="A1712" s="22" t="s">
        <v>7779</v>
      </c>
      <c r="B1712" s="22" t="s">
        <v>7794</v>
      </c>
      <c r="C1712" s="22" t="s">
        <v>7826</v>
      </c>
      <c r="D1712" s="22" t="s">
        <v>7710</v>
      </c>
      <c r="E1712" s="22" t="s">
        <v>7564</v>
      </c>
      <c r="F1712" s="24" t="s">
        <v>7565</v>
      </c>
      <c r="G1712" s="26" t="s">
        <v>8975</v>
      </c>
      <c r="H1712" s="22"/>
      <c r="I1712" s="22"/>
      <c r="J1712" s="22"/>
      <c r="K1712" s="24"/>
      <c r="L1712" s="24" t="s">
        <v>7566</v>
      </c>
      <c r="M1712" s="25" t="s">
        <v>7567</v>
      </c>
      <c r="N1712" s="22"/>
      <c r="O1712" s="22" t="s">
        <v>7568</v>
      </c>
      <c r="P1712" s="22" t="str">
        <f>HYPERLINK("https://ceds.ed.gov/cedselementdetails.aspx?termid=22939")</f>
        <v>https://ceds.ed.gov/cedselementdetails.aspx?termid=22939</v>
      </c>
      <c r="Q1712" s="22">
        <v>63552</v>
      </c>
    </row>
    <row r="1713" spans="1:17" ht="72" x14ac:dyDescent="0.3">
      <c r="A1713" s="22" t="s">
        <v>7779</v>
      </c>
      <c r="B1713" s="22" t="s">
        <v>7794</v>
      </c>
      <c r="C1713" s="22" t="s">
        <v>7826</v>
      </c>
      <c r="D1713" s="22" t="s">
        <v>7710</v>
      </c>
      <c r="E1713" s="22" t="s">
        <v>7625</v>
      </c>
      <c r="F1713" s="24" t="s">
        <v>7626</v>
      </c>
      <c r="G1713" s="26" t="s">
        <v>9078</v>
      </c>
      <c r="H1713" s="22"/>
      <c r="I1713" s="22"/>
      <c r="J1713" s="22"/>
      <c r="K1713" s="24"/>
      <c r="L1713" s="24" t="s">
        <v>7627</v>
      </c>
      <c r="M1713" s="25" t="s">
        <v>7628</v>
      </c>
      <c r="N1713" s="22"/>
      <c r="O1713" s="22" t="s">
        <v>7629</v>
      </c>
      <c r="P1713" s="22" t="str">
        <f>HYPERLINK("https://ceds.ed.gov/cedselementdetails.aspx?termid=22952")</f>
        <v>https://ceds.ed.gov/cedselementdetails.aspx?termid=22952</v>
      </c>
      <c r="Q1713" s="22">
        <v>63553</v>
      </c>
    </row>
    <row r="1714" spans="1:17" ht="115.2" x14ac:dyDescent="0.3">
      <c r="A1714" s="22" t="s">
        <v>7779</v>
      </c>
      <c r="B1714" s="22" t="s">
        <v>7794</v>
      </c>
      <c r="C1714" s="22" t="s">
        <v>7826</v>
      </c>
      <c r="D1714" s="22" t="s">
        <v>7710</v>
      </c>
      <c r="E1714" s="22" t="s">
        <v>7630</v>
      </c>
      <c r="F1714" s="24" t="s">
        <v>7631</v>
      </c>
      <c r="G1714" s="26" t="s">
        <v>9079</v>
      </c>
      <c r="H1714" s="22"/>
      <c r="I1714" s="22"/>
      <c r="J1714" s="22"/>
      <c r="K1714" s="24"/>
      <c r="L1714" s="24" t="s">
        <v>7632</v>
      </c>
      <c r="M1714" s="25" t="s">
        <v>7633</v>
      </c>
      <c r="N1714" s="22"/>
      <c r="O1714" s="22" t="s">
        <v>7634</v>
      </c>
      <c r="P1714" s="22" t="str">
        <f>HYPERLINK("https://ceds.ed.gov/cedselementdetails.aspx?termid=22953")</f>
        <v>https://ceds.ed.gov/cedselementdetails.aspx?termid=22953</v>
      </c>
      <c r="Q1714" s="22">
        <v>63554</v>
      </c>
    </row>
    <row r="1715" spans="1:17" ht="72" x14ac:dyDescent="0.3">
      <c r="A1715" s="22" t="s">
        <v>7779</v>
      </c>
      <c r="B1715" s="22" t="s">
        <v>7794</v>
      </c>
      <c r="C1715" s="22" t="s">
        <v>7826</v>
      </c>
      <c r="D1715" s="22" t="s">
        <v>7710</v>
      </c>
      <c r="E1715" s="22" t="s">
        <v>7635</v>
      </c>
      <c r="F1715" s="24" t="s">
        <v>7636</v>
      </c>
      <c r="G1715" s="26" t="s">
        <v>9080</v>
      </c>
      <c r="H1715" s="22"/>
      <c r="I1715" s="22"/>
      <c r="J1715" s="22"/>
      <c r="K1715" s="24"/>
      <c r="L1715" s="24" t="s">
        <v>7637</v>
      </c>
      <c r="M1715" s="25" t="s">
        <v>7638</v>
      </c>
      <c r="N1715" s="22"/>
      <c r="O1715" s="22" t="s">
        <v>7639</v>
      </c>
      <c r="P1715" s="22" t="str">
        <f>HYPERLINK("https://ceds.ed.gov/cedselementdetails.aspx?termid=22954")</f>
        <v>https://ceds.ed.gov/cedselementdetails.aspx?termid=22954</v>
      </c>
      <c r="Q1715" s="22">
        <v>63555</v>
      </c>
    </row>
    <row r="1716" spans="1:17" ht="158.4" x14ac:dyDescent="0.3">
      <c r="A1716" s="22" t="s">
        <v>7779</v>
      </c>
      <c r="B1716" s="22" t="s">
        <v>7768</v>
      </c>
      <c r="C1716" s="22" t="s">
        <v>7738</v>
      </c>
      <c r="D1716" s="22" t="s">
        <v>7710</v>
      </c>
      <c r="E1716" s="22" t="s">
        <v>4050</v>
      </c>
      <c r="F1716" s="24" t="s">
        <v>4051</v>
      </c>
      <c r="G1716" s="23" t="s">
        <v>32</v>
      </c>
      <c r="H1716" s="24" t="s">
        <v>4054</v>
      </c>
      <c r="I1716" s="22"/>
      <c r="J1716" s="22" t="s">
        <v>7536</v>
      </c>
      <c r="K1716" s="24"/>
      <c r="L1716" s="24" t="s">
        <v>8200</v>
      </c>
      <c r="M1716" s="25" t="s">
        <v>4052</v>
      </c>
      <c r="N1716" s="22"/>
      <c r="O1716" s="22" t="s">
        <v>4053</v>
      </c>
      <c r="P1716" s="22" t="str">
        <f>HYPERLINK("https://ceds.ed.gov/cedselementdetails.aspx?termid=21115")</f>
        <v>https://ceds.ed.gov/cedselementdetails.aspx?termid=21115</v>
      </c>
      <c r="Q1716" s="22">
        <v>59244</v>
      </c>
    </row>
    <row r="1717" spans="1:17" ht="158.4" x14ac:dyDescent="0.3">
      <c r="A1717" s="22" t="s">
        <v>7779</v>
      </c>
      <c r="B1717" s="22" t="s">
        <v>7768</v>
      </c>
      <c r="C1717" s="22" t="s">
        <v>7738</v>
      </c>
      <c r="D1717" s="22" t="s">
        <v>7710</v>
      </c>
      <c r="E1717" s="22" t="s">
        <v>5415</v>
      </c>
      <c r="F1717" s="24" t="s">
        <v>5416</v>
      </c>
      <c r="G1717" s="23" t="s">
        <v>32</v>
      </c>
      <c r="H1717" s="24" t="s">
        <v>4054</v>
      </c>
      <c r="I1717" s="22"/>
      <c r="J1717" s="22" t="s">
        <v>7536</v>
      </c>
      <c r="K1717" s="24"/>
      <c r="L1717" s="24" t="s">
        <v>8207</v>
      </c>
      <c r="M1717" s="25" t="s">
        <v>5417</v>
      </c>
      <c r="N1717" s="22"/>
      <c r="O1717" s="22" t="s">
        <v>5418</v>
      </c>
      <c r="P1717" s="22" t="str">
        <f>HYPERLINK("https://ceds.ed.gov/cedselementdetails.aspx?termid=21184")</f>
        <v>https://ceds.ed.gov/cedselementdetails.aspx?termid=21184</v>
      </c>
      <c r="Q1717" s="22">
        <v>59247</v>
      </c>
    </row>
    <row r="1718" spans="1:17" ht="158.4" x14ac:dyDescent="0.3">
      <c r="A1718" s="22" t="s">
        <v>7779</v>
      </c>
      <c r="B1718" s="22" t="s">
        <v>7768</v>
      </c>
      <c r="C1718" s="22" t="s">
        <v>7738</v>
      </c>
      <c r="D1718" s="22" t="s">
        <v>7710</v>
      </c>
      <c r="E1718" s="22" t="s">
        <v>4973</v>
      </c>
      <c r="F1718" s="24" t="s">
        <v>4974</v>
      </c>
      <c r="G1718" s="23" t="s">
        <v>32</v>
      </c>
      <c r="H1718" s="24" t="s">
        <v>4054</v>
      </c>
      <c r="I1718" s="22"/>
      <c r="J1718" s="22" t="s">
        <v>7536</v>
      </c>
      <c r="K1718" s="24"/>
      <c r="L1718" s="24" t="s">
        <v>8207</v>
      </c>
      <c r="M1718" s="25" t="s">
        <v>4975</v>
      </c>
      <c r="N1718" s="22" t="s">
        <v>4976</v>
      </c>
      <c r="O1718" s="22" t="s">
        <v>4977</v>
      </c>
      <c r="P1718" s="22" t="str">
        <f>HYPERLINK("https://ceds.ed.gov/cedselementdetails.aspx?termid=21172")</f>
        <v>https://ceds.ed.gov/cedselementdetails.aspx?termid=21172</v>
      </c>
      <c r="Q1718" s="22">
        <v>59246</v>
      </c>
    </row>
    <row r="1719" spans="1:17" ht="129.6" x14ac:dyDescent="0.3">
      <c r="A1719" s="22" t="s">
        <v>7779</v>
      </c>
      <c r="B1719" s="22" t="s">
        <v>7768</v>
      </c>
      <c r="C1719" s="22" t="s">
        <v>7738</v>
      </c>
      <c r="D1719" s="22" t="s">
        <v>7710</v>
      </c>
      <c r="E1719" s="22" t="s">
        <v>4114</v>
      </c>
      <c r="F1719" s="24" t="s">
        <v>4115</v>
      </c>
      <c r="G1719" s="23" t="s">
        <v>32</v>
      </c>
      <c r="H1719" s="24" t="s">
        <v>4119</v>
      </c>
      <c r="I1719" s="22"/>
      <c r="J1719" s="22" t="s">
        <v>2743</v>
      </c>
      <c r="K1719" s="24"/>
      <c r="L1719" s="24" t="s">
        <v>8207</v>
      </c>
      <c r="M1719" s="25" t="s">
        <v>4117</v>
      </c>
      <c r="N1719" s="22"/>
      <c r="O1719" s="22" t="s">
        <v>4118</v>
      </c>
      <c r="P1719" s="22" t="str">
        <f>HYPERLINK("https://ceds.ed.gov/cedselementdetails.aspx?termid=21121")</f>
        <v>https://ceds.ed.gov/cedselementdetails.aspx?termid=21121</v>
      </c>
      <c r="Q1719" s="22">
        <v>59245</v>
      </c>
    </row>
    <row r="1720" spans="1:17" ht="86.4" x14ac:dyDescent="0.3">
      <c r="A1720" s="22" t="s">
        <v>7779</v>
      </c>
      <c r="B1720" s="22" t="s">
        <v>7768</v>
      </c>
      <c r="C1720" s="22" t="s">
        <v>7738</v>
      </c>
      <c r="D1720" s="22" t="s">
        <v>7710</v>
      </c>
      <c r="E1720" s="22" t="s">
        <v>5860</v>
      </c>
      <c r="F1720" s="24" t="s">
        <v>5861</v>
      </c>
      <c r="G1720" s="23" t="s">
        <v>32</v>
      </c>
      <c r="H1720" s="24" t="s">
        <v>5865</v>
      </c>
      <c r="I1720" s="22"/>
      <c r="J1720" s="22" t="s">
        <v>85</v>
      </c>
      <c r="K1720" s="24"/>
      <c r="L1720" s="24"/>
      <c r="M1720" s="25" t="s">
        <v>5862</v>
      </c>
      <c r="N1720" s="22" t="s">
        <v>5863</v>
      </c>
      <c r="O1720" s="22" t="s">
        <v>5864</v>
      </c>
      <c r="P1720" s="22" t="str">
        <f>HYPERLINK("https://ceds.ed.gov/cedselementdetails.aspx?termid=21212")</f>
        <v>https://ceds.ed.gov/cedselementdetails.aspx?termid=21212</v>
      </c>
      <c r="Q1720" s="22">
        <v>59248</v>
      </c>
    </row>
    <row r="1721" spans="1:17" ht="28.8" x14ac:dyDescent="0.3">
      <c r="A1721" s="22" t="s">
        <v>7779</v>
      </c>
      <c r="B1721" s="22" t="s">
        <v>7768</v>
      </c>
      <c r="C1721" s="22" t="s">
        <v>7739</v>
      </c>
      <c r="D1721" s="22" t="s">
        <v>7710</v>
      </c>
      <c r="E1721" s="22" t="s">
        <v>5728</v>
      </c>
      <c r="F1721" s="24" t="s">
        <v>5729</v>
      </c>
      <c r="G1721" s="23" t="s">
        <v>32</v>
      </c>
      <c r="H1721" s="22"/>
      <c r="I1721" s="22"/>
      <c r="J1721" s="22" t="s">
        <v>1301</v>
      </c>
      <c r="K1721" s="24"/>
      <c r="L1721" s="24" t="s">
        <v>5730</v>
      </c>
      <c r="M1721" s="25" t="s">
        <v>5731</v>
      </c>
      <c r="N1721" s="22"/>
      <c r="O1721" s="22" t="s">
        <v>5732</v>
      </c>
      <c r="P1721" s="22" t="str">
        <f>HYPERLINK("https://ceds.ed.gov/cedselementdetails.aspx?termid=22486")</f>
        <v>https://ceds.ed.gov/cedselementdetails.aspx?termid=22486</v>
      </c>
      <c r="Q1721" s="22">
        <v>61631</v>
      </c>
    </row>
    <row r="1722" spans="1:17" ht="28.8" x14ac:dyDescent="0.3">
      <c r="A1722" s="22" t="s">
        <v>7779</v>
      </c>
      <c r="B1722" s="22" t="s">
        <v>7768</v>
      </c>
      <c r="C1722" s="22" t="s">
        <v>7739</v>
      </c>
      <c r="D1722" s="22" t="s">
        <v>7710</v>
      </c>
      <c r="E1722" s="22" t="s">
        <v>5738</v>
      </c>
      <c r="F1722" s="24" t="s">
        <v>5739</v>
      </c>
      <c r="G1722" s="23" t="s">
        <v>32</v>
      </c>
      <c r="H1722" s="22"/>
      <c r="I1722" s="22"/>
      <c r="J1722" s="22" t="s">
        <v>1301</v>
      </c>
      <c r="K1722" s="24"/>
      <c r="L1722" s="24" t="s">
        <v>5740</v>
      </c>
      <c r="M1722" s="25" t="s">
        <v>5741</v>
      </c>
      <c r="N1722" s="22"/>
      <c r="O1722" s="22" t="s">
        <v>5742</v>
      </c>
      <c r="P1722" s="22" t="str">
        <f>HYPERLINK("https://ceds.ed.gov/cedselementdetails.aspx?termid=22487")</f>
        <v>https://ceds.ed.gov/cedselementdetails.aspx?termid=22487</v>
      </c>
      <c r="Q1722" s="22">
        <v>61647</v>
      </c>
    </row>
    <row r="1723" spans="1:17" ht="28.8" x14ac:dyDescent="0.3">
      <c r="A1723" s="22" t="s">
        <v>7779</v>
      </c>
      <c r="B1723" s="22" t="s">
        <v>7768</v>
      </c>
      <c r="C1723" s="22" t="s">
        <v>7739</v>
      </c>
      <c r="D1723" s="22" t="s">
        <v>7710</v>
      </c>
      <c r="E1723" s="22" t="s">
        <v>5733</v>
      </c>
      <c r="F1723" s="24" t="s">
        <v>5734</v>
      </c>
      <c r="G1723" s="23" t="s">
        <v>32</v>
      </c>
      <c r="H1723" s="22"/>
      <c r="I1723" s="22"/>
      <c r="J1723" s="22" t="s">
        <v>1301</v>
      </c>
      <c r="K1723" s="24"/>
      <c r="L1723" s="24" t="s">
        <v>5735</v>
      </c>
      <c r="M1723" s="25" t="s">
        <v>5736</v>
      </c>
      <c r="N1723" s="22"/>
      <c r="O1723" s="22" t="s">
        <v>5737</v>
      </c>
      <c r="P1723" s="22" t="str">
        <f>HYPERLINK("https://ceds.ed.gov/cedselementdetails.aspx?termid=22485")</f>
        <v>https://ceds.ed.gov/cedselementdetails.aspx?termid=22485</v>
      </c>
      <c r="Q1723" s="22">
        <v>61615</v>
      </c>
    </row>
    <row r="1724" spans="1:17" ht="129.6" x14ac:dyDescent="0.3">
      <c r="A1724" s="22" t="s">
        <v>7779</v>
      </c>
      <c r="B1724" s="22" t="s">
        <v>7768</v>
      </c>
      <c r="C1724" s="22" t="s">
        <v>7739</v>
      </c>
      <c r="D1724" s="22" t="s">
        <v>7710</v>
      </c>
      <c r="E1724" s="22" t="s">
        <v>5743</v>
      </c>
      <c r="F1724" s="24" t="s">
        <v>5744</v>
      </c>
      <c r="G1724" s="23" t="s">
        <v>32</v>
      </c>
      <c r="H1724" s="24" t="s">
        <v>4119</v>
      </c>
      <c r="I1724" s="22"/>
      <c r="J1724" s="22" t="s">
        <v>132</v>
      </c>
      <c r="K1724" s="24"/>
      <c r="L1724" s="24"/>
      <c r="M1724" s="25" t="s">
        <v>5745</v>
      </c>
      <c r="N1724" s="22"/>
      <c r="O1724" s="22" t="s">
        <v>5746</v>
      </c>
      <c r="P1724" s="22" t="str">
        <f>HYPERLINK("https://ceds.ed.gov/cedselementdetails.aspx?termid=21206")</f>
        <v>https://ceds.ed.gov/cedselementdetails.aspx?termid=21206</v>
      </c>
      <c r="Q1724" s="22">
        <v>59999</v>
      </c>
    </row>
    <row r="1725" spans="1:17" ht="115.2" x14ac:dyDescent="0.3">
      <c r="A1725" s="22" t="s">
        <v>7779</v>
      </c>
      <c r="B1725" s="22" t="s">
        <v>7768</v>
      </c>
      <c r="C1725" s="22" t="s">
        <v>7739</v>
      </c>
      <c r="D1725" s="22" t="s">
        <v>7710</v>
      </c>
      <c r="E1725" s="22" t="s">
        <v>5747</v>
      </c>
      <c r="F1725" s="24" t="s">
        <v>5748</v>
      </c>
      <c r="G1725" s="26" t="s">
        <v>9055</v>
      </c>
      <c r="H1725" s="24" t="s">
        <v>5751</v>
      </c>
      <c r="I1725" s="22"/>
      <c r="J1725" s="22" t="s">
        <v>85</v>
      </c>
      <c r="K1725" s="24"/>
      <c r="L1725" s="24"/>
      <c r="M1725" s="25" t="s">
        <v>5749</v>
      </c>
      <c r="N1725" s="22"/>
      <c r="O1725" s="22" t="s">
        <v>5750</v>
      </c>
      <c r="P1725" s="22" t="str">
        <f>HYPERLINK("https://ceds.ed.gov/cedselementdetails.aspx?termid=21627")</f>
        <v>https://ceds.ed.gov/cedselementdetails.aspx?termid=21627</v>
      </c>
      <c r="Q1725" s="22">
        <v>60000</v>
      </c>
    </row>
    <row r="1726" spans="1:17" ht="172.8" x14ac:dyDescent="0.3">
      <c r="A1726" s="22" t="s">
        <v>7779</v>
      </c>
      <c r="B1726" s="22" t="s">
        <v>7768</v>
      </c>
      <c r="C1726" s="22" t="s">
        <v>7740</v>
      </c>
      <c r="D1726" s="22" t="s">
        <v>7710</v>
      </c>
      <c r="E1726" s="22" t="s">
        <v>5835</v>
      </c>
      <c r="F1726" s="24" t="s">
        <v>5836</v>
      </c>
      <c r="G1726" s="23" t="s">
        <v>32</v>
      </c>
      <c r="H1726" s="22"/>
      <c r="I1726" s="22" t="s">
        <v>172</v>
      </c>
      <c r="J1726" s="22" t="s">
        <v>132</v>
      </c>
      <c r="K1726" s="24" t="s">
        <v>7946</v>
      </c>
      <c r="L1726" s="24" t="s">
        <v>8043</v>
      </c>
      <c r="M1726" s="25" t="s">
        <v>5837</v>
      </c>
      <c r="N1726" s="22"/>
      <c r="O1726" s="22" t="s">
        <v>5838</v>
      </c>
      <c r="P1726" s="22" t="str">
        <f>HYPERLINK("https://ceds.ed.gov/cedselementdetails.aspx?termid=22551")</f>
        <v>https://ceds.ed.gov/cedselementdetails.aspx?termid=22551</v>
      </c>
      <c r="Q1726" s="22">
        <v>62387</v>
      </c>
    </row>
    <row r="1727" spans="1:17" ht="259.2" x14ac:dyDescent="0.3">
      <c r="A1727" s="22" t="s">
        <v>7779</v>
      </c>
      <c r="B1727" s="22" t="s">
        <v>7768</v>
      </c>
      <c r="C1727" s="22" t="s">
        <v>7740</v>
      </c>
      <c r="D1727" s="22" t="s">
        <v>7710</v>
      </c>
      <c r="E1727" s="22" t="s">
        <v>5831</v>
      </c>
      <c r="F1727" s="24" t="s">
        <v>5832</v>
      </c>
      <c r="G1727" s="26" t="s">
        <v>8494</v>
      </c>
      <c r="H1727" s="22"/>
      <c r="I1727" s="22" t="s">
        <v>172</v>
      </c>
      <c r="J1727" s="22"/>
      <c r="K1727" s="24" t="s">
        <v>7946</v>
      </c>
      <c r="L1727" s="24"/>
      <c r="M1727" s="25" t="s">
        <v>5833</v>
      </c>
      <c r="N1727" s="22"/>
      <c r="O1727" s="22" t="s">
        <v>5834</v>
      </c>
      <c r="P1727" s="22" t="str">
        <f>HYPERLINK("https://ceds.ed.gov/cedselementdetails.aspx?termid=22550")</f>
        <v>https://ceds.ed.gov/cedselementdetails.aspx?termid=22550</v>
      </c>
      <c r="Q1727" s="22">
        <v>62388</v>
      </c>
    </row>
    <row r="1728" spans="1:17" ht="403.2" x14ac:dyDescent="0.3">
      <c r="A1728" s="22" t="s">
        <v>7779</v>
      </c>
      <c r="B1728" s="22" t="s">
        <v>7768</v>
      </c>
      <c r="C1728" s="22" t="s">
        <v>7740</v>
      </c>
      <c r="D1728" s="22" t="s">
        <v>7710</v>
      </c>
      <c r="E1728" s="22" t="s">
        <v>5856</v>
      </c>
      <c r="F1728" s="24" t="s">
        <v>5857</v>
      </c>
      <c r="G1728" s="26" t="s">
        <v>8498</v>
      </c>
      <c r="H1728" s="22"/>
      <c r="I1728" s="22" t="s">
        <v>172</v>
      </c>
      <c r="J1728" s="22"/>
      <c r="K1728" s="24" t="s">
        <v>7946</v>
      </c>
      <c r="L1728" s="24"/>
      <c r="M1728" s="25" t="s">
        <v>5858</v>
      </c>
      <c r="N1728" s="22"/>
      <c r="O1728" s="22" t="s">
        <v>5859</v>
      </c>
      <c r="P1728" s="22" t="str">
        <f>HYPERLINK("https://ceds.ed.gov/cedselementdetails.aspx?termid=21611")</f>
        <v>https://ceds.ed.gov/cedselementdetails.aspx?termid=21611</v>
      </c>
      <c r="Q1728" s="22">
        <v>60216</v>
      </c>
    </row>
    <row r="1729" spans="1:17" ht="72" x14ac:dyDescent="0.3">
      <c r="A1729" s="22" t="s">
        <v>7779</v>
      </c>
      <c r="B1729" s="22" t="s">
        <v>7768</v>
      </c>
      <c r="C1729" s="22" t="s">
        <v>7740</v>
      </c>
      <c r="D1729" s="22" t="s">
        <v>7710</v>
      </c>
      <c r="E1729" s="22" t="s">
        <v>7621</v>
      </c>
      <c r="F1729" s="24" t="s">
        <v>7622</v>
      </c>
      <c r="G1729" s="26" t="s">
        <v>8496</v>
      </c>
      <c r="H1729" s="22"/>
      <c r="I1729" s="22" t="s">
        <v>172</v>
      </c>
      <c r="J1729" s="22"/>
      <c r="K1729" s="24" t="s">
        <v>7946</v>
      </c>
      <c r="L1729" s="24"/>
      <c r="M1729" s="25" t="s">
        <v>7623</v>
      </c>
      <c r="N1729" s="22"/>
      <c r="O1729" s="22" t="s">
        <v>7624</v>
      </c>
      <c r="P1729" s="22" t="str">
        <f>HYPERLINK("https://ceds.ed.gov/cedselementdetails.aspx?termid=22951")</f>
        <v>https://ceds.ed.gov/cedselementdetails.aspx?termid=22951</v>
      </c>
      <c r="Q1729" s="22">
        <v>63578</v>
      </c>
    </row>
    <row r="1730" spans="1:17" ht="172.8" x14ac:dyDescent="0.3">
      <c r="A1730" s="22" t="s">
        <v>7779</v>
      </c>
      <c r="B1730" s="22" t="s">
        <v>7768</v>
      </c>
      <c r="C1730" s="22" t="s">
        <v>7716</v>
      </c>
      <c r="D1730" s="22" t="s">
        <v>7710</v>
      </c>
      <c r="E1730" s="22" t="s">
        <v>194</v>
      </c>
      <c r="F1730" s="24" t="s">
        <v>195</v>
      </c>
      <c r="G1730" s="26" t="s">
        <v>8575</v>
      </c>
      <c r="H1730" s="24" t="s">
        <v>198</v>
      </c>
      <c r="I1730" s="22"/>
      <c r="J1730" s="22" t="s">
        <v>85</v>
      </c>
      <c r="K1730" s="24"/>
      <c r="L1730" s="24"/>
      <c r="M1730" s="25" t="s">
        <v>196</v>
      </c>
      <c r="N1730" s="22"/>
      <c r="O1730" s="22" t="s">
        <v>197</v>
      </c>
      <c r="P1730" s="22" t="str">
        <f>HYPERLINK("https://ceds.ed.gov/cedselementdetails.aspx?termid=21358")</f>
        <v>https://ceds.ed.gov/cedselementdetails.aspx?termid=21358</v>
      </c>
      <c r="Q1730" s="22">
        <v>60130</v>
      </c>
    </row>
    <row r="1731" spans="1:17" ht="187.2" x14ac:dyDescent="0.3">
      <c r="A1731" s="22" t="s">
        <v>7779</v>
      </c>
      <c r="B1731" s="22" t="s">
        <v>7768</v>
      </c>
      <c r="C1731" s="22" t="s">
        <v>7716</v>
      </c>
      <c r="D1731" s="22" t="s">
        <v>7710</v>
      </c>
      <c r="E1731" s="22" t="s">
        <v>189</v>
      </c>
      <c r="F1731" s="24" t="s">
        <v>190</v>
      </c>
      <c r="G1731" s="23" t="s">
        <v>32</v>
      </c>
      <c r="H1731" s="24" t="s">
        <v>175</v>
      </c>
      <c r="I1731" s="22" t="s">
        <v>172</v>
      </c>
      <c r="J1731" s="22" t="s">
        <v>191</v>
      </c>
      <c r="K1731" s="24" t="s">
        <v>7946</v>
      </c>
      <c r="L1731" s="24"/>
      <c r="M1731" s="25" t="s">
        <v>192</v>
      </c>
      <c r="N1731" s="22"/>
      <c r="O1731" s="22" t="s">
        <v>193</v>
      </c>
      <c r="P1731" s="22" t="str">
        <f>HYPERLINK("https://ceds.ed.gov/cedselementdetails.aspx?termid=21269")</f>
        <v>https://ceds.ed.gov/cedselementdetails.aspx?termid=21269</v>
      </c>
      <c r="Q1731" s="22">
        <v>60001</v>
      </c>
    </row>
    <row r="1732" spans="1:17" ht="187.2" x14ac:dyDescent="0.3">
      <c r="A1732" s="22" t="s">
        <v>7779</v>
      </c>
      <c r="B1732" s="22" t="s">
        <v>7768</v>
      </c>
      <c r="C1732" s="22" t="s">
        <v>7716</v>
      </c>
      <c r="D1732" s="22" t="s">
        <v>7710</v>
      </c>
      <c r="E1732" s="22" t="s">
        <v>170</v>
      </c>
      <c r="F1732" s="24" t="s">
        <v>171</v>
      </c>
      <c r="G1732" s="23" t="s">
        <v>32</v>
      </c>
      <c r="H1732" s="24" t="s">
        <v>175</v>
      </c>
      <c r="I1732" s="22" t="s">
        <v>172</v>
      </c>
      <c r="J1732" s="22" t="s">
        <v>157</v>
      </c>
      <c r="K1732" s="24" t="s">
        <v>7946</v>
      </c>
      <c r="L1732" s="24"/>
      <c r="M1732" s="25" t="s">
        <v>173</v>
      </c>
      <c r="N1732" s="22"/>
      <c r="O1732" s="22" t="s">
        <v>174</v>
      </c>
      <c r="P1732" s="22" t="str">
        <f>HYPERLINK("https://ceds.ed.gov/cedselementdetails.aspx?termid=21019")</f>
        <v>https://ceds.ed.gov/cedselementdetails.aspx?termid=21019</v>
      </c>
      <c r="Q1732" s="22">
        <v>60002</v>
      </c>
    </row>
    <row r="1733" spans="1:17" ht="187.2" x14ac:dyDescent="0.3">
      <c r="A1733" s="22" t="s">
        <v>7779</v>
      </c>
      <c r="B1733" s="22" t="s">
        <v>7768</v>
      </c>
      <c r="C1733" s="22" t="s">
        <v>7716</v>
      </c>
      <c r="D1733" s="22" t="s">
        <v>7710</v>
      </c>
      <c r="E1733" s="22" t="s">
        <v>176</v>
      </c>
      <c r="F1733" s="24" t="s">
        <v>177</v>
      </c>
      <c r="G1733" s="23" t="s">
        <v>32</v>
      </c>
      <c r="H1733" s="24" t="s">
        <v>175</v>
      </c>
      <c r="I1733" s="22" t="s">
        <v>172</v>
      </c>
      <c r="J1733" s="22" t="s">
        <v>85</v>
      </c>
      <c r="K1733" s="24" t="s">
        <v>7946</v>
      </c>
      <c r="L1733" s="24"/>
      <c r="M1733" s="25" t="s">
        <v>178</v>
      </c>
      <c r="N1733" s="22"/>
      <c r="O1733" s="22" t="s">
        <v>179</v>
      </c>
      <c r="P1733" s="22" t="str">
        <f>HYPERLINK("https://ceds.ed.gov/cedselementdetails.aspx?termid=21040")</f>
        <v>https://ceds.ed.gov/cedselementdetails.aspx?termid=21040</v>
      </c>
      <c r="Q1733" s="22">
        <v>60003</v>
      </c>
    </row>
    <row r="1734" spans="1:17" ht="409.6" x14ac:dyDescent="0.3">
      <c r="A1734" s="22" t="s">
        <v>7779</v>
      </c>
      <c r="B1734" s="22" t="s">
        <v>7768</v>
      </c>
      <c r="C1734" s="22" t="s">
        <v>7716</v>
      </c>
      <c r="D1734" s="22" t="s">
        <v>7710</v>
      </c>
      <c r="E1734" s="22" t="s">
        <v>6941</v>
      </c>
      <c r="F1734" s="24" t="s">
        <v>6942</v>
      </c>
      <c r="G1734" s="26" t="s">
        <v>8533</v>
      </c>
      <c r="H1734" s="24" t="s">
        <v>6945</v>
      </c>
      <c r="I1734" s="22" t="s">
        <v>172</v>
      </c>
      <c r="J1734" s="22"/>
      <c r="K1734" s="24" t="s">
        <v>8327</v>
      </c>
      <c r="L1734" s="24"/>
      <c r="M1734" s="25" t="s">
        <v>6943</v>
      </c>
      <c r="N1734" s="22"/>
      <c r="O1734" s="22" t="s">
        <v>6944</v>
      </c>
      <c r="P1734" s="22" t="str">
        <f>HYPERLINK("https://ceds.ed.gov/cedselementdetails.aspx?termid=21267")</f>
        <v>https://ceds.ed.gov/cedselementdetails.aspx?termid=21267</v>
      </c>
      <c r="Q1734" s="22">
        <v>60004</v>
      </c>
    </row>
    <row r="1735" spans="1:17" ht="187.2" x14ac:dyDescent="0.3">
      <c r="A1735" s="22" t="s">
        <v>7779</v>
      </c>
      <c r="B1735" s="22" t="s">
        <v>7768</v>
      </c>
      <c r="C1735" s="22" t="s">
        <v>7716</v>
      </c>
      <c r="D1735" s="22" t="s">
        <v>7710</v>
      </c>
      <c r="E1735" s="22" t="s">
        <v>184</v>
      </c>
      <c r="F1735" s="24" t="s">
        <v>185</v>
      </c>
      <c r="G1735" s="23" t="s">
        <v>32</v>
      </c>
      <c r="H1735" s="24" t="s">
        <v>175</v>
      </c>
      <c r="I1735" s="22" t="s">
        <v>172</v>
      </c>
      <c r="J1735" s="22" t="s">
        <v>186</v>
      </c>
      <c r="K1735" s="24" t="s">
        <v>7946</v>
      </c>
      <c r="L1735" s="24"/>
      <c r="M1735" s="25" t="s">
        <v>187</v>
      </c>
      <c r="N1735" s="22"/>
      <c r="O1735" s="22" t="s">
        <v>188</v>
      </c>
      <c r="P1735" s="22" t="str">
        <f>HYPERLINK("https://ceds.ed.gov/cedselementdetails.aspx?termid=21214")</f>
        <v>https://ceds.ed.gov/cedselementdetails.aspx?termid=21214</v>
      </c>
      <c r="Q1735" s="22">
        <v>60005</v>
      </c>
    </row>
    <row r="1736" spans="1:17" ht="187.2" x14ac:dyDescent="0.3">
      <c r="A1736" s="22" t="s">
        <v>7779</v>
      </c>
      <c r="B1736" s="22" t="s">
        <v>7768</v>
      </c>
      <c r="C1736" s="22" t="s">
        <v>7716</v>
      </c>
      <c r="D1736" s="22" t="s">
        <v>7710</v>
      </c>
      <c r="E1736" s="22" t="s">
        <v>180</v>
      </c>
      <c r="F1736" s="24" t="s">
        <v>181</v>
      </c>
      <c r="G1736" s="23" t="s">
        <v>32</v>
      </c>
      <c r="H1736" s="24" t="s">
        <v>175</v>
      </c>
      <c r="I1736" s="22" t="s">
        <v>172</v>
      </c>
      <c r="J1736" s="22" t="s">
        <v>85</v>
      </c>
      <c r="K1736" s="24" t="s">
        <v>7946</v>
      </c>
      <c r="L1736" s="24"/>
      <c r="M1736" s="25" t="s">
        <v>182</v>
      </c>
      <c r="N1736" s="22"/>
      <c r="O1736" s="22" t="s">
        <v>183</v>
      </c>
      <c r="P1736" s="22" t="str">
        <f>HYPERLINK("https://ceds.ed.gov/cedselementdetails.aspx?termid=21190")</f>
        <v>https://ceds.ed.gov/cedselementdetails.aspx?termid=21190</v>
      </c>
      <c r="Q1736" s="22">
        <v>60006</v>
      </c>
    </row>
    <row r="1737" spans="1:17" ht="409.6" x14ac:dyDescent="0.3">
      <c r="A1737" s="22" t="s">
        <v>7779</v>
      </c>
      <c r="B1737" s="22" t="s">
        <v>7768</v>
      </c>
      <c r="C1737" s="22" t="s">
        <v>7716</v>
      </c>
      <c r="D1737" s="22" t="s">
        <v>7710</v>
      </c>
      <c r="E1737" s="22" t="s">
        <v>2526</v>
      </c>
      <c r="F1737" s="24" t="s">
        <v>2527</v>
      </c>
      <c r="G1737" s="26" t="s">
        <v>8743</v>
      </c>
      <c r="H1737" s="24" t="s">
        <v>2530</v>
      </c>
      <c r="I1737" s="22"/>
      <c r="J1737" s="22"/>
      <c r="K1737" s="24"/>
      <c r="L1737" s="24" t="s">
        <v>8055</v>
      </c>
      <c r="M1737" s="25" t="s">
        <v>2528</v>
      </c>
      <c r="N1737" s="22"/>
      <c r="O1737" s="22" t="s">
        <v>2529</v>
      </c>
      <c r="P1737" s="22" t="str">
        <f>HYPERLINK("https://ceds.ed.gov/cedselementdetails.aspx?termid=21050")</f>
        <v>https://ceds.ed.gov/cedselementdetails.aspx?termid=21050</v>
      </c>
      <c r="Q1737" s="22">
        <v>60131</v>
      </c>
    </row>
    <row r="1738" spans="1:17" ht="57.6" x14ac:dyDescent="0.3">
      <c r="A1738" s="22" t="s">
        <v>7779</v>
      </c>
      <c r="B1738" s="22" t="s">
        <v>7768</v>
      </c>
      <c r="C1738" s="22" t="s">
        <v>7716</v>
      </c>
      <c r="D1738" s="22" t="s">
        <v>7710</v>
      </c>
      <c r="E1738" s="22" t="s">
        <v>4982</v>
      </c>
      <c r="F1738" s="24" t="s">
        <v>4983</v>
      </c>
      <c r="G1738" s="23" t="s">
        <v>32</v>
      </c>
      <c r="H1738" s="22"/>
      <c r="I1738" s="22"/>
      <c r="J1738" s="22" t="s">
        <v>1165</v>
      </c>
      <c r="K1738" s="24"/>
      <c r="L1738" s="24"/>
      <c r="M1738" s="25" t="s">
        <v>4984</v>
      </c>
      <c r="N1738" s="22"/>
      <c r="O1738" s="22" t="s">
        <v>4982</v>
      </c>
      <c r="P1738" s="22" t="str">
        <f>HYPERLINK("https://ceds.ed.gov/cedselementdetails.aspx?termid=21599")</f>
        <v>https://ceds.ed.gov/cedselementdetails.aspx?termid=21599</v>
      </c>
      <c r="Q1738" s="22">
        <v>62261</v>
      </c>
    </row>
    <row r="1739" spans="1:17" ht="57.6" x14ac:dyDescent="0.3">
      <c r="A1739" s="22" t="s">
        <v>7779</v>
      </c>
      <c r="B1739" s="22" t="s">
        <v>7768</v>
      </c>
      <c r="C1739" s="22" t="s">
        <v>7716</v>
      </c>
      <c r="D1739" s="22" t="s">
        <v>7710</v>
      </c>
      <c r="E1739" s="22" t="s">
        <v>5372</v>
      </c>
      <c r="F1739" s="24" t="s">
        <v>5373</v>
      </c>
      <c r="G1739" s="23" t="s">
        <v>32</v>
      </c>
      <c r="H1739" s="22"/>
      <c r="I1739" s="22"/>
      <c r="J1739" s="22" t="s">
        <v>1165</v>
      </c>
      <c r="K1739" s="24"/>
      <c r="L1739" s="24"/>
      <c r="M1739" s="25" t="s">
        <v>5374</v>
      </c>
      <c r="N1739" s="22"/>
      <c r="O1739" s="22" t="s">
        <v>5372</v>
      </c>
      <c r="P1739" s="22" t="str">
        <f>HYPERLINK("https://ceds.ed.gov/cedselementdetails.aspx?termid=21600")</f>
        <v>https://ceds.ed.gov/cedselementdetails.aspx?termid=21600</v>
      </c>
      <c r="Q1739" s="22">
        <v>62284</v>
      </c>
    </row>
    <row r="1740" spans="1:17" ht="158.4" x14ac:dyDescent="0.3">
      <c r="A1740" s="22" t="s">
        <v>7779</v>
      </c>
      <c r="B1740" s="22" t="s">
        <v>7768</v>
      </c>
      <c r="C1740" s="22" t="s">
        <v>7716</v>
      </c>
      <c r="D1740" s="22" t="s">
        <v>7710</v>
      </c>
      <c r="E1740" s="22" t="s">
        <v>2536</v>
      </c>
      <c r="F1740" s="24" t="s">
        <v>2537</v>
      </c>
      <c r="G1740" s="23" t="s">
        <v>32</v>
      </c>
      <c r="H1740" s="22"/>
      <c r="I1740" s="22"/>
      <c r="J1740" s="22" t="s">
        <v>2538</v>
      </c>
      <c r="K1740" s="24"/>
      <c r="L1740" s="24"/>
      <c r="M1740" s="25" t="s">
        <v>2539</v>
      </c>
      <c r="N1740" s="22"/>
      <c r="O1740" s="22" t="s">
        <v>2540</v>
      </c>
      <c r="P1740" s="22" t="str">
        <f>HYPERLINK("https://ceds.ed.gov/cedselementdetails.aspx?termid=22176")</f>
        <v>https://ceds.ed.gov/cedselementdetails.aspx?termid=22176</v>
      </c>
      <c r="Q1740" s="22">
        <v>63365</v>
      </c>
    </row>
    <row r="1741" spans="1:17" ht="57.6" x14ac:dyDescent="0.3">
      <c r="A1741" s="22" t="s">
        <v>7779</v>
      </c>
      <c r="B1741" s="22" t="s">
        <v>7768</v>
      </c>
      <c r="C1741" s="22" t="s">
        <v>7716</v>
      </c>
      <c r="D1741" s="22" t="s">
        <v>7710</v>
      </c>
      <c r="E1741" s="22" t="s">
        <v>3228</v>
      </c>
      <c r="F1741" s="24" t="s">
        <v>3229</v>
      </c>
      <c r="G1741" s="26" t="s">
        <v>3039</v>
      </c>
      <c r="H1741" s="22"/>
      <c r="I1741" s="22" t="s">
        <v>172</v>
      </c>
      <c r="J1741" s="22"/>
      <c r="K1741" s="24" t="s">
        <v>7946</v>
      </c>
      <c r="L1741" s="24"/>
      <c r="M1741" s="25" t="s">
        <v>3230</v>
      </c>
      <c r="N1741" s="22"/>
      <c r="O1741" s="22" t="s">
        <v>3231</v>
      </c>
      <c r="P1741" s="22" t="str">
        <f>HYPERLINK("https://ceds.ed.gov/cedselementdetails.aspx?termid=22905")</f>
        <v>https://ceds.ed.gov/cedselementdetails.aspx?termid=22905</v>
      </c>
      <c r="Q1741" s="22">
        <v>63366</v>
      </c>
    </row>
    <row r="1742" spans="1:17" ht="72" x14ac:dyDescent="0.3">
      <c r="A1742" s="22" t="s">
        <v>7779</v>
      </c>
      <c r="B1742" s="22" t="s">
        <v>7768</v>
      </c>
      <c r="C1742" s="22" t="s">
        <v>7717</v>
      </c>
      <c r="D1742" s="22" t="s">
        <v>7710</v>
      </c>
      <c r="E1742" s="22" t="s">
        <v>7159</v>
      </c>
      <c r="F1742" s="24" t="s">
        <v>7160</v>
      </c>
      <c r="G1742" s="23" t="s">
        <v>32</v>
      </c>
      <c r="H1742" s="24" t="s">
        <v>64</v>
      </c>
      <c r="I1742" s="22"/>
      <c r="J1742" s="22" t="s">
        <v>7161</v>
      </c>
      <c r="K1742" s="24"/>
      <c r="L1742" s="24"/>
      <c r="M1742" s="25" t="s">
        <v>7162</v>
      </c>
      <c r="N1742" s="22"/>
      <c r="O1742" s="22" t="s">
        <v>7163</v>
      </c>
      <c r="P1742" s="22" t="str">
        <f>HYPERLINK("https://ceds.ed.gov/cedselementdetails.aspx?termid=21279")</f>
        <v>https://ceds.ed.gov/cedselementdetails.aspx?termid=21279</v>
      </c>
      <c r="Q1742" s="22">
        <v>60009</v>
      </c>
    </row>
    <row r="1743" spans="1:17" ht="86.4" x14ac:dyDescent="0.3">
      <c r="A1743" s="22" t="s">
        <v>7779</v>
      </c>
      <c r="B1743" s="22" t="s">
        <v>7768</v>
      </c>
      <c r="C1743" s="22" t="s">
        <v>7717</v>
      </c>
      <c r="D1743" s="22" t="s">
        <v>7710</v>
      </c>
      <c r="E1743" s="22" t="s">
        <v>7168</v>
      </c>
      <c r="F1743" s="24" t="s">
        <v>7169</v>
      </c>
      <c r="G1743" s="26" t="s">
        <v>9168</v>
      </c>
      <c r="H1743" s="24" t="s">
        <v>64</v>
      </c>
      <c r="I1743" s="22"/>
      <c r="J1743" s="22" t="s">
        <v>2543</v>
      </c>
      <c r="K1743" s="24"/>
      <c r="L1743" s="24"/>
      <c r="M1743" s="25" t="s">
        <v>7170</v>
      </c>
      <c r="N1743" s="22"/>
      <c r="O1743" s="22" t="s">
        <v>7171</v>
      </c>
      <c r="P1743" s="22" t="str">
        <f>HYPERLINK("https://ceds.ed.gov/cedselementdetails.aspx?termid=21280")</f>
        <v>https://ceds.ed.gov/cedselementdetails.aspx?termid=21280</v>
      </c>
      <c r="Q1743" s="22">
        <v>60007</v>
      </c>
    </row>
    <row r="1744" spans="1:17" ht="72" x14ac:dyDescent="0.3">
      <c r="A1744" s="22" t="s">
        <v>7779</v>
      </c>
      <c r="B1744" s="22" t="s">
        <v>7768</v>
      </c>
      <c r="C1744" s="22" t="s">
        <v>7717</v>
      </c>
      <c r="D1744" s="22" t="s">
        <v>7710</v>
      </c>
      <c r="E1744" s="22" t="s">
        <v>5965</v>
      </c>
      <c r="F1744" s="24" t="s">
        <v>5966</v>
      </c>
      <c r="G1744" s="26" t="s">
        <v>22</v>
      </c>
      <c r="H1744" s="24" t="s">
        <v>64</v>
      </c>
      <c r="I1744" s="22"/>
      <c r="J1744" s="22"/>
      <c r="K1744" s="24"/>
      <c r="L1744" s="24"/>
      <c r="M1744" s="25" t="s">
        <v>5967</v>
      </c>
      <c r="N1744" s="22"/>
      <c r="O1744" s="22" t="s">
        <v>5968</v>
      </c>
      <c r="P1744" s="22" t="str">
        <f>HYPERLINK("https://ceds.ed.gov/cedselementdetails.aspx?termid=21219")</f>
        <v>https://ceds.ed.gov/cedselementdetails.aspx?termid=21219</v>
      </c>
      <c r="Q1744" s="22">
        <v>60008</v>
      </c>
    </row>
    <row r="1745" spans="1:17" ht="57.6" x14ac:dyDescent="0.3">
      <c r="A1745" s="22" t="s">
        <v>7779</v>
      </c>
      <c r="B1745" s="22" t="s">
        <v>7768</v>
      </c>
      <c r="C1745" s="22" t="s">
        <v>7717</v>
      </c>
      <c r="D1745" s="22" t="s">
        <v>7710</v>
      </c>
      <c r="E1745" s="22" t="s">
        <v>3228</v>
      </c>
      <c r="F1745" s="24" t="s">
        <v>3229</v>
      </c>
      <c r="G1745" s="26" t="s">
        <v>3039</v>
      </c>
      <c r="H1745" s="22"/>
      <c r="I1745" s="22" t="s">
        <v>172</v>
      </c>
      <c r="J1745" s="22"/>
      <c r="K1745" s="24" t="s">
        <v>7946</v>
      </c>
      <c r="L1745" s="24"/>
      <c r="M1745" s="25" t="s">
        <v>3230</v>
      </c>
      <c r="N1745" s="22"/>
      <c r="O1745" s="22" t="s">
        <v>3231</v>
      </c>
      <c r="P1745" s="22" t="str">
        <f>HYPERLINK("https://ceds.ed.gov/cedselementdetails.aspx?termid=22905")</f>
        <v>https://ceds.ed.gov/cedselementdetails.aspx?termid=22905</v>
      </c>
      <c r="Q1745" s="22">
        <v>63368</v>
      </c>
    </row>
    <row r="1746" spans="1:17" ht="57.6" x14ac:dyDescent="0.3">
      <c r="A1746" s="22" t="s">
        <v>7779</v>
      </c>
      <c r="B1746" s="22" t="s">
        <v>7768</v>
      </c>
      <c r="C1746" s="22" t="s">
        <v>7717</v>
      </c>
      <c r="D1746" s="22" t="s">
        <v>7710</v>
      </c>
      <c r="E1746" s="22" t="s">
        <v>7164</v>
      </c>
      <c r="F1746" s="24" t="s">
        <v>7165</v>
      </c>
      <c r="G1746" s="26" t="s">
        <v>9167</v>
      </c>
      <c r="H1746" s="22"/>
      <c r="I1746" s="22"/>
      <c r="J1746" s="22"/>
      <c r="K1746" s="24"/>
      <c r="L1746" s="24"/>
      <c r="M1746" s="25" t="s">
        <v>7166</v>
      </c>
      <c r="N1746" s="22"/>
      <c r="O1746" s="22" t="s">
        <v>7167</v>
      </c>
      <c r="P1746" s="22" t="str">
        <f>HYPERLINK("https://ceds.ed.gov/cedselementdetails.aspx?termid=22911")</f>
        <v>https://ceds.ed.gov/cedselementdetails.aspx?termid=22911</v>
      </c>
      <c r="Q1746" s="22">
        <v>63369</v>
      </c>
    </row>
    <row r="1747" spans="1:17" ht="72" x14ac:dyDescent="0.3">
      <c r="A1747" s="22" t="s">
        <v>7779</v>
      </c>
      <c r="B1747" s="22" t="s">
        <v>7768</v>
      </c>
      <c r="C1747" s="22" t="s">
        <v>7718</v>
      </c>
      <c r="D1747" s="22" t="s">
        <v>7710</v>
      </c>
      <c r="E1747" s="22" t="s">
        <v>3461</v>
      </c>
      <c r="F1747" s="24" t="s">
        <v>3462</v>
      </c>
      <c r="G1747" s="23" t="s">
        <v>32</v>
      </c>
      <c r="H1747" s="24" t="s">
        <v>64</v>
      </c>
      <c r="I1747" s="22" t="s">
        <v>172</v>
      </c>
      <c r="J1747" s="22" t="s">
        <v>3463</v>
      </c>
      <c r="K1747" s="24" t="s">
        <v>7946</v>
      </c>
      <c r="L1747" s="24"/>
      <c r="M1747" s="25" t="s">
        <v>3464</v>
      </c>
      <c r="N1747" s="22" t="s">
        <v>3465</v>
      </c>
      <c r="O1747" s="22" t="s">
        <v>3466</v>
      </c>
      <c r="P1747" s="22" t="str">
        <f>HYPERLINK("https://ceds.ed.gov/cedselementdetails.aspx?termid=21088")</f>
        <v>https://ceds.ed.gov/cedselementdetails.aspx?termid=21088</v>
      </c>
      <c r="Q1747" s="22">
        <v>60011</v>
      </c>
    </row>
    <row r="1748" spans="1:17" ht="72" x14ac:dyDescent="0.3">
      <c r="A1748" s="22" t="s">
        <v>7779</v>
      </c>
      <c r="B1748" s="22" t="s">
        <v>7768</v>
      </c>
      <c r="C1748" s="22" t="s">
        <v>7718</v>
      </c>
      <c r="D1748" s="22" t="s">
        <v>7710</v>
      </c>
      <c r="E1748" s="22" t="s">
        <v>3467</v>
      </c>
      <c r="F1748" s="24" t="s">
        <v>3468</v>
      </c>
      <c r="G1748" s="26" t="s">
        <v>8430</v>
      </c>
      <c r="H1748" s="24" t="s">
        <v>64</v>
      </c>
      <c r="I1748" s="22" t="s">
        <v>172</v>
      </c>
      <c r="J1748" s="22"/>
      <c r="K1748" s="24" t="s">
        <v>7946</v>
      </c>
      <c r="L1748" s="24"/>
      <c r="M1748" s="25" t="s">
        <v>3469</v>
      </c>
      <c r="N1748" s="22" t="s">
        <v>3470</v>
      </c>
      <c r="O1748" s="22" t="s">
        <v>3471</v>
      </c>
      <c r="P1748" s="22" t="str">
        <f>HYPERLINK("https://ceds.ed.gov/cedselementdetails.aspx?termid=21089")</f>
        <v>https://ceds.ed.gov/cedselementdetails.aspx?termid=21089</v>
      </c>
      <c r="Q1748" s="22">
        <v>60010</v>
      </c>
    </row>
    <row r="1749" spans="1:17" ht="57.6" x14ac:dyDescent="0.3">
      <c r="A1749" s="22" t="s">
        <v>7779</v>
      </c>
      <c r="B1749" s="22" t="s">
        <v>7768</v>
      </c>
      <c r="C1749" s="22" t="s">
        <v>7718</v>
      </c>
      <c r="D1749" s="22" t="s">
        <v>7710</v>
      </c>
      <c r="E1749" s="22" t="s">
        <v>3228</v>
      </c>
      <c r="F1749" s="24" t="s">
        <v>3229</v>
      </c>
      <c r="G1749" s="26" t="s">
        <v>3039</v>
      </c>
      <c r="H1749" s="22"/>
      <c r="I1749" s="22" t="s">
        <v>172</v>
      </c>
      <c r="J1749" s="22"/>
      <c r="K1749" s="24" t="s">
        <v>7946</v>
      </c>
      <c r="L1749" s="24"/>
      <c r="M1749" s="25" t="s">
        <v>3230</v>
      </c>
      <c r="N1749" s="22"/>
      <c r="O1749" s="22" t="s">
        <v>3231</v>
      </c>
      <c r="P1749" s="22" t="str">
        <f>HYPERLINK("https://ceds.ed.gov/cedselementdetails.aspx?termid=22905")</f>
        <v>https://ceds.ed.gov/cedselementdetails.aspx?termid=22905</v>
      </c>
      <c r="Q1749" s="22">
        <v>63367</v>
      </c>
    </row>
    <row r="1750" spans="1:17" ht="201.6" x14ac:dyDescent="0.3">
      <c r="A1750" s="22" t="s">
        <v>7779</v>
      </c>
      <c r="B1750" s="22" t="s">
        <v>7768</v>
      </c>
      <c r="C1750" s="22" t="s">
        <v>7742</v>
      </c>
      <c r="D1750" s="22" t="s">
        <v>7710</v>
      </c>
      <c r="E1750" s="22" t="s">
        <v>1544</v>
      </c>
      <c r="F1750" s="24" t="s">
        <v>1545</v>
      </c>
      <c r="G1750" s="23" t="s">
        <v>32</v>
      </c>
      <c r="H1750" s="24" t="s">
        <v>1547</v>
      </c>
      <c r="I1750" s="22"/>
      <c r="J1750" s="22" t="s">
        <v>118</v>
      </c>
      <c r="K1750" s="24"/>
      <c r="L1750" s="24"/>
      <c r="M1750" s="25" t="s">
        <v>1546</v>
      </c>
      <c r="N1750" s="22"/>
      <c r="O1750" s="22" t="s">
        <v>1544</v>
      </c>
      <c r="P1750" s="22" t="str">
        <f>HYPERLINK("https://ceds.ed.gov/cedselementdetails.aspx?termid=21033")</f>
        <v>https://ceds.ed.gov/cedselementdetails.aspx?termid=21033</v>
      </c>
      <c r="Q1750" s="22">
        <v>62469</v>
      </c>
    </row>
    <row r="1751" spans="1:17" ht="216" x14ac:dyDescent="0.3">
      <c r="A1751" s="22" t="s">
        <v>7779</v>
      </c>
      <c r="B1751" s="22" t="s">
        <v>7768</v>
      </c>
      <c r="C1751" s="22" t="s">
        <v>7742</v>
      </c>
      <c r="D1751" s="22" t="s">
        <v>7710</v>
      </c>
      <c r="E1751" s="22" t="s">
        <v>6763</v>
      </c>
      <c r="F1751" s="24" t="s">
        <v>6764</v>
      </c>
      <c r="G1751" s="26" t="s">
        <v>9142</v>
      </c>
      <c r="H1751" s="24" t="s">
        <v>6767</v>
      </c>
      <c r="I1751" s="22"/>
      <c r="J1751" s="22"/>
      <c r="K1751" s="24"/>
      <c r="L1751" s="24" t="s">
        <v>6765</v>
      </c>
      <c r="M1751" s="25" t="s">
        <v>6766</v>
      </c>
      <c r="N1751" s="22"/>
      <c r="O1751" s="22" t="s">
        <v>6763</v>
      </c>
      <c r="P1751" s="22" t="str">
        <f>HYPERLINK("https://ceds.ed.gov/cedselementdetails.aspx?termid=21255")</f>
        <v>https://ceds.ed.gov/cedselementdetails.aspx?termid=21255</v>
      </c>
      <c r="Q1751" s="22">
        <v>61419</v>
      </c>
    </row>
    <row r="1752" spans="1:17" ht="115.2" x14ac:dyDescent="0.3">
      <c r="A1752" s="22" t="s">
        <v>7779</v>
      </c>
      <c r="B1752" s="22" t="s">
        <v>7768</v>
      </c>
      <c r="C1752" s="22" t="s">
        <v>7742</v>
      </c>
      <c r="D1752" s="22" t="s">
        <v>7710</v>
      </c>
      <c r="E1752" s="22" t="s">
        <v>6924</v>
      </c>
      <c r="F1752" s="24" t="s">
        <v>8326</v>
      </c>
      <c r="G1752" s="23" t="s">
        <v>32</v>
      </c>
      <c r="H1752" s="22" t="s">
        <v>69</v>
      </c>
      <c r="I1752" s="22"/>
      <c r="J1752" s="22" t="s">
        <v>6925</v>
      </c>
      <c r="K1752" s="24"/>
      <c r="L1752" s="24"/>
      <c r="M1752" s="25" t="s">
        <v>6926</v>
      </c>
      <c r="N1752" s="22"/>
      <c r="O1752" s="22" t="s">
        <v>6927</v>
      </c>
      <c r="P1752" s="22" t="str">
        <f>HYPERLINK("https://ceds.ed.gov/cedselementdetails.aspx?termid=21707")</f>
        <v>https://ceds.ed.gov/cedselementdetails.aspx?termid=21707</v>
      </c>
      <c r="Q1752" s="22">
        <v>62126</v>
      </c>
    </row>
    <row r="1753" spans="1:17" ht="409.6" x14ac:dyDescent="0.3">
      <c r="A1753" s="22" t="s">
        <v>7779</v>
      </c>
      <c r="B1753" s="22" t="s">
        <v>7768</v>
      </c>
      <c r="C1753" s="22" t="s">
        <v>7742</v>
      </c>
      <c r="D1753" s="22" t="s">
        <v>7710</v>
      </c>
      <c r="E1753" s="22" t="s">
        <v>2531</v>
      </c>
      <c r="F1753" s="24" t="s">
        <v>2532</v>
      </c>
      <c r="G1753" s="26" t="s">
        <v>8743</v>
      </c>
      <c r="H1753" s="24" t="s">
        <v>2535</v>
      </c>
      <c r="I1753" s="22"/>
      <c r="J1753" s="22"/>
      <c r="K1753" s="24"/>
      <c r="L1753" s="24" t="s">
        <v>8055</v>
      </c>
      <c r="M1753" s="25" t="s">
        <v>2533</v>
      </c>
      <c r="N1753" s="22"/>
      <c r="O1753" s="22" t="s">
        <v>2534</v>
      </c>
      <c r="P1753" s="22" t="str">
        <f>HYPERLINK("https://ceds.ed.gov/cedselementdetails.aspx?termid=21051")</f>
        <v>https://ceds.ed.gov/cedselementdetails.aspx?termid=21051</v>
      </c>
      <c r="Q1753" s="22">
        <v>63370</v>
      </c>
    </row>
    <row r="1754" spans="1:17" ht="100.8" x14ac:dyDescent="0.3">
      <c r="A1754" s="22" t="s">
        <v>7779</v>
      </c>
      <c r="B1754" s="22" t="s">
        <v>7768</v>
      </c>
      <c r="C1754" s="22" t="s">
        <v>7742</v>
      </c>
      <c r="D1754" s="22" t="s">
        <v>7710</v>
      </c>
      <c r="E1754" s="22" t="s">
        <v>5486</v>
      </c>
      <c r="F1754" s="24" t="s">
        <v>8254</v>
      </c>
      <c r="G1754" s="26" t="s">
        <v>9036</v>
      </c>
      <c r="H1754" s="22"/>
      <c r="I1754" s="22"/>
      <c r="J1754" s="22"/>
      <c r="K1754" s="24"/>
      <c r="L1754" s="24"/>
      <c r="M1754" s="25" t="s">
        <v>5487</v>
      </c>
      <c r="N1754" s="22"/>
      <c r="O1754" s="22" t="s">
        <v>5488</v>
      </c>
      <c r="P1754" s="22" t="str">
        <f>HYPERLINK("https://ceds.ed.gov/cedselementdetails.aspx?termid=22621")</f>
        <v>https://ceds.ed.gov/cedselementdetails.aspx?termid=22621</v>
      </c>
      <c r="Q1754" s="22">
        <v>63371</v>
      </c>
    </row>
    <row r="1755" spans="1:17" ht="57.6" x14ac:dyDescent="0.3">
      <c r="A1755" s="22" t="s">
        <v>7779</v>
      </c>
      <c r="B1755" s="22" t="s">
        <v>7768</v>
      </c>
      <c r="C1755" s="22" t="s">
        <v>7742</v>
      </c>
      <c r="D1755" s="22" t="s">
        <v>7710</v>
      </c>
      <c r="E1755" s="22" t="s">
        <v>7288</v>
      </c>
      <c r="F1755" s="24" t="s">
        <v>7289</v>
      </c>
      <c r="G1755" s="23" t="s">
        <v>7423</v>
      </c>
      <c r="H1755" s="22"/>
      <c r="I1755" s="22"/>
      <c r="J1755" s="22"/>
      <c r="K1755" s="24"/>
      <c r="L1755" s="24"/>
      <c r="M1755" s="25" t="s">
        <v>7290</v>
      </c>
      <c r="N1755" s="22"/>
      <c r="O1755" s="22" t="s">
        <v>7291</v>
      </c>
      <c r="P1755" s="22" t="str">
        <f>HYPERLINK("https://ceds.ed.gov/cedselementdetails.aspx?termid=22638")</f>
        <v>https://ceds.ed.gov/cedselementdetails.aspx?termid=22638</v>
      </c>
      <c r="Q1755" s="22">
        <v>63372</v>
      </c>
    </row>
    <row r="1756" spans="1:17" ht="144" x14ac:dyDescent="0.3">
      <c r="A1756" s="22" t="s">
        <v>7779</v>
      </c>
      <c r="B1756" s="22" t="s">
        <v>7768</v>
      </c>
      <c r="C1756" s="22" t="s">
        <v>7742</v>
      </c>
      <c r="D1756" s="22" t="s">
        <v>7710</v>
      </c>
      <c r="E1756" s="22" t="s">
        <v>7640</v>
      </c>
      <c r="F1756" s="24" t="s">
        <v>7641</v>
      </c>
      <c r="G1756" s="26" t="s">
        <v>9121</v>
      </c>
      <c r="H1756" s="22"/>
      <c r="I1756" s="22"/>
      <c r="J1756" s="22"/>
      <c r="K1756" s="24"/>
      <c r="L1756" s="24" t="s">
        <v>7642</v>
      </c>
      <c r="M1756" s="25" t="s">
        <v>7643</v>
      </c>
      <c r="N1756" s="22"/>
      <c r="O1756" s="22" t="s">
        <v>7640</v>
      </c>
      <c r="P1756" s="22" t="str">
        <f>HYPERLINK("https://ceds.ed.gov/cedselementdetails.aspx?termid=22955")</f>
        <v>https://ceds.ed.gov/cedselementdetails.aspx?termid=22955</v>
      </c>
      <c r="Q1756" s="22">
        <v>63576</v>
      </c>
    </row>
    <row r="1757" spans="1:17" ht="172.8" x14ac:dyDescent="0.3">
      <c r="A1757" s="22" t="s">
        <v>7779</v>
      </c>
      <c r="B1757" s="22" t="s">
        <v>7768</v>
      </c>
      <c r="C1757" s="22" t="s">
        <v>7766</v>
      </c>
      <c r="D1757" s="22" t="s">
        <v>7710</v>
      </c>
      <c r="E1757" s="22" t="s">
        <v>7040</v>
      </c>
      <c r="F1757" s="24" t="s">
        <v>7041</v>
      </c>
      <c r="G1757" s="23" t="s">
        <v>32</v>
      </c>
      <c r="H1757" s="24" t="s">
        <v>7039</v>
      </c>
      <c r="I1757" s="22" t="s">
        <v>172</v>
      </c>
      <c r="J1757" s="22" t="s">
        <v>132</v>
      </c>
      <c r="K1757" s="24" t="s">
        <v>7946</v>
      </c>
      <c r="L1757" s="24" t="s">
        <v>7945</v>
      </c>
      <c r="M1757" s="25" t="s">
        <v>7042</v>
      </c>
      <c r="N1757" s="22"/>
      <c r="O1757" s="22" t="s">
        <v>7043</v>
      </c>
      <c r="P1757" s="22" t="str">
        <f>HYPERLINK("https://ceds.ed.gov/cedselementdetails.aspx?termid=21157")</f>
        <v>https://ceds.ed.gov/cedselementdetails.aspx?termid=21157</v>
      </c>
      <c r="Q1757" s="22">
        <v>62024</v>
      </c>
    </row>
    <row r="1758" spans="1:17" ht="144" x14ac:dyDescent="0.3">
      <c r="A1758" s="22" t="s">
        <v>7779</v>
      </c>
      <c r="B1758" s="22" t="s">
        <v>7768</v>
      </c>
      <c r="C1758" s="22" t="s">
        <v>7766</v>
      </c>
      <c r="D1758" s="22" t="s">
        <v>7710</v>
      </c>
      <c r="E1758" s="22" t="s">
        <v>7035</v>
      </c>
      <c r="F1758" s="24" t="s">
        <v>7036</v>
      </c>
      <c r="G1758" s="26" t="s">
        <v>8540</v>
      </c>
      <c r="H1758" s="24" t="s">
        <v>7039</v>
      </c>
      <c r="I1758" s="22" t="s">
        <v>172</v>
      </c>
      <c r="J1758" s="22"/>
      <c r="K1758" s="24" t="s">
        <v>7946</v>
      </c>
      <c r="L1758" s="24"/>
      <c r="M1758" s="25" t="s">
        <v>7037</v>
      </c>
      <c r="N1758" s="22"/>
      <c r="O1758" s="22" t="s">
        <v>7038</v>
      </c>
      <c r="P1758" s="22" t="str">
        <f>HYPERLINK("https://ceds.ed.gov/cedselementdetails.aspx?termid=21163")</f>
        <v>https://ceds.ed.gov/cedselementdetails.aspx?termid=21163</v>
      </c>
      <c r="Q1758" s="22">
        <v>62025</v>
      </c>
    </row>
    <row r="1759" spans="1:17" ht="172.8" x14ac:dyDescent="0.3">
      <c r="A1759" s="22" t="s">
        <v>7779</v>
      </c>
      <c r="B1759" s="22" t="s">
        <v>7768</v>
      </c>
      <c r="C1759" s="22" t="s">
        <v>7766</v>
      </c>
      <c r="D1759" s="22" t="s">
        <v>7710</v>
      </c>
      <c r="E1759" s="22" t="s">
        <v>2021</v>
      </c>
      <c r="F1759" s="24" t="s">
        <v>2022</v>
      </c>
      <c r="G1759" s="23" t="s">
        <v>32</v>
      </c>
      <c r="H1759" s="24" t="s">
        <v>2020</v>
      </c>
      <c r="I1759" s="22" t="s">
        <v>172</v>
      </c>
      <c r="J1759" s="22" t="s">
        <v>132</v>
      </c>
      <c r="K1759" s="24" t="s">
        <v>7946</v>
      </c>
      <c r="L1759" s="24" t="s">
        <v>7945</v>
      </c>
      <c r="M1759" s="25" t="s">
        <v>2023</v>
      </c>
      <c r="N1759" s="22"/>
      <c r="O1759" s="22" t="s">
        <v>2024</v>
      </c>
      <c r="P1759" s="22" t="str">
        <f>HYPERLINK("https://ceds.ed.gov/cedselementdetails.aspx?termid=21781")</f>
        <v>https://ceds.ed.gov/cedselementdetails.aspx?termid=21781</v>
      </c>
      <c r="Q1759" s="22">
        <v>62026</v>
      </c>
    </row>
    <row r="1760" spans="1:17" ht="172.8" x14ac:dyDescent="0.3">
      <c r="A1760" s="22" t="s">
        <v>7779</v>
      </c>
      <c r="B1760" s="22" t="s">
        <v>7768</v>
      </c>
      <c r="C1760" s="22" t="s">
        <v>7766</v>
      </c>
      <c r="D1760" s="22" t="s">
        <v>7710</v>
      </c>
      <c r="E1760" s="22" t="s">
        <v>5835</v>
      </c>
      <c r="F1760" s="24" t="s">
        <v>5836</v>
      </c>
      <c r="G1760" s="23" t="s">
        <v>32</v>
      </c>
      <c r="H1760" s="22"/>
      <c r="I1760" s="22" t="s">
        <v>172</v>
      </c>
      <c r="J1760" s="22" t="s">
        <v>132</v>
      </c>
      <c r="K1760" s="24" t="s">
        <v>7946</v>
      </c>
      <c r="L1760" s="24" t="s">
        <v>8043</v>
      </c>
      <c r="M1760" s="25" t="s">
        <v>5837</v>
      </c>
      <c r="N1760" s="22"/>
      <c r="O1760" s="22" t="s">
        <v>5838</v>
      </c>
      <c r="P1760" s="22" t="str">
        <f>HYPERLINK("https://ceds.ed.gov/cedselementdetails.aspx?termid=22551")</f>
        <v>https://ceds.ed.gov/cedselementdetails.aspx?termid=22551</v>
      </c>
      <c r="Q1760" s="22">
        <v>61909</v>
      </c>
    </row>
    <row r="1761" spans="1:17" ht="259.2" x14ac:dyDescent="0.3">
      <c r="A1761" s="22" t="s">
        <v>7779</v>
      </c>
      <c r="B1761" s="22" t="s">
        <v>7768</v>
      </c>
      <c r="C1761" s="22" t="s">
        <v>7766</v>
      </c>
      <c r="D1761" s="22" t="s">
        <v>7710</v>
      </c>
      <c r="E1761" s="22" t="s">
        <v>5831</v>
      </c>
      <c r="F1761" s="24" t="s">
        <v>5832</v>
      </c>
      <c r="G1761" s="26" t="s">
        <v>8494</v>
      </c>
      <c r="H1761" s="22"/>
      <c r="I1761" s="22" t="s">
        <v>172</v>
      </c>
      <c r="J1761" s="22"/>
      <c r="K1761" s="24" t="s">
        <v>7946</v>
      </c>
      <c r="L1761" s="24"/>
      <c r="M1761" s="25" t="s">
        <v>5833</v>
      </c>
      <c r="N1761" s="22"/>
      <c r="O1761" s="22" t="s">
        <v>5834</v>
      </c>
      <c r="P1761" s="22" t="str">
        <f>HYPERLINK("https://ceds.ed.gov/cedselementdetails.aspx?termid=22550")</f>
        <v>https://ceds.ed.gov/cedselementdetails.aspx?termid=22550</v>
      </c>
      <c r="Q1761" s="22">
        <v>61904</v>
      </c>
    </row>
    <row r="1762" spans="1:17" ht="409.6" x14ac:dyDescent="0.3">
      <c r="A1762" s="22" t="s">
        <v>7779</v>
      </c>
      <c r="B1762" s="22" t="s">
        <v>7768</v>
      </c>
      <c r="C1762" s="22" t="s">
        <v>7766</v>
      </c>
      <c r="D1762" s="22" t="s">
        <v>7710</v>
      </c>
      <c r="E1762" s="22" t="s">
        <v>5851</v>
      </c>
      <c r="F1762" s="24" t="s">
        <v>5852</v>
      </c>
      <c r="G1762" s="26" t="s">
        <v>9062</v>
      </c>
      <c r="H1762" s="22" t="s">
        <v>1553</v>
      </c>
      <c r="I1762" s="22"/>
      <c r="J1762" s="22"/>
      <c r="K1762" s="24"/>
      <c r="L1762" s="24" t="s">
        <v>5853</v>
      </c>
      <c r="M1762" s="25" t="s">
        <v>5854</v>
      </c>
      <c r="N1762" s="22"/>
      <c r="O1762" s="22" t="s">
        <v>5855</v>
      </c>
      <c r="P1762" s="22" t="str">
        <f>HYPERLINK("https://ceds.ed.gov/cedselementdetails.aspx?termid=21415")</f>
        <v>https://ceds.ed.gov/cedselementdetails.aspx?termid=21415</v>
      </c>
      <c r="Q1762" s="22">
        <v>59249</v>
      </c>
    </row>
    <row r="1763" spans="1:17" ht="86.4" x14ac:dyDescent="0.3">
      <c r="A1763" s="22" t="s">
        <v>7779</v>
      </c>
      <c r="B1763" s="22" t="s">
        <v>7768</v>
      </c>
      <c r="C1763" s="22" t="s">
        <v>7766</v>
      </c>
      <c r="D1763" s="22" t="s">
        <v>7710</v>
      </c>
      <c r="E1763" s="22" t="s">
        <v>5955</v>
      </c>
      <c r="F1763" s="24" t="s">
        <v>5956</v>
      </c>
      <c r="G1763" s="26" t="s">
        <v>22</v>
      </c>
      <c r="H1763" s="22"/>
      <c r="I1763" s="22"/>
      <c r="J1763" s="22"/>
      <c r="K1763" s="24"/>
      <c r="L1763" s="24"/>
      <c r="M1763" s="25" t="s">
        <v>5957</v>
      </c>
      <c r="N1763" s="22"/>
      <c r="O1763" s="22" t="s">
        <v>5958</v>
      </c>
      <c r="P1763" s="22" t="str">
        <f>HYPERLINK("https://ceds.ed.gov/cedselementdetails.aspx?termid=22397")</f>
        <v>https://ceds.ed.gov/cedselementdetails.aspx?termid=22397</v>
      </c>
      <c r="Q1763" s="22">
        <v>61323</v>
      </c>
    </row>
    <row r="1764" spans="1:17" ht="43.2" x14ac:dyDescent="0.3">
      <c r="A1764" s="22" t="s">
        <v>7779</v>
      </c>
      <c r="B1764" s="22" t="s">
        <v>7768</v>
      </c>
      <c r="C1764" s="22" t="s">
        <v>7766</v>
      </c>
      <c r="D1764" s="22" t="s">
        <v>7710</v>
      </c>
      <c r="E1764" s="22" t="s">
        <v>3496</v>
      </c>
      <c r="F1764" s="24" t="s">
        <v>3497</v>
      </c>
      <c r="G1764" s="26" t="s">
        <v>22</v>
      </c>
      <c r="H1764" s="22"/>
      <c r="I1764" s="22"/>
      <c r="J1764" s="22"/>
      <c r="K1764" s="24"/>
      <c r="L1764" s="24"/>
      <c r="M1764" s="25" t="s">
        <v>3499</v>
      </c>
      <c r="N1764" s="22"/>
      <c r="O1764" s="22" t="s">
        <v>3500</v>
      </c>
      <c r="P1764" s="22" t="str">
        <f>HYPERLINK("https://ceds.ed.gov/cedselementdetails.aspx?termid=22308")</f>
        <v>https://ceds.ed.gov/cedselementdetails.aspx?termid=22308</v>
      </c>
      <c r="Q1764" s="22">
        <v>61151</v>
      </c>
    </row>
    <row r="1765" spans="1:17" ht="43.2" x14ac:dyDescent="0.3">
      <c r="A1765" s="22" t="s">
        <v>7779</v>
      </c>
      <c r="B1765" s="22" t="s">
        <v>7768</v>
      </c>
      <c r="C1765" s="22" t="s">
        <v>7766</v>
      </c>
      <c r="D1765" s="22" t="s">
        <v>7710</v>
      </c>
      <c r="E1765" s="22" t="s">
        <v>5839</v>
      </c>
      <c r="F1765" s="24" t="s">
        <v>5840</v>
      </c>
      <c r="G1765" s="23" t="s">
        <v>32</v>
      </c>
      <c r="H1765" s="22"/>
      <c r="I1765" s="22"/>
      <c r="J1765" s="22" t="s">
        <v>317</v>
      </c>
      <c r="K1765" s="24"/>
      <c r="L1765" s="24"/>
      <c r="M1765" s="25" t="s">
        <v>5841</v>
      </c>
      <c r="N1765" s="22"/>
      <c r="O1765" s="22" t="s">
        <v>5842</v>
      </c>
      <c r="P1765" s="22" t="str">
        <f>HYPERLINK("https://ceds.ed.gov/cedselementdetails.aspx?termid=22392")</f>
        <v>https://ceds.ed.gov/cedselementdetails.aspx?termid=22392</v>
      </c>
      <c r="Q1765" s="22">
        <v>61308</v>
      </c>
    </row>
    <row r="1766" spans="1:17" ht="57.6" x14ac:dyDescent="0.3">
      <c r="A1766" s="22" t="s">
        <v>7779</v>
      </c>
      <c r="B1766" s="22" t="s">
        <v>7768</v>
      </c>
      <c r="C1766" s="22" t="s">
        <v>7766</v>
      </c>
      <c r="D1766" s="22" t="s">
        <v>7710</v>
      </c>
      <c r="E1766" s="22" t="s">
        <v>5843</v>
      </c>
      <c r="F1766" s="24" t="s">
        <v>5844</v>
      </c>
      <c r="G1766" s="23" t="s">
        <v>32</v>
      </c>
      <c r="H1766" s="22"/>
      <c r="I1766" s="22"/>
      <c r="J1766" s="22" t="s">
        <v>328</v>
      </c>
      <c r="K1766" s="24"/>
      <c r="L1766" s="24"/>
      <c r="M1766" s="25" t="s">
        <v>5845</v>
      </c>
      <c r="N1766" s="22"/>
      <c r="O1766" s="22" t="s">
        <v>5846</v>
      </c>
      <c r="P1766" s="22" t="str">
        <f>HYPERLINK("https://ceds.ed.gov/cedselementdetails.aspx?termid=22393")</f>
        <v>https://ceds.ed.gov/cedselementdetails.aspx?termid=22393</v>
      </c>
      <c r="Q1766" s="22">
        <v>61310</v>
      </c>
    </row>
    <row r="1767" spans="1:17" ht="43.2" x14ac:dyDescent="0.3">
      <c r="A1767" s="22" t="s">
        <v>7779</v>
      </c>
      <c r="B1767" s="22" t="s">
        <v>7768</v>
      </c>
      <c r="C1767" s="22" t="s">
        <v>7766</v>
      </c>
      <c r="D1767" s="22" t="s">
        <v>7710</v>
      </c>
      <c r="E1767" s="22" t="s">
        <v>5847</v>
      </c>
      <c r="F1767" s="24" t="s">
        <v>5848</v>
      </c>
      <c r="G1767" s="26" t="s">
        <v>22</v>
      </c>
      <c r="H1767" s="22"/>
      <c r="I1767" s="22"/>
      <c r="J1767" s="22"/>
      <c r="K1767" s="24"/>
      <c r="L1767" s="24"/>
      <c r="M1767" s="25" t="s">
        <v>5849</v>
      </c>
      <c r="N1767" s="22"/>
      <c r="O1767" s="22" t="s">
        <v>5850</v>
      </c>
      <c r="P1767" s="22" t="str">
        <f>HYPERLINK("https://ceds.ed.gov/cedselementdetails.aspx?termid=22394")</f>
        <v>https://ceds.ed.gov/cedselementdetails.aspx?termid=22394</v>
      </c>
      <c r="Q1767" s="22">
        <v>61312</v>
      </c>
    </row>
    <row r="1768" spans="1:17" ht="57.6" x14ac:dyDescent="0.3">
      <c r="A1768" s="22" t="s">
        <v>7779</v>
      </c>
      <c r="B1768" s="22" t="s">
        <v>7768</v>
      </c>
      <c r="C1768" s="22" t="s">
        <v>7766</v>
      </c>
      <c r="D1768" s="22" t="s">
        <v>7710</v>
      </c>
      <c r="E1768" s="22" t="s">
        <v>3037</v>
      </c>
      <c r="F1768" s="24" t="s">
        <v>3038</v>
      </c>
      <c r="G1768" s="26" t="s">
        <v>3039</v>
      </c>
      <c r="H1768" s="24" t="s">
        <v>399</v>
      </c>
      <c r="I1768" s="22"/>
      <c r="J1768" s="22"/>
      <c r="K1768" s="24"/>
      <c r="L1768" s="24"/>
      <c r="M1768" s="25" t="s">
        <v>3040</v>
      </c>
      <c r="N1768" s="22"/>
      <c r="O1768" s="22" t="s">
        <v>3041</v>
      </c>
      <c r="P1768" s="22" t="str">
        <f>HYPERLINK("https://ceds.ed.gov/cedselementdetails.aspx?termid=21328")</f>
        <v>https://ceds.ed.gov/cedselementdetails.aspx?termid=21328</v>
      </c>
      <c r="Q1768" s="22">
        <v>63377</v>
      </c>
    </row>
    <row r="1769" spans="1:17" ht="115.2" x14ac:dyDescent="0.3">
      <c r="A1769" s="22" t="s">
        <v>7779</v>
      </c>
      <c r="B1769" s="22" t="s">
        <v>7768</v>
      </c>
      <c r="C1769" s="22" t="s">
        <v>7754</v>
      </c>
      <c r="D1769" s="22" t="s">
        <v>7710</v>
      </c>
      <c r="E1769" s="22" t="s">
        <v>4923</v>
      </c>
      <c r="F1769" s="24" t="s">
        <v>4924</v>
      </c>
      <c r="G1769" s="23" t="s">
        <v>7423</v>
      </c>
      <c r="H1769" s="24" t="s">
        <v>4927</v>
      </c>
      <c r="I1769" s="22"/>
      <c r="J1769" s="22"/>
      <c r="K1769" s="24"/>
      <c r="L1769" s="24" t="s">
        <v>7994</v>
      </c>
      <c r="M1769" s="25" t="s">
        <v>4925</v>
      </c>
      <c r="N1769" s="22"/>
      <c r="O1769" s="22" t="s">
        <v>4926</v>
      </c>
      <c r="P1769" s="22" t="str">
        <f>HYPERLINK("https://ceds.ed.gov/cedselementdetails.aspx?termid=21317")</f>
        <v>https://ceds.ed.gov/cedselementdetails.aspx?termid=21317</v>
      </c>
      <c r="Q1769" s="22">
        <v>63373</v>
      </c>
    </row>
    <row r="1770" spans="1:17" ht="115.2" x14ac:dyDescent="0.3">
      <c r="A1770" s="22" t="s">
        <v>7779</v>
      </c>
      <c r="B1770" s="22" t="s">
        <v>7768</v>
      </c>
      <c r="C1770" s="22" t="s">
        <v>7754</v>
      </c>
      <c r="D1770" s="22" t="s">
        <v>7710</v>
      </c>
      <c r="E1770" s="22" t="s">
        <v>4928</v>
      </c>
      <c r="F1770" s="24" t="s">
        <v>4924</v>
      </c>
      <c r="G1770" s="23" t="s">
        <v>7423</v>
      </c>
      <c r="H1770" s="22"/>
      <c r="I1770" s="22" t="s">
        <v>172</v>
      </c>
      <c r="J1770" s="22"/>
      <c r="K1770" s="24" t="s">
        <v>8231</v>
      </c>
      <c r="L1770" s="24" t="s">
        <v>8232</v>
      </c>
      <c r="M1770" s="25" t="s">
        <v>4929</v>
      </c>
      <c r="N1770" s="22"/>
      <c r="O1770" s="22" t="s">
        <v>4930</v>
      </c>
      <c r="P1770" s="22" t="str">
        <f>HYPERLINK("https://ceds.ed.gov/cedselementdetails.aspx?termid=22618")</f>
        <v>https://ceds.ed.gov/cedselementdetails.aspx?termid=22618</v>
      </c>
      <c r="Q1770" s="22">
        <v>63374</v>
      </c>
    </row>
    <row r="1771" spans="1:17" ht="409.6" x14ac:dyDescent="0.3">
      <c r="A1771" s="22" t="s">
        <v>7779</v>
      </c>
      <c r="B1771" s="22" t="s">
        <v>7768</v>
      </c>
      <c r="C1771" s="22" t="s">
        <v>7754</v>
      </c>
      <c r="D1771" s="22" t="s">
        <v>7710</v>
      </c>
      <c r="E1771" s="22" t="s">
        <v>4931</v>
      </c>
      <c r="F1771" s="24" t="s">
        <v>4932</v>
      </c>
      <c r="G1771" s="26" t="s">
        <v>8988</v>
      </c>
      <c r="H1771" s="22"/>
      <c r="I1771" s="22"/>
      <c r="J1771" s="22"/>
      <c r="K1771" s="24"/>
      <c r="L1771" s="24" t="s">
        <v>8233</v>
      </c>
      <c r="M1771" s="25" t="s">
        <v>4933</v>
      </c>
      <c r="N1771" s="22"/>
      <c r="O1771" s="22" t="s">
        <v>4934</v>
      </c>
      <c r="P1771" s="22" t="str">
        <f>HYPERLINK("https://ceds.ed.gov/cedselementdetails.aspx?termid=22619")</f>
        <v>https://ceds.ed.gov/cedselementdetails.aspx?termid=22619</v>
      </c>
      <c r="Q1771" s="22">
        <v>63375</v>
      </c>
    </row>
    <row r="1772" spans="1:17" ht="129.6" x14ac:dyDescent="0.3">
      <c r="A1772" s="22" t="s">
        <v>7779</v>
      </c>
      <c r="B1772" s="22" t="s">
        <v>7768</v>
      </c>
      <c r="C1772" s="22" t="s">
        <v>7754</v>
      </c>
      <c r="D1772" s="22" t="s">
        <v>7710</v>
      </c>
      <c r="E1772" s="22" t="s">
        <v>4965</v>
      </c>
      <c r="F1772" s="24" t="s">
        <v>4966</v>
      </c>
      <c r="G1772" s="26" t="s">
        <v>8993</v>
      </c>
      <c r="H1772" s="24" t="s">
        <v>4927</v>
      </c>
      <c r="I1772" s="22"/>
      <c r="J1772" s="22"/>
      <c r="K1772" s="24"/>
      <c r="L1772" s="24"/>
      <c r="M1772" s="25" t="s">
        <v>4967</v>
      </c>
      <c r="N1772" s="22"/>
      <c r="O1772" s="22" t="s">
        <v>4968</v>
      </c>
      <c r="P1772" s="22" t="str">
        <f>HYPERLINK("https://ceds.ed.gov/cedselementdetails.aspx?termid=21316")</f>
        <v>https://ceds.ed.gov/cedselementdetails.aspx?termid=21316</v>
      </c>
      <c r="Q1772" s="22">
        <v>63376</v>
      </c>
    </row>
    <row r="1773" spans="1:17" ht="57.6" x14ac:dyDescent="0.3">
      <c r="A1773" s="22" t="s">
        <v>7779</v>
      </c>
      <c r="B1773" s="22" t="s">
        <v>7768</v>
      </c>
      <c r="C1773" s="22" t="s">
        <v>4</v>
      </c>
      <c r="D1773" s="22" t="s">
        <v>7710</v>
      </c>
      <c r="E1773" s="22" t="s">
        <v>6262</v>
      </c>
      <c r="F1773" s="24" t="s">
        <v>6263</v>
      </c>
      <c r="G1773" s="26" t="s">
        <v>22</v>
      </c>
      <c r="H1773" s="22"/>
      <c r="I1773" s="22"/>
      <c r="J1773" s="22"/>
      <c r="K1773" s="24"/>
      <c r="L1773" s="24"/>
      <c r="M1773" s="25" t="s">
        <v>6264</v>
      </c>
      <c r="N1773" s="22"/>
      <c r="O1773" s="22" t="s">
        <v>6265</v>
      </c>
      <c r="P1773" s="22" t="str">
        <f>HYPERLINK("https://ceds.ed.gov/cedselementdetails.aspx?termid=21760")</f>
        <v>https://ceds.ed.gov/cedselementdetails.aspx?termid=21760</v>
      </c>
      <c r="Q1773" s="22">
        <v>63378</v>
      </c>
    </row>
    <row r="1774" spans="1:17" ht="409.6" x14ac:dyDescent="0.3">
      <c r="A1774" s="22" t="s">
        <v>7779</v>
      </c>
      <c r="B1774" s="22" t="s">
        <v>7768</v>
      </c>
      <c r="C1774" s="22" t="s">
        <v>7769</v>
      </c>
      <c r="D1774" s="22" t="s">
        <v>7710</v>
      </c>
      <c r="E1774" s="22" t="s">
        <v>4332</v>
      </c>
      <c r="F1774" s="24" t="s">
        <v>4333</v>
      </c>
      <c r="G1774" s="26" t="s">
        <v>8734</v>
      </c>
      <c r="H1774" s="24" t="s">
        <v>4336</v>
      </c>
      <c r="I1774" s="22"/>
      <c r="J1774" s="22"/>
      <c r="K1774" s="24"/>
      <c r="L1774" s="24"/>
      <c r="M1774" s="25" t="s">
        <v>4334</v>
      </c>
      <c r="N1774" s="22"/>
      <c r="O1774" s="22" t="s">
        <v>4335</v>
      </c>
      <c r="P1774" s="22" t="str">
        <f>HYPERLINK("https://ceds.ed.gov/cedselementdetails.aspx?termid=21141")</f>
        <v>https://ceds.ed.gov/cedselementdetails.aspx?termid=21141</v>
      </c>
      <c r="Q1774" s="22">
        <v>63577</v>
      </c>
    </row>
    <row r="1775" spans="1:17" ht="158.4" x14ac:dyDescent="0.3">
      <c r="A1775" s="22" t="s">
        <v>7779</v>
      </c>
      <c r="B1775" s="22" t="s">
        <v>7827</v>
      </c>
      <c r="C1775" s="22" t="s">
        <v>7738</v>
      </c>
      <c r="D1775" s="22" t="s">
        <v>7710</v>
      </c>
      <c r="E1775" s="22" t="s">
        <v>4050</v>
      </c>
      <c r="F1775" s="24" t="s">
        <v>4051</v>
      </c>
      <c r="G1775" s="23" t="s">
        <v>32</v>
      </c>
      <c r="H1775" s="24" t="s">
        <v>4054</v>
      </c>
      <c r="I1775" s="22"/>
      <c r="J1775" s="22" t="s">
        <v>7536</v>
      </c>
      <c r="K1775" s="24"/>
      <c r="L1775" s="24" t="s">
        <v>8200</v>
      </c>
      <c r="M1775" s="25" t="s">
        <v>4052</v>
      </c>
      <c r="N1775" s="22"/>
      <c r="O1775" s="22" t="s">
        <v>4053</v>
      </c>
      <c r="P1775" s="22" t="str">
        <f>HYPERLINK("https://ceds.ed.gov/cedselementdetails.aspx?termid=21115")</f>
        <v>https://ceds.ed.gov/cedselementdetails.aspx?termid=21115</v>
      </c>
      <c r="Q1775" s="22">
        <v>59085</v>
      </c>
    </row>
    <row r="1776" spans="1:17" ht="158.4" x14ac:dyDescent="0.3">
      <c r="A1776" s="22" t="s">
        <v>7779</v>
      </c>
      <c r="B1776" s="22" t="s">
        <v>7827</v>
      </c>
      <c r="C1776" s="22" t="s">
        <v>7738</v>
      </c>
      <c r="D1776" s="22" t="s">
        <v>7710</v>
      </c>
      <c r="E1776" s="22" t="s">
        <v>5415</v>
      </c>
      <c r="F1776" s="24" t="s">
        <v>5416</v>
      </c>
      <c r="G1776" s="23" t="s">
        <v>32</v>
      </c>
      <c r="H1776" s="24" t="s">
        <v>4054</v>
      </c>
      <c r="I1776" s="22"/>
      <c r="J1776" s="22" t="s">
        <v>7536</v>
      </c>
      <c r="K1776" s="24"/>
      <c r="L1776" s="24" t="s">
        <v>8207</v>
      </c>
      <c r="M1776" s="25" t="s">
        <v>5417</v>
      </c>
      <c r="N1776" s="22"/>
      <c r="O1776" s="22" t="s">
        <v>5418</v>
      </c>
      <c r="P1776" s="22" t="str">
        <f>HYPERLINK("https://ceds.ed.gov/cedselementdetails.aspx?termid=21184")</f>
        <v>https://ceds.ed.gov/cedselementdetails.aspx?termid=21184</v>
      </c>
      <c r="Q1776" s="22">
        <v>59100</v>
      </c>
    </row>
    <row r="1777" spans="1:17" ht="158.4" x14ac:dyDescent="0.3">
      <c r="A1777" s="22" t="s">
        <v>7779</v>
      </c>
      <c r="B1777" s="22" t="s">
        <v>7827</v>
      </c>
      <c r="C1777" s="22" t="s">
        <v>7738</v>
      </c>
      <c r="D1777" s="22" t="s">
        <v>7710</v>
      </c>
      <c r="E1777" s="22" t="s">
        <v>4973</v>
      </c>
      <c r="F1777" s="24" t="s">
        <v>4974</v>
      </c>
      <c r="G1777" s="23" t="s">
        <v>32</v>
      </c>
      <c r="H1777" s="24" t="s">
        <v>4054</v>
      </c>
      <c r="I1777" s="22"/>
      <c r="J1777" s="22" t="s">
        <v>7536</v>
      </c>
      <c r="K1777" s="24"/>
      <c r="L1777" s="24" t="s">
        <v>8207</v>
      </c>
      <c r="M1777" s="25" t="s">
        <v>4975</v>
      </c>
      <c r="N1777" s="22" t="s">
        <v>4976</v>
      </c>
      <c r="O1777" s="22" t="s">
        <v>4977</v>
      </c>
      <c r="P1777" s="22" t="str">
        <f>HYPERLINK("https://ceds.ed.gov/cedselementdetails.aspx?termid=21172")</f>
        <v>https://ceds.ed.gov/cedselementdetails.aspx?termid=21172</v>
      </c>
      <c r="Q1777" s="22">
        <v>59099</v>
      </c>
    </row>
    <row r="1778" spans="1:17" ht="129.6" x14ac:dyDescent="0.3">
      <c r="A1778" s="22" t="s">
        <v>7779</v>
      </c>
      <c r="B1778" s="22" t="s">
        <v>7827</v>
      </c>
      <c r="C1778" s="22" t="s">
        <v>7738</v>
      </c>
      <c r="D1778" s="22" t="s">
        <v>7710</v>
      </c>
      <c r="E1778" s="22" t="s">
        <v>4114</v>
      </c>
      <c r="F1778" s="24" t="s">
        <v>4115</v>
      </c>
      <c r="G1778" s="23" t="s">
        <v>32</v>
      </c>
      <c r="H1778" s="24" t="s">
        <v>4119</v>
      </c>
      <c r="I1778" s="22"/>
      <c r="J1778" s="22" t="s">
        <v>2743</v>
      </c>
      <c r="K1778" s="24"/>
      <c r="L1778" s="24" t="s">
        <v>8207</v>
      </c>
      <c r="M1778" s="25" t="s">
        <v>4117</v>
      </c>
      <c r="N1778" s="22"/>
      <c r="O1778" s="22" t="s">
        <v>4118</v>
      </c>
      <c r="P1778" s="22" t="str">
        <f>HYPERLINK("https://ceds.ed.gov/cedselementdetails.aspx?termid=21121")</f>
        <v>https://ceds.ed.gov/cedselementdetails.aspx?termid=21121</v>
      </c>
      <c r="Q1778" s="22">
        <v>59087</v>
      </c>
    </row>
    <row r="1779" spans="1:17" ht="86.4" x14ac:dyDescent="0.3">
      <c r="A1779" s="22" t="s">
        <v>7779</v>
      </c>
      <c r="B1779" s="22" t="s">
        <v>7827</v>
      </c>
      <c r="C1779" s="22" t="s">
        <v>7738</v>
      </c>
      <c r="D1779" s="22" t="s">
        <v>7710</v>
      </c>
      <c r="E1779" s="22" t="s">
        <v>5860</v>
      </c>
      <c r="F1779" s="24" t="s">
        <v>5861</v>
      </c>
      <c r="G1779" s="23" t="s">
        <v>32</v>
      </c>
      <c r="H1779" s="24" t="s">
        <v>5865</v>
      </c>
      <c r="I1779" s="22"/>
      <c r="J1779" s="22" t="s">
        <v>85</v>
      </c>
      <c r="K1779" s="24"/>
      <c r="L1779" s="24"/>
      <c r="M1779" s="25" t="s">
        <v>5862</v>
      </c>
      <c r="N1779" s="22" t="s">
        <v>5863</v>
      </c>
      <c r="O1779" s="22" t="s">
        <v>5864</v>
      </c>
      <c r="P1779" s="22" t="str">
        <f>HYPERLINK("https://ceds.ed.gov/cedselementdetails.aspx?termid=21212")</f>
        <v>https://ceds.ed.gov/cedselementdetails.aspx?termid=21212</v>
      </c>
      <c r="Q1779" s="22">
        <v>59105</v>
      </c>
    </row>
    <row r="1780" spans="1:17" ht="28.8" x14ac:dyDescent="0.3">
      <c r="A1780" s="22" t="s">
        <v>7779</v>
      </c>
      <c r="B1780" s="22" t="s">
        <v>7827</v>
      </c>
      <c r="C1780" s="22" t="s">
        <v>7739</v>
      </c>
      <c r="D1780" s="22" t="s">
        <v>7710</v>
      </c>
      <c r="E1780" s="22" t="s">
        <v>5728</v>
      </c>
      <c r="F1780" s="24" t="s">
        <v>5729</v>
      </c>
      <c r="G1780" s="23" t="s">
        <v>32</v>
      </c>
      <c r="H1780" s="22"/>
      <c r="I1780" s="22"/>
      <c r="J1780" s="22" t="s">
        <v>1301</v>
      </c>
      <c r="K1780" s="24"/>
      <c r="L1780" s="24" t="s">
        <v>5730</v>
      </c>
      <c r="M1780" s="25" t="s">
        <v>5731</v>
      </c>
      <c r="N1780" s="22"/>
      <c r="O1780" s="22" t="s">
        <v>5732</v>
      </c>
      <c r="P1780" s="22" t="str">
        <f>HYPERLINK("https://ceds.ed.gov/cedselementdetails.aspx?termid=22486")</f>
        <v>https://ceds.ed.gov/cedselementdetails.aspx?termid=22486</v>
      </c>
      <c r="Q1780" s="22">
        <v>61632</v>
      </c>
    </row>
    <row r="1781" spans="1:17" ht="28.8" x14ac:dyDescent="0.3">
      <c r="A1781" s="22" t="s">
        <v>7779</v>
      </c>
      <c r="B1781" s="22" t="s">
        <v>7827</v>
      </c>
      <c r="C1781" s="22" t="s">
        <v>7739</v>
      </c>
      <c r="D1781" s="22" t="s">
        <v>7710</v>
      </c>
      <c r="E1781" s="22" t="s">
        <v>5738</v>
      </c>
      <c r="F1781" s="24" t="s">
        <v>5739</v>
      </c>
      <c r="G1781" s="23" t="s">
        <v>32</v>
      </c>
      <c r="H1781" s="22"/>
      <c r="I1781" s="22"/>
      <c r="J1781" s="22" t="s">
        <v>1301</v>
      </c>
      <c r="K1781" s="24"/>
      <c r="L1781" s="24" t="s">
        <v>5740</v>
      </c>
      <c r="M1781" s="25" t="s">
        <v>5741</v>
      </c>
      <c r="N1781" s="22"/>
      <c r="O1781" s="22" t="s">
        <v>5742</v>
      </c>
      <c r="P1781" s="22" t="str">
        <f>HYPERLINK("https://ceds.ed.gov/cedselementdetails.aspx?termid=22487")</f>
        <v>https://ceds.ed.gov/cedselementdetails.aspx?termid=22487</v>
      </c>
      <c r="Q1781" s="22">
        <v>61648</v>
      </c>
    </row>
    <row r="1782" spans="1:17" ht="28.8" x14ac:dyDescent="0.3">
      <c r="A1782" s="22" t="s">
        <v>7779</v>
      </c>
      <c r="B1782" s="22" t="s">
        <v>7827</v>
      </c>
      <c r="C1782" s="22" t="s">
        <v>7739</v>
      </c>
      <c r="D1782" s="22" t="s">
        <v>7710</v>
      </c>
      <c r="E1782" s="22" t="s">
        <v>5733</v>
      </c>
      <c r="F1782" s="24" t="s">
        <v>5734</v>
      </c>
      <c r="G1782" s="23" t="s">
        <v>32</v>
      </c>
      <c r="H1782" s="22"/>
      <c r="I1782" s="22"/>
      <c r="J1782" s="22" t="s">
        <v>1301</v>
      </c>
      <c r="K1782" s="24"/>
      <c r="L1782" s="24" t="s">
        <v>5735</v>
      </c>
      <c r="M1782" s="25" t="s">
        <v>5736</v>
      </c>
      <c r="N1782" s="22"/>
      <c r="O1782" s="22" t="s">
        <v>5737</v>
      </c>
      <c r="P1782" s="22" t="str">
        <f>HYPERLINK("https://ceds.ed.gov/cedselementdetails.aspx?termid=22485")</f>
        <v>https://ceds.ed.gov/cedselementdetails.aspx?termid=22485</v>
      </c>
      <c r="Q1782" s="22">
        <v>61616</v>
      </c>
    </row>
    <row r="1783" spans="1:17" ht="129.6" x14ac:dyDescent="0.3">
      <c r="A1783" s="22" t="s">
        <v>7779</v>
      </c>
      <c r="B1783" s="22" t="s">
        <v>7827</v>
      </c>
      <c r="C1783" s="22" t="s">
        <v>7739</v>
      </c>
      <c r="D1783" s="22" t="s">
        <v>7710</v>
      </c>
      <c r="E1783" s="22" t="s">
        <v>5743</v>
      </c>
      <c r="F1783" s="24" t="s">
        <v>5744</v>
      </c>
      <c r="G1783" s="23" t="s">
        <v>32</v>
      </c>
      <c r="H1783" s="24" t="s">
        <v>4119</v>
      </c>
      <c r="I1783" s="22"/>
      <c r="J1783" s="22" t="s">
        <v>132</v>
      </c>
      <c r="K1783" s="24"/>
      <c r="L1783" s="24"/>
      <c r="M1783" s="25" t="s">
        <v>5745</v>
      </c>
      <c r="N1783" s="22"/>
      <c r="O1783" s="22" t="s">
        <v>5746</v>
      </c>
      <c r="P1783" s="22" t="str">
        <f>HYPERLINK("https://ceds.ed.gov/cedselementdetails.aspx?termid=21206")</f>
        <v>https://ceds.ed.gov/cedselementdetails.aspx?termid=21206</v>
      </c>
      <c r="Q1783" s="22">
        <v>59103</v>
      </c>
    </row>
    <row r="1784" spans="1:17" ht="115.2" x14ac:dyDescent="0.3">
      <c r="A1784" s="22" t="s">
        <v>7779</v>
      </c>
      <c r="B1784" s="22" t="s">
        <v>7827</v>
      </c>
      <c r="C1784" s="22" t="s">
        <v>7739</v>
      </c>
      <c r="D1784" s="22" t="s">
        <v>7710</v>
      </c>
      <c r="E1784" s="22" t="s">
        <v>5747</v>
      </c>
      <c r="F1784" s="24" t="s">
        <v>5748</v>
      </c>
      <c r="G1784" s="26" t="s">
        <v>9055</v>
      </c>
      <c r="H1784" s="24" t="s">
        <v>5751</v>
      </c>
      <c r="I1784" s="22"/>
      <c r="J1784" s="22" t="s">
        <v>85</v>
      </c>
      <c r="K1784" s="24"/>
      <c r="L1784" s="24"/>
      <c r="M1784" s="25" t="s">
        <v>5749</v>
      </c>
      <c r="N1784" s="22"/>
      <c r="O1784" s="22" t="s">
        <v>5750</v>
      </c>
      <c r="P1784" s="22" t="str">
        <f>HYPERLINK("https://ceds.ed.gov/cedselementdetails.aspx?termid=21627")</f>
        <v>https://ceds.ed.gov/cedselementdetails.aspx?termid=21627</v>
      </c>
      <c r="Q1784" s="22">
        <v>59140</v>
      </c>
    </row>
    <row r="1785" spans="1:17" ht="172.8" x14ac:dyDescent="0.3">
      <c r="A1785" s="22" t="s">
        <v>7779</v>
      </c>
      <c r="B1785" s="22" t="s">
        <v>7827</v>
      </c>
      <c r="C1785" s="22" t="s">
        <v>7740</v>
      </c>
      <c r="D1785" s="22" t="s">
        <v>7710</v>
      </c>
      <c r="E1785" s="22" t="s">
        <v>6911</v>
      </c>
      <c r="F1785" s="24" t="s">
        <v>6912</v>
      </c>
      <c r="G1785" s="23" t="s">
        <v>32</v>
      </c>
      <c r="H1785" s="24" t="s">
        <v>6915</v>
      </c>
      <c r="I1785" s="22" t="s">
        <v>172</v>
      </c>
      <c r="J1785" s="22" t="s">
        <v>132</v>
      </c>
      <c r="K1785" s="24" t="s">
        <v>7946</v>
      </c>
      <c r="L1785" s="24" t="s">
        <v>7945</v>
      </c>
      <c r="M1785" s="25" t="s">
        <v>6913</v>
      </c>
      <c r="N1785" s="22"/>
      <c r="O1785" s="22" t="s">
        <v>6914</v>
      </c>
      <c r="P1785" s="22" t="str">
        <f>HYPERLINK("https://ceds.ed.gov/cedselementdetails.aspx?termid=21156")</f>
        <v>https://ceds.ed.gov/cedselementdetails.aspx?termid=21156</v>
      </c>
      <c r="Q1785" s="22">
        <v>59095</v>
      </c>
    </row>
    <row r="1786" spans="1:17" ht="244.8" x14ac:dyDescent="0.3">
      <c r="A1786" s="22" t="s">
        <v>7779</v>
      </c>
      <c r="B1786" s="22" t="s">
        <v>7827</v>
      </c>
      <c r="C1786" s="22" t="s">
        <v>7740</v>
      </c>
      <c r="D1786" s="22" t="s">
        <v>7710</v>
      </c>
      <c r="E1786" s="22" t="s">
        <v>6906</v>
      </c>
      <c r="F1786" s="24" t="s">
        <v>6907</v>
      </c>
      <c r="G1786" s="26" t="s">
        <v>8531</v>
      </c>
      <c r="H1786" s="24" t="s">
        <v>6910</v>
      </c>
      <c r="I1786" s="22" t="s">
        <v>172</v>
      </c>
      <c r="J1786" s="22"/>
      <c r="K1786" s="24" t="s">
        <v>7946</v>
      </c>
      <c r="L1786" s="24"/>
      <c r="M1786" s="25" t="s">
        <v>6908</v>
      </c>
      <c r="N1786" s="22"/>
      <c r="O1786" s="22" t="s">
        <v>6909</v>
      </c>
      <c r="P1786" s="22" t="str">
        <f>HYPERLINK("https://ceds.ed.gov/cedselementdetails.aspx?termid=21162")</f>
        <v>https://ceds.ed.gov/cedselementdetails.aspx?termid=21162</v>
      </c>
      <c r="Q1786" s="22">
        <v>59098</v>
      </c>
    </row>
    <row r="1787" spans="1:17" ht="403.2" x14ac:dyDescent="0.3">
      <c r="A1787" s="22" t="s">
        <v>7779</v>
      </c>
      <c r="B1787" s="22" t="s">
        <v>7827</v>
      </c>
      <c r="C1787" s="22" t="s">
        <v>7740</v>
      </c>
      <c r="D1787" s="22" t="s">
        <v>7710</v>
      </c>
      <c r="E1787" s="22" t="s">
        <v>5856</v>
      </c>
      <c r="F1787" s="24" t="s">
        <v>5857</v>
      </c>
      <c r="G1787" s="26" t="s">
        <v>8498</v>
      </c>
      <c r="H1787" s="22"/>
      <c r="I1787" s="22" t="s">
        <v>172</v>
      </c>
      <c r="J1787" s="22"/>
      <c r="K1787" s="24" t="s">
        <v>7946</v>
      </c>
      <c r="L1787" s="24"/>
      <c r="M1787" s="25" t="s">
        <v>5858</v>
      </c>
      <c r="N1787" s="22"/>
      <c r="O1787" s="22" t="s">
        <v>5859</v>
      </c>
      <c r="P1787" s="22" t="str">
        <f>HYPERLINK("https://ceds.ed.gov/cedselementdetails.aspx?termid=21611")</f>
        <v>https://ceds.ed.gov/cedselementdetails.aspx?termid=21611</v>
      </c>
      <c r="Q1787" s="22">
        <v>59135</v>
      </c>
    </row>
    <row r="1788" spans="1:17" ht="72" x14ac:dyDescent="0.3">
      <c r="A1788" s="22" t="s">
        <v>7779</v>
      </c>
      <c r="B1788" s="22" t="s">
        <v>7827</v>
      </c>
      <c r="C1788" s="22" t="s">
        <v>7740</v>
      </c>
      <c r="D1788" s="22" t="s">
        <v>7710</v>
      </c>
      <c r="E1788" s="22" t="s">
        <v>7621</v>
      </c>
      <c r="F1788" s="24" t="s">
        <v>7622</v>
      </c>
      <c r="G1788" s="26" t="s">
        <v>8496</v>
      </c>
      <c r="H1788" s="22"/>
      <c r="I1788" s="22" t="s">
        <v>172</v>
      </c>
      <c r="J1788" s="22"/>
      <c r="K1788" s="24" t="s">
        <v>7946</v>
      </c>
      <c r="L1788" s="24"/>
      <c r="M1788" s="25" t="s">
        <v>7623</v>
      </c>
      <c r="N1788" s="22"/>
      <c r="O1788" s="22" t="s">
        <v>7624</v>
      </c>
      <c r="P1788" s="22" t="str">
        <f>HYPERLINK("https://ceds.ed.gov/cedselementdetails.aspx?termid=22951")</f>
        <v>https://ceds.ed.gov/cedselementdetails.aspx?termid=22951</v>
      </c>
      <c r="Q1788" s="22">
        <v>63541</v>
      </c>
    </row>
    <row r="1789" spans="1:17" ht="100.8" x14ac:dyDescent="0.3">
      <c r="A1789" s="22" t="s">
        <v>7779</v>
      </c>
      <c r="B1789" s="22" t="s">
        <v>7827</v>
      </c>
      <c r="C1789" s="22" t="s">
        <v>7716</v>
      </c>
      <c r="D1789" s="22" t="s">
        <v>7710</v>
      </c>
      <c r="E1789" s="22" t="s">
        <v>203</v>
      </c>
      <c r="F1789" s="24" t="s">
        <v>204</v>
      </c>
      <c r="G1789" s="26" t="s">
        <v>8577</v>
      </c>
      <c r="H1789" s="22" t="s">
        <v>207</v>
      </c>
      <c r="I1789" s="22"/>
      <c r="J1789" s="22" t="s">
        <v>85</v>
      </c>
      <c r="K1789" s="24"/>
      <c r="L1789" s="24"/>
      <c r="M1789" s="25" t="s">
        <v>205</v>
      </c>
      <c r="N1789" s="22"/>
      <c r="O1789" s="22" t="s">
        <v>206</v>
      </c>
      <c r="P1789" s="22" t="str">
        <f>HYPERLINK("https://ceds.ed.gov/cedselementdetails.aspx?termid=21698")</f>
        <v>https://ceds.ed.gov/cedselementdetails.aspx?termid=21698</v>
      </c>
      <c r="Q1789" s="22">
        <v>59149</v>
      </c>
    </row>
    <row r="1790" spans="1:17" ht="187.2" x14ac:dyDescent="0.3">
      <c r="A1790" s="22" t="s">
        <v>7779</v>
      </c>
      <c r="B1790" s="22" t="s">
        <v>7827</v>
      </c>
      <c r="C1790" s="22" t="s">
        <v>7716</v>
      </c>
      <c r="D1790" s="22" t="s">
        <v>7710</v>
      </c>
      <c r="E1790" s="22" t="s">
        <v>189</v>
      </c>
      <c r="F1790" s="24" t="s">
        <v>190</v>
      </c>
      <c r="G1790" s="23" t="s">
        <v>32</v>
      </c>
      <c r="H1790" s="24" t="s">
        <v>175</v>
      </c>
      <c r="I1790" s="22" t="s">
        <v>172</v>
      </c>
      <c r="J1790" s="22" t="s">
        <v>191</v>
      </c>
      <c r="K1790" s="24" t="s">
        <v>7946</v>
      </c>
      <c r="L1790" s="24"/>
      <c r="M1790" s="25" t="s">
        <v>192</v>
      </c>
      <c r="N1790" s="22"/>
      <c r="O1790" s="22" t="s">
        <v>193</v>
      </c>
      <c r="P1790" s="22" t="str">
        <f>HYPERLINK("https://ceds.ed.gov/cedselementdetails.aspx?termid=21269")</f>
        <v>https://ceds.ed.gov/cedselementdetails.aspx?termid=21269</v>
      </c>
      <c r="Q1790" s="22">
        <v>59117</v>
      </c>
    </row>
    <row r="1791" spans="1:17" ht="187.2" x14ac:dyDescent="0.3">
      <c r="A1791" s="22" t="s">
        <v>7779</v>
      </c>
      <c r="B1791" s="22" t="s">
        <v>7827</v>
      </c>
      <c r="C1791" s="22" t="s">
        <v>7716</v>
      </c>
      <c r="D1791" s="22" t="s">
        <v>7710</v>
      </c>
      <c r="E1791" s="22" t="s">
        <v>170</v>
      </c>
      <c r="F1791" s="24" t="s">
        <v>171</v>
      </c>
      <c r="G1791" s="23" t="s">
        <v>32</v>
      </c>
      <c r="H1791" s="24" t="s">
        <v>175</v>
      </c>
      <c r="I1791" s="22" t="s">
        <v>172</v>
      </c>
      <c r="J1791" s="22" t="s">
        <v>157</v>
      </c>
      <c r="K1791" s="24" t="s">
        <v>7946</v>
      </c>
      <c r="L1791" s="24"/>
      <c r="M1791" s="25" t="s">
        <v>173</v>
      </c>
      <c r="N1791" s="22"/>
      <c r="O1791" s="22" t="s">
        <v>174</v>
      </c>
      <c r="P1791" s="22" t="str">
        <f>HYPERLINK("https://ceds.ed.gov/cedselementdetails.aspx?termid=21019")</f>
        <v>https://ceds.ed.gov/cedselementdetails.aspx?termid=21019</v>
      </c>
      <c r="Q1791" s="22">
        <v>59072</v>
      </c>
    </row>
    <row r="1792" spans="1:17" ht="187.2" x14ac:dyDescent="0.3">
      <c r="A1792" s="22" t="s">
        <v>7779</v>
      </c>
      <c r="B1792" s="22" t="s">
        <v>7827</v>
      </c>
      <c r="C1792" s="22" t="s">
        <v>7716</v>
      </c>
      <c r="D1792" s="22" t="s">
        <v>7710</v>
      </c>
      <c r="E1792" s="22" t="s">
        <v>176</v>
      </c>
      <c r="F1792" s="24" t="s">
        <v>177</v>
      </c>
      <c r="G1792" s="23" t="s">
        <v>32</v>
      </c>
      <c r="H1792" s="24" t="s">
        <v>175</v>
      </c>
      <c r="I1792" s="22" t="s">
        <v>172</v>
      </c>
      <c r="J1792" s="22" t="s">
        <v>85</v>
      </c>
      <c r="K1792" s="24" t="s">
        <v>7946</v>
      </c>
      <c r="L1792" s="24"/>
      <c r="M1792" s="25" t="s">
        <v>178</v>
      </c>
      <c r="N1792" s="22"/>
      <c r="O1792" s="22" t="s">
        <v>179</v>
      </c>
      <c r="P1792" s="22" t="str">
        <f>HYPERLINK("https://ceds.ed.gov/cedselementdetails.aspx?termid=21040")</f>
        <v>https://ceds.ed.gov/cedselementdetails.aspx?termid=21040</v>
      </c>
      <c r="Q1792" s="22">
        <v>59075</v>
      </c>
    </row>
    <row r="1793" spans="1:17" ht="409.6" x14ac:dyDescent="0.3">
      <c r="A1793" s="22" t="s">
        <v>7779</v>
      </c>
      <c r="B1793" s="22" t="s">
        <v>7827</v>
      </c>
      <c r="C1793" s="22" t="s">
        <v>7716</v>
      </c>
      <c r="D1793" s="22" t="s">
        <v>7710</v>
      </c>
      <c r="E1793" s="22" t="s">
        <v>6941</v>
      </c>
      <c r="F1793" s="24" t="s">
        <v>6942</v>
      </c>
      <c r="G1793" s="26" t="s">
        <v>8533</v>
      </c>
      <c r="H1793" s="24" t="s">
        <v>6945</v>
      </c>
      <c r="I1793" s="22" t="s">
        <v>172</v>
      </c>
      <c r="J1793" s="22"/>
      <c r="K1793" s="24" t="s">
        <v>8327</v>
      </c>
      <c r="L1793" s="24"/>
      <c r="M1793" s="25" t="s">
        <v>6943</v>
      </c>
      <c r="N1793" s="22"/>
      <c r="O1793" s="22" t="s">
        <v>6944</v>
      </c>
      <c r="P1793" s="22" t="str">
        <f>HYPERLINK("https://ceds.ed.gov/cedselementdetails.aspx?termid=21267")</f>
        <v>https://ceds.ed.gov/cedselementdetails.aspx?termid=21267</v>
      </c>
      <c r="Q1793" s="22">
        <v>59116</v>
      </c>
    </row>
    <row r="1794" spans="1:17" ht="187.2" x14ac:dyDescent="0.3">
      <c r="A1794" s="22" t="s">
        <v>7779</v>
      </c>
      <c r="B1794" s="22" t="s">
        <v>7827</v>
      </c>
      <c r="C1794" s="22" t="s">
        <v>7716</v>
      </c>
      <c r="D1794" s="22" t="s">
        <v>7710</v>
      </c>
      <c r="E1794" s="22" t="s">
        <v>184</v>
      </c>
      <c r="F1794" s="24" t="s">
        <v>185</v>
      </c>
      <c r="G1794" s="23" t="s">
        <v>32</v>
      </c>
      <c r="H1794" s="24" t="s">
        <v>175</v>
      </c>
      <c r="I1794" s="22" t="s">
        <v>172</v>
      </c>
      <c r="J1794" s="22" t="s">
        <v>186</v>
      </c>
      <c r="K1794" s="24" t="s">
        <v>7946</v>
      </c>
      <c r="L1794" s="24"/>
      <c r="M1794" s="25" t="s">
        <v>187</v>
      </c>
      <c r="N1794" s="22"/>
      <c r="O1794" s="22" t="s">
        <v>188</v>
      </c>
      <c r="P1794" s="22" t="str">
        <f>HYPERLINK("https://ceds.ed.gov/cedselementdetails.aspx?termid=21214")</f>
        <v>https://ceds.ed.gov/cedselementdetails.aspx?termid=21214</v>
      </c>
      <c r="Q1794" s="22">
        <v>59107</v>
      </c>
    </row>
    <row r="1795" spans="1:17" ht="187.2" x14ac:dyDescent="0.3">
      <c r="A1795" s="22" t="s">
        <v>7779</v>
      </c>
      <c r="B1795" s="22" t="s">
        <v>7827</v>
      </c>
      <c r="C1795" s="22" t="s">
        <v>7716</v>
      </c>
      <c r="D1795" s="22" t="s">
        <v>7710</v>
      </c>
      <c r="E1795" s="22" t="s">
        <v>180</v>
      </c>
      <c r="F1795" s="24" t="s">
        <v>181</v>
      </c>
      <c r="G1795" s="23" t="s">
        <v>32</v>
      </c>
      <c r="H1795" s="24" t="s">
        <v>175</v>
      </c>
      <c r="I1795" s="22" t="s">
        <v>172</v>
      </c>
      <c r="J1795" s="22" t="s">
        <v>85</v>
      </c>
      <c r="K1795" s="24" t="s">
        <v>7946</v>
      </c>
      <c r="L1795" s="24"/>
      <c r="M1795" s="25" t="s">
        <v>182</v>
      </c>
      <c r="N1795" s="22"/>
      <c r="O1795" s="22" t="s">
        <v>183</v>
      </c>
      <c r="P1795" s="22" t="str">
        <f>HYPERLINK("https://ceds.ed.gov/cedselementdetails.aspx?termid=21190")</f>
        <v>https://ceds.ed.gov/cedselementdetails.aspx?termid=21190</v>
      </c>
      <c r="Q1795" s="22">
        <v>60133</v>
      </c>
    </row>
    <row r="1796" spans="1:17" ht="409.6" x14ac:dyDescent="0.3">
      <c r="A1796" s="22" t="s">
        <v>7779</v>
      </c>
      <c r="B1796" s="22" t="s">
        <v>7827</v>
      </c>
      <c r="C1796" s="22" t="s">
        <v>7716</v>
      </c>
      <c r="D1796" s="22" t="s">
        <v>7710</v>
      </c>
      <c r="E1796" s="22" t="s">
        <v>2526</v>
      </c>
      <c r="F1796" s="24" t="s">
        <v>2527</v>
      </c>
      <c r="G1796" s="26" t="s">
        <v>8743</v>
      </c>
      <c r="H1796" s="24" t="s">
        <v>2530</v>
      </c>
      <c r="I1796" s="22"/>
      <c r="J1796" s="22"/>
      <c r="K1796" s="24"/>
      <c r="L1796" s="24" t="s">
        <v>8055</v>
      </c>
      <c r="M1796" s="25" t="s">
        <v>2528</v>
      </c>
      <c r="N1796" s="22"/>
      <c r="O1796" s="22" t="s">
        <v>2529</v>
      </c>
      <c r="P1796" s="22" t="str">
        <f>HYPERLINK("https://ceds.ed.gov/cedselementdetails.aspx?termid=21050")</f>
        <v>https://ceds.ed.gov/cedselementdetails.aspx?termid=21050</v>
      </c>
      <c r="Q1796" s="22">
        <v>60132</v>
      </c>
    </row>
    <row r="1797" spans="1:17" ht="57.6" x14ac:dyDescent="0.3">
      <c r="A1797" s="22" t="s">
        <v>7779</v>
      </c>
      <c r="B1797" s="22" t="s">
        <v>7827</v>
      </c>
      <c r="C1797" s="22" t="s">
        <v>7716</v>
      </c>
      <c r="D1797" s="22" t="s">
        <v>7710</v>
      </c>
      <c r="E1797" s="22" t="s">
        <v>4982</v>
      </c>
      <c r="F1797" s="24" t="s">
        <v>4983</v>
      </c>
      <c r="G1797" s="23" t="s">
        <v>32</v>
      </c>
      <c r="H1797" s="22"/>
      <c r="I1797" s="22"/>
      <c r="J1797" s="22" t="s">
        <v>1165</v>
      </c>
      <c r="K1797" s="24"/>
      <c r="L1797" s="24"/>
      <c r="M1797" s="25" t="s">
        <v>4984</v>
      </c>
      <c r="N1797" s="22"/>
      <c r="O1797" s="22" t="s">
        <v>4982</v>
      </c>
      <c r="P1797" s="22" t="str">
        <f>HYPERLINK("https://ceds.ed.gov/cedselementdetails.aspx?termid=21599")</f>
        <v>https://ceds.ed.gov/cedselementdetails.aspx?termid=21599</v>
      </c>
      <c r="Q1797" s="22">
        <v>62262</v>
      </c>
    </row>
    <row r="1798" spans="1:17" ht="57.6" x14ac:dyDescent="0.3">
      <c r="A1798" s="22" t="s">
        <v>7779</v>
      </c>
      <c r="B1798" s="22" t="s">
        <v>7827</v>
      </c>
      <c r="C1798" s="22" t="s">
        <v>7716</v>
      </c>
      <c r="D1798" s="22" t="s">
        <v>7710</v>
      </c>
      <c r="E1798" s="22" t="s">
        <v>5372</v>
      </c>
      <c r="F1798" s="24" t="s">
        <v>5373</v>
      </c>
      <c r="G1798" s="23" t="s">
        <v>32</v>
      </c>
      <c r="H1798" s="22"/>
      <c r="I1798" s="22"/>
      <c r="J1798" s="22" t="s">
        <v>1165</v>
      </c>
      <c r="K1798" s="24"/>
      <c r="L1798" s="24"/>
      <c r="M1798" s="25" t="s">
        <v>5374</v>
      </c>
      <c r="N1798" s="22"/>
      <c r="O1798" s="22" t="s">
        <v>5372</v>
      </c>
      <c r="P1798" s="22" t="str">
        <f>HYPERLINK("https://ceds.ed.gov/cedselementdetails.aspx?termid=21600")</f>
        <v>https://ceds.ed.gov/cedselementdetails.aspx?termid=21600</v>
      </c>
      <c r="Q1798" s="22">
        <v>62285</v>
      </c>
    </row>
    <row r="1799" spans="1:17" ht="158.4" x14ac:dyDescent="0.3">
      <c r="A1799" s="22" t="s">
        <v>7779</v>
      </c>
      <c r="B1799" s="22" t="s">
        <v>7827</v>
      </c>
      <c r="C1799" s="22" t="s">
        <v>7716</v>
      </c>
      <c r="D1799" s="22" t="s">
        <v>7710</v>
      </c>
      <c r="E1799" s="22" t="s">
        <v>2536</v>
      </c>
      <c r="F1799" s="24" t="s">
        <v>2537</v>
      </c>
      <c r="G1799" s="23" t="s">
        <v>32</v>
      </c>
      <c r="H1799" s="22"/>
      <c r="I1799" s="22"/>
      <c r="J1799" s="22" t="s">
        <v>2538</v>
      </c>
      <c r="K1799" s="24"/>
      <c r="L1799" s="24"/>
      <c r="M1799" s="25" t="s">
        <v>2539</v>
      </c>
      <c r="N1799" s="22"/>
      <c r="O1799" s="22" t="s">
        <v>2540</v>
      </c>
      <c r="P1799" s="22" t="str">
        <f>HYPERLINK("https://ceds.ed.gov/cedselementdetails.aspx?termid=22176")</f>
        <v>https://ceds.ed.gov/cedselementdetails.aspx?termid=22176</v>
      </c>
      <c r="Q1799" s="22">
        <v>63318</v>
      </c>
    </row>
    <row r="1800" spans="1:17" ht="57.6" x14ac:dyDescent="0.3">
      <c r="A1800" s="22" t="s">
        <v>7779</v>
      </c>
      <c r="B1800" s="22" t="s">
        <v>7827</v>
      </c>
      <c r="C1800" s="22" t="s">
        <v>7716</v>
      </c>
      <c r="D1800" s="22" t="s">
        <v>7710</v>
      </c>
      <c r="E1800" s="22" t="s">
        <v>3228</v>
      </c>
      <c r="F1800" s="24" t="s">
        <v>3229</v>
      </c>
      <c r="G1800" s="26" t="s">
        <v>3039</v>
      </c>
      <c r="H1800" s="22"/>
      <c r="I1800" s="22" t="s">
        <v>172</v>
      </c>
      <c r="J1800" s="22"/>
      <c r="K1800" s="24" t="s">
        <v>7946</v>
      </c>
      <c r="L1800" s="24"/>
      <c r="M1800" s="25" t="s">
        <v>3230</v>
      </c>
      <c r="N1800" s="22"/>
      <c r="O1800" s="22" t="s">
        <v>3231</v>
      </c>
      <c r="P1800" s="22" t="str">
        <f>HYPERLINK("https://ceds.ed.gov/cedselementdetails.aspx?termid=22905")</f>
        <v>https://ceds.ed.gov/cedselementdetails.aspx?termid=22905</v>
      </c>
      <c r="Q1800" s="22">
        <v>63319</v>
      </c>
    </row>
    <row r="1801" spans="1:17" ht="72" x14ac:dyDescent="0.3">
      <c r="A1801" s="22" t="s">
        <v>7779</v>
      </c>
      <c r="B1801" s="22" t="s">
        <v>7827</v>
      </c>
      <c r="C1801" s="22" t="s">
        <v>7717</v>
      </c>
      <c r="D1801" s="22" t="s">
        <v>7710</v>
      </c>
      <c r="E1801" s="22" t="s">
        <v>7159</v>
      </c>
      <c r="F1801" s="24" t="s">
        <v>7160</v>
      </c>
      <c r="G1801" s="23" t="s">
        <v>32</v>
      </c>
      <c r="H1801" s="24" t="s">
        <v>64</v>
      </c>
      <c r="I1801" s="22"/>
      <c r="J1801" s="22" t="s">
        <v>7161</v>
      </c>
      <c r="K1801" s="24"/>
      <c r="L1801" s="24"/>
      <c r="M1801" s="25" t="s">
        <v>7162</v>
      </c>
      <c r="N1801" s="22"/>
      <c r="O1801" s="22" t="s">
        <v>7163</v>
      </c>
      <c r="P1801" s="22" t="str">
        <f>HYPERLINK("https://ceds.ed.gov/cedselementdetails.aspx?termid=21279")</f>
        <v>https://ceds.ed.gov/cedselementdetails.aspx?termid=21279</v>
      </c>
      <c r="Q1801" s="22">
        <v>60014</v>
      </c>
    </row>
    <row r="1802" spans="1:17" ht="86.4" x14ac:dyDescent="0.3">
      <c r="A1802" s="22" t="s">
        <v>7779</v>
      </c>
      <c r="B1802" s="22" t="s">
        <v>7827</v>
      </c>
      <c r="C1802" s="22" t="s">
        <v>7717</v>
      </c>
      <c r="D1802" s="22" t="s">
        <v>7710</v>
      </c>
      <c r="E1802" s="22" t="s">
        <v>7168</v>
      </c>
      <c r="F1802" s="24" t="s">
        <v>7169</v>
      </c>
      <c r="G1802" s="26" t="s">
        <v>9168</v>
      </c>
      <c r="H1802" s="24" t="s">
        <v>64</v>
      </c>
      <c r="I1802" s="22"/>
      <c r="J1802" s="22" t="s">
        <v>2543</v>
      </c>
      <c r="K1802" s="24"/>
      <c r="L1802" s="24"/>
      <c r="M1802" s="25" t="s">
        <v>7170</v>
      </c>
      <c r="N1802" s="22"/>
      <c r="O1802" s="22" t="s">
        <v>7171</v>
      </c>
      <c r="P1802" s="22" t="str">
        <f>HYPERLINK("https://ceds.ed.gov/cedselementdetails.aspx?termid=21280")</f>
        <v>https://ceds.ed.gov/cedselementdetails.aspx?termid=21280</v>
      </c>
      <c r="Q1802" s="22">
        <v>60012</v>
      </c>
    </row>
    <row r="1803" spans="1:17" ht="72" x14ac:dyDescent="0.3">
      <c r="A1803" s="22" t="s">
        <v>7779</v>
      </c>
      <c r="B1803" s="22" t="s">
        <v>7827</v>
      </c>
      <c r="C1803" s="22" t="s">
        <v>7717</v>
      </c>
      <c r="D1803" s="22" t="s">
        <v>7710</v>
      </c>
      <c r="E1803" s="22" t="s">
        <v>5965</v>
      </c>
      <c r="F1803" s="24" t="s">
        <v>5966</v>
      </c>
      <c r="G1803" s="26" t="s">
        <v>22</v>
      </c>
      <c r="H1803" s="24" t="s">
        <v>64</v>
      </c>
      <c r="I1803" s="22"/>
      <c r="J1803" s="22"/>
      <c r="K1803" s="24"/>
      <c r="L1803" s="24"/>
      <c r="M1803" s="25" t="s">
        <v>5967</v>
      </c>
      <c r="N1803" s="22"/>
      <c r="O1803" s="22" t="s">
        <v>5968</v>
      </c>
      <c r="P1803" s="22" t="str">
        <f>HYPERLINK("https://ceds.ed.gov/cedselementdetails.aspx?termid=21219")</f>
        <v>https://ceds.ed.gov/cedselementdetails.aspx?termid=21219</v>
      </c>
      <c r="Q1803" s="22">
        <v>60013</v>
      </c>
    </row>
    <row r="1804" spans="1:17" ht="57.6" x14ac:dyDescent="0.3">
      <c r="A1804" s="22" t="s">
        <v>7779</v>
      </c>
      <c r="B1804" s="22" t="s">
        <v>7827</v>
      </c>
      <c r="C1804" s="22" t="s">
        <v>7717</v>
      </c>
      <c r="D1804" s="22" t="s">
        <v>7710</v>
      </c>
      <c r="E1804" s="22" t="s">
        <v>3228</v>
      </c>
      <c r="F1804" s="24" t="s">
        <v>3229</v>
      </c>
      <c r="G1804" s="26" t="s">
        <v>3039</v>
      </c>
      <c r="H1804" s="22"/>
      <c r="I1804" s="22" t="s">
        <v>172</v>
      </c>
      <c r="J1804" s="22"/>
      <c r="K1804" s="24" t="s">
        <v>7946</v>
      </c>
      <c r="L1804" s="24"/>
      <c r="M1804" s="25" t="s">
        <v>3230</v>
      </c>
      <c r="N1804" s="22"/>
      <c r="O1804" s="22" t="s">
        <v>3231</v>
      </c>
      <c r="P1804" s="22" t="str">
        <f>HYPERLINK("https://ceds.ed.gov/cedselementdetails.aspx?termid=22905")</f>
        <v>https://ceds.ed.gov/cedselementdetails.aspx?termid=22905</v>
      </c>
      <c r="Q1804" s="22">
        <v>63321</v>
      </c>
    </row>
    <row r="1805" spans="1:17" ht="57.6" x14ac:dyDescent="0.3">
      <c r="A1805" s="22" t="s">
        <v>7779</v>
      </c>
      <c r="B1805" s="22" t="s">
        <v>7827</v>
      </c>
      <c r="C1805" s="22" t="s">
        <v>7717</v>
      </c>
      <c r="D1805" s="22" t="s">
        <v>7710</v>
      </c>
      <c r="E1805" s="22" t="s">
        <v>7164</v>
      </c>
      <c r="F1805" s="24" t="s">
        <v>7165</v>
      </c>
      <c r="G1805" s="26" t="s">
        <v>9167</v>
      </c>
      <c r="H1805" s="22"/>
      <c r="I1805" s="22"/>
      <c r="J1805" s="22"/>
      <c r="K1805" s="24"/>
      <c r="L1805" s="24"/>
      <c r="M1805" s="25" t="s">
        <v>7166</v>
      </c>
      <c r="N1805" s="22"/>
      <c r="O1805" s="22" t="s">
        <v>7167</v>
      </c>
      <c r="P1805" s="22" t="str">
        <f>HYPERLINK("https://ceds.ed.gov/cedselementdetails.aspx?termid=22911")</f>
        <v>https://ceds.ed.gov/cedselementdetails.aspx?termid=22911</v>
      </c>
      <c r="Q1805" s="22">
        <v>63322</v>
      </c>
    </row>
    <row r="1806" spans="1:17" ht="72" x14ac:dyDescent="0.3">
      <c r="A1806" s="22" t="s">
        <v>7779</v>
      </c>
      <c r="B1806" s="22" t="s">
        <v>7827</v>
      </c>
      <c r="C1806" s="22" t="s">
        <v>7718</v>
      </c>
      <c r="D1806" s="22" t="s">
        <v>7710</v>
      </c>
      <c r="E1806" s="22" t="s">
        <v>3461</v>
      </c>
      <c r="F1806" s="24" t="s">
        <v>3462</v>
      </c>
      <c r="G1806" s="23" t="s">
        <v>32</v>
      </c>
      <c r="H1806" s="24" t="s">
        <v>64</v>
      </c>
      <c r="I1806" s="22" t="s">
        <v>172</v>
      </c>
      <c r="J1806" s="22" t="s">
        <v>3463</v>
      </c>
      <c r="K1806" s="24" t="s">
        <v>7946</v>
      </c>
      <c r="L1806" s="24"/>
      <c r="M1806" s="25" t="s">
        <v>3464</v>
      </c>
      <c r="N1806" s="22" t="s">
        <v>3465</v>
      </c>
      <c r="O1806" s="22" t="s">
        <v>3466</v>
      </c>
      <c r="P1806" s="22" t="str">
        <f>HYPERLINK("https://ceds.ed.gov/cedselementdetails.aspx?termid=21088")</f>
        <v>https://ceds.ed.gov/cedselementdetails.aspx?termid=21088</v>
      </c>
      <c r="Q1806" s="22">
        <v>60016</v>
      </c>
    </row>
    <row r="1807" spans="1:17" ht="72" x14ac:dyDescent="0.3">
      <c r="A1807" s="22" t="s">
        <v>7779</v>
      </c>
      <c r="B1807" s="22" t="s">
        <v>7827</v>
      </c>
      <c r="C1807" s="22" t="s">
        <v>7718</v>
      </c>
      <c r="D1807" s="22" t="s">
        <v>7710</v>
      </c>
      <c r="E1807" s="22" t="s">
        <v>3467</v>
      </c>
      <c r="F1807" s="24" t="s">
        <v>3468</v>
      </c>
      <c r="G1807" s="26" t="s">
        <v>8430</v>
      </c>
      <c r="H1807" s="24" t="s">
        <v>64</v>
      </c>
      <c r="I1807" s="22" t="s">
        <v>172</v>
      </c>
      <c r="J1807" s="22"/>
      <c r="K1807" s="24" t="s">
        <v>7946</v>
      </c>
      <c r="L1807" s="24"/>
      <c r="M1807" s="25" t="s">
        <v>3469</v>
      </c>
      <c r="N1807" s="22" t="s">
        <v>3470</v>
      </c>
      <c r="O1807" s="22" t="s">
        <v>3471</v>
      </c>
      <c r="P1807" s="22" t="str">
        <f>HYPERLINK("https://ceds.ed.gov/cedselementdetails.aspx?termid=21089")</f>
        <v>https://ceds.ed.gov/cedselementdetails.aspx?termid=21089</v>
      </c>
      <c r="Q1807" s="22">
        <v>60015</v>
      </c>
    </row>
    <row r="1808" spans="1:17" ht="57.6" x14ac:dyDescent="0.3">
      <c r="A1808" s="22" t="s">
        <v>7779</v>
      </c>
      <c r="B1808" s="22" t="s">
        <v>7827</v>
      </c>
      <c r="C1808" s="22" t="s">
        <v>7718</v>
      </c>
      <c r="D1808" s="22" t="s">
        <v>7710</v>
      </c>
      <c r="E1808" s="22" t="s">
        <v>3228</v>
      </c>
      <c r="F1808" s="24" t="s">
        <v>3229</v>
      </c>
      <c r="G1808" s="26" t="s">
        <v>3039</v>
      </c>
      <c r="H1808" s="22"/>
      <c r="I1808" s="22" t="s">
        <v>172</v>
      </c>
      <c r="J1808" s="22"/>
      <c r="K1808" s="24" t="s">
        <v>7946</v>
      </c>
      <c r="L1808" s="24"/>
      <c r="M1808" s="25" t="s">
        <v>3230</v>
      </c>
      <c r="N1808" s="22"/>
      <c r="O1808" s="22" t="s">
        <v>3231</v>
      </c>
      <c r="P1808" s="22" t="str">
        <f>HYPERLINK("https://ceds.ed.gov/cedselementdetails.aspx?termid=22905")</f>
        <v>https://ceds.ed.gov/cedselementdetails.aspx?termid=22905</v>
      </c>
      <c r="Q1808" s="22">
        <v>63320</v>
      </c>
    </row>
    <row r="1809" spans="1:17" ht="201.6" x14ac:dyDescent="0.3">
      <c r="A1809" s="22" t="s">
        <v>7779</v>
      </c>
      <c r="B1809" s="22" t="s">
        <v>7827</v>
      </c>
      <c r="C1809" s="22" t="s">
        <v>7742</v>
      </c>
      <c r="D1809" s="22" t="s">
        <v>7710</v>
      </c>
      <c r="E1809" s="22" t="s">
        <v>1544</v>
      </c>
      <c r="F1809" s="24" t="s">
        <v>1545</v>
      </c>
      <c r="G1809" s="23" t="s">
        <v>32</v>
      </c>
      <c r="H1809" s="24" t="s">
        <v>1547</v>
      </c>
      <c r="I1809" s="22"/>
      <c r="J1809" s="22" t="s">
        <v>118</v>
      </c>
      <c r="K1809" s="24"/>
      <c r="L1809" s="24"/>
      <c r="M1809" s="25" t="s">
        <v>1546</v>
      </c>
      <c r="N1809" s="22"/>
      <c r="O1809" s="22" t="s">
        <v>1544</v>
      </c>
      <c r="P1809" s="22" t="str">
        <f>HYPERLINK("https://ceds.ed.gov/cedselementdetails.aspx?termid=21033")</f>
        <v>https://ceds.ed.gov/cedselementdetails.aspx?termid=21033</v>
      </c>
      <c r="Q1809" s="22">
        <v>59074</v>
      </c>
    </row>
    <row r="1810" spans="1:17" ht="216" x14ac:dyDescent="0.3">
      <c r="A1810" s="22" t="s">
        <v>7779</v>
      </c>
      <c r="B1810" s="22" t="s">
        <v>7827</v>
      </c>
      <c r="C1810" s="22" t="s">
        <v>7742</v>
      </c>
      <c r="D1810" s="22" t="s">
        <v>7710</v>
      </c>
      <c r="E1810" s="22" t="s">
        <v>6763</v>
      </c>
      <c r="F1810" s="24" t="s">
        <v>6764</v>
      </c>
      <c r="G1810" s="26" t="s">
        <v>9142</v>
      </c>
      <c r="H1810" s="24" t="s">
        <v>6767</v>
      </c>
      <c r="I1810" s="22"/>
      <c r="J1810" s="22"/>
      <c r="K1810" s="24"/>
      <c r="L1810" s="24" t="s">
        <v>6765</v>
      </c>
      <c r="M1810" s="25" t="s">
        <v>6766</v>
      </c>
      <c r="N1810" s="22"/>
      <c r="O1810" s="22" t="s">
        <v>6763</v>
      </c>
      <c r="P1810" s="22" t="str">
        <f>HYPERLINK("https://ceds.ed.gov/cedselementdetails.aspx?termid=21255")</f>
        <v>https://ceds.ed.gov/cedselementdetails.aspx?termid=21255</v>
      </c>
      <c r="Q1810" s="22">
        <v>59111</v>
      </c>
    </row>
    <row r="1811" spans="1:17" ht="201.6" x14ac:dyDescent="0.3">
      <c r="A1811" s="22" t="s">
        <v>7779</v>
      </c>
      <c r="B1811" s="22" t="s">
        <v>7827</v>
      </c>
      <c r="C1811" s="22" t="s">
        <v>7742</v>
      </c>
      <c r="D1811" s="22" t="s">
        <v>7710</v>
      </c>
      <c r="E1811" s="22" t="s">
        <v>360</v>
      </c>
      <c r="F1811" s="24" t="s">
        <v>361</v>
      </c>
      <c r="G1811" s="26" t="s">
        <v>8601</v>
      </c>
      <c r="H1811" s="24" t="s">
        <v>365</v>
      </c>
      <c r="I1811" s="22"/>
      <c r="J1811" s="22"/>
      <c r="K1811" s="24"/>
      <c r="L1811" s="24" t="s">
        <v>7958</v>
      </c>
      <c r="M1811" s="25" t="s">
        <v>362</v>
      </c>
      <c r="N1811" s="22" t="s">
        <v>363</v>
      </c>
      <c r="O1811" s="22" t="s">
        <v>364</v>
      </c>
      <c r="P1811" s="22" t="str">
        <f>HYPERLINK("https://ceds.ed.gov/cedselementdetails.aspx?termid=21655")</f>
        <v>https://ceds.ed.gov/cedselementdetails.aspx?termid=21655</v>
      </c>
      <c r="Q1811" s="22">
        <v>59143</v>
      </c>
    </row>
    <row r="1812" spans="1:17" ht="201.6" x14ac:dyDescent="0.3">
      <c r="A1812" s="22" t="s">
        <v>7779</v>
      </c>
      <c r="B1812" s="22" t="s">
        <v>7827</v>
      </c>
      <c r="C1812" s="22" t="s">
        <v>7742</v>
      </c>
      <c r="D1812" s="22" t="s">
        <v>7710</v>
      </c>
      <c r="E1812" s="22" t="s">
        <v>400</v>
      </c>
      <c r="F1812" s="24" t="s">
        <v>401</v>
      </c>
      <c r="G1812" s="26" t="s">
        <v>8601</v>
      </c>
      <c r="H1812" s="24" t="s">
        <v>365</v>
      </c>
      <c r="I1812" s="22"/>
      <c r="J1812" s="22"/>
      <c r="K1812" s="24"/>
      <c r="L1812" s="24" t="s">
        <v>7958</v>
      </c>
      <c r="M1812" s="25" t="s">
        <v>402</v>
      </c>
      <c r="N1812" s="22" t="s">
        <v>403</v>
      </c>
      <c r="O1812" s="22" t="s">
        <v>400</v>
      </c>
      <c r="P1812" s="22" t="str">
        <f>HYPERLINK("https://ceds.ed.gov/cedselementdetails.aspx?termid=21656")</f>
        <v>https://ceds.ed.gov/cedselementdetails.aspx?termid=21656</v>
      </c>
      <c r="Q1812" s="22">
        <v>59144</v>
      </c>
    </row>
    <row r="1813" spans="1:17" ht="201.6" x14ac:dyDescent="0.3">
      <c r="A1813" s="22" t="s">
        <v>7779</v>
      </c>
      <c r="B1813" s="22" t="s">
        <v>7827</v>
      </c>
      <c r="C1813" s="22" t="s">
        <v>7742</v>
      </c>
      <c r="D1813" s="22" t="s">
        <v>7710</v>
      </c>
      <c r="E1813" s="22" t="s">
        <v>1554</v>
      </c>
      <c r="F1813" s="24" t="s">
        <v>1555</v>
      </c>
      <c r="G1813" s="26" t="s">
        <v>8601</v>
      </c>
      <c r="H1813" s="24" t="s">
        <v>365</v>
      </c>
      <c r="I1813" s="22"/>
      <c r="J1813" s="22"/>
      <c r="K1813" s="24"/>
      <c r="L1813" s="24" t="s">
        <v>7958</v>
      </c>
      <c r="M1813" s="25" t="s">
        <v>1556</v>
      </c>
      <c r="N1813" s="22" t="s">
        <v>1557</v>
      </c>
      <c r="O1813" s="22" t="s">
        <v>1558</v>
      </c>
      <c r="P1813" s="22" t="str">
        <f>HYPERLINK("https://ceds.ed.gov/cedselementdetails.aspx?termid=21657")</f>
        <v>https://ceds.ed.gov/cedselementdetails.aspx?termid=21657</v>
      </c>
      <c r="Q1813" s="22">
        <v>59145</v>
      </c>
    </row>
    <row r="1814" spans="1:17" ht="201.6" x14ac:dyDescent="0.3">
      <c r="A1814" s="22" t="s">
        <v>7779</v>
      </c>
      <c r="B1814" s="22" t="s">
        <v>7827</v>
      </c>
      <c r="C1814" s="22" t="s">
        <v>7742</v>
      </c>
      <c r="D1814" s="22" t="s">
        <v>7710</v>
      </c>
      <c r="E1814" s="22" t="s">
        <v>5548</v>
      </c>
      <c r="F1814" s="24" t="s">
        <v>5549</v>
      </c>
      <c r="G1814" s="26" t="s">
        <v>8601</v>
      </c>
      <c r="H1814" s="24" t="s">
        <v>365</v>
      </c>
      <c r="I1814" s="22"/>
      <c r="J1814" s="22"/>
      <c r="K1814" s="24"/>
      <c r="L1814" s="24" t="s">
        <v>7958</v>
      </c>
      <c r="M1814" s="25" t="s">
        <v>5550</v>
      </c>
      <c r="N1814" s="22" t="s">
        <v>5551</v>
      </c>
      <c r="O1814" s="22" t="s">
        <v>5552</v>
      </c>
      <c r="P1814" s="22" t="str">
        <f>HYPERLINK("https://ceds.ed.gov/cedselementdetails.aspx?termid=21658")</f>
        <v>https://ceds.ed.gov/cedselementdetails.aspx?termid=21658</v>
      </c>
      <c r="Q1814" s="22">
        <v>59146</v>
      </c>
    </row>
    <row r="1815" spans="1:17" ht="201.6" x14ac:dyDescent="0.3">
      <c r="A1815" s="22" t="s">
        <v>7779</v>
      </c>
      <c r="B1815" s="22" t="s">
        <v>7827</v>
      </c>
      <c r="C1815" s="22" t="s">
        <v>7742</v>
      </c>
      <c r="D1815" s="22" t="s">
        <v>7710</v>
      </c>
      <c r="E1815" s="22" t="s">
        <v>7390</v>
      </c>
      <c r="F1815" s="24" t="s">
        <v>7391</v>
      </c>
      <c r="G1815" s="26" t="s">
        <v>8601</v>
      </c>
      <c r="H1815" s="24" t="s">
        <v>365</v>
      </c>
      <c r="I1815" s="22"/>
      <c r="J1815" s="22"/>
      <c r="K1815" s="24"/>
      <c r="L1815" s="24" t="s">
        <v>7958</v>
      </c>
      <c r="M1815" s="25" t="s">
        <v>7392</v>
      </c>
      <c r="N1815" s="22" t="s">
        <v>7393</v>
      </c>
      <c r="O1815" s="22" t="s">
        <v>7390</v>
      </c>
      <c r="P1815" s="22" t="str">
        <f>HYPERLINK("https://ceds.ed.gov/cedselementdetails.aspx?termid=21659")</f>
        <v>https://ceds.ed.gov/cedselementdetails.aspx?termid=21659</v>
      </c>
      <c r="Q1815" s="22">
        <v>59147</v>
      </c>
    </row>
    <row r="1816" spans="1:17" ht="201.6" x14ac:dyDescent="0.3">
      <c r="A1816" s="22" t="s">
        <v>7779</v>
      </c>
      <c r="B1816" s="22" t="s">
        <v>7827</v>
      </c>
      <c r="C1816" s="22" t="s">
        <v>7742</v>
      </c>
      <c r="D1816" s="22" t="s">
        <v>7710</v>
      </c>
      <c r="E1816" s="22" t="s">
        <v>4347</v>
      </c>
      <c r="F1816" s="24" t="s">
        <v>4348</v>
      </c>
      <c r="G1816" s="26" t="s">
        <v>8601</v>
      </c>
      <c r="H1816" s="24" t="s">
        <v>365</v>
      </c>
      <c r="I1816" s="22"/>
      <c r="J1816" s="22"/>
      <c r="K1816" s="24"/>
      <c r="L1816" s="24" t="s">
        <v>7958</v>
      </c>
      <c r="M1816" s="25" t="s">
        <v>4349</v>
      </c>
      <c r="N1816" s="22"/>
      <c r="O1816" s="22" t="s">
        <v>4350</v>
      </c>
      <c r="P1816" s="22" t="str">
        <f>HYPERLINK("https://ceds.ed.gov/cedselementdetails.aspx?termid=21144")</f>
        <v>https://ceds.ed.gov/cedselementdetails.aspx?termid=21144</v>
      </c>
      <c r="Q1816" s="22">
        <v>59092</v>
      </c>
    </row>
    <row r="1817" spans="1:17" ht="72" x14ac:dyDescent="0.3">
      <c r="A1817" s="22" t="s">
        <v>7779</v>
      </c>
      <c r="B1817" s="22" t="s">
        <v>7827</v>
      </c>
      <c r="C1817" s="22" t="s">
        <v>7742</v>
      </c>
      <c r="D1817" s="22" t="s">
        <v>7710</v>
      </c>
      <c r="E1817" s="22" t="s">
        <v>3090</v>
      </c>
      <c r="F1817" s="24" t="s">
        <v>3091</v>
      </c>
      <c r="G1817" s="26" t="s">
        <v>22</v>
      </c>
      <c r="H1817" s="22"/>
      <c r="I1817" s="22"/>
      <c r="J1817" s="22"/>
      <c r="K1817" s="24"/>
      <c r="L1817" s="24" t="s">
        <v>3092</v>
      </c>
      <c r="M1817" s="25" t="s">
        <v>3093</v>
      </c>
      <c r="N1817" s="22"/>
      <c r="O1817" s="22" t="s">
        <v>3094</v>
      </c>
      <c r="P1817" s="22" t="str">
        <f>HYPERLINK("https://ceds.ed.gov/cedselementdetails.aspx?termid=21974")</f>
        <v>https://ceds.ed.gov/cedselementdetails.aspx?termid=21974</v>
      </c>
      <c r="Q1817" s="22">
        <v>63170</v>
      </c>
    </row>
    <row r="1818" spans="1:17" ht="409.6" x14ac:dyDescent="0.3">
      <c r="A1818" s="22" t="s">
        <v>7779</v>
      </c>
      <c r="B1818" s="22" t="s">
        <v>7827</v>
      </c>
      <c r="C1818" s="22" t="s">
        <v>7742</v>
      </c>
      <c r="D1818" s="22" t="s">
        <v>7710</v>
      </c>
      <c r="E1818" s="22" t="s">
        <v>2531</v>
      </c>
      <c r="F1818" s="24" t="s">
        <v>2532</v>
      </c>
      <c r="G1818" s="26" t="s">
        <v>8743</v>
      </c>
      <c r="H1818" s="24" t="s">
        <v>2535</v>
      </c>
      <c r="I1818" s="22"/>
      <c r="J1818" s="22"/>
      <c r="K1818" s="24"/>
      <c r="L1818" s="24" t="s">
        <v>8055</v>
      </c>
      <c r="M1818" s="25" t="s">
        <v>2533</v>
      </c>
      <c r="N1818" s="22"/>
      <c r="O1818" s="22" t="s">
        <v>2534</v>
      </c>
      <c r="P1818" s="22" t="str">
        <f>HYPERLINK("https://ceds.ed.gov/cedselementdetails.aspx?termid=21051")</f>
        <v>https://ceds.ed.gov/cedselementdetails.aspx?termid=21051</v>
      </c>
      <c r="Q1818" s="22">
        <v>63323</v>
      </c>
    </row>
    <row r="1819" spans="1:17" ht="100.8" x14ac:dyDescent="0.3">
      <c r="A1819" s="22" t="s">
        <v>7779</v>
      </c>
      <c r="B1819" s="22" t="s">
        <v>7827</v>
      </c>
      <c r="C1819" s="22" t="s">
        <v>7742</v>
      </c>
      <c r="D1819" s="22" t="s">
        <v>7710</v>
      </c>
      <c r="E1819" s="22" t="s">
        <v>5486</v>
      </c>
      <c r="F1819" s="24" t="s">
        <v>8254</v>
      </c>
      <c r="G1819" s="26" t="s">
        <v>9036</v>
      </c>
      <c r="H1819" s="22"/>
      <c r="I1819" s="22"/>
      <c r="J1819" s="22"/>
      <c r="K1819" s="24"/>
      <c r="L1819" s="24"/>
      <c r="M1819" s="25" t="s">
        <v>5487</v>
      </c>
      <c r="N1819" s="22"/>
      <c r="O1819" s="22" t="s">
        <v>5488</v>
      </c>
      <c r="P1819" s="22" t="str">
        <f>HYPERLINK("https://ceds.ed.gov/cedselementdetails.aspx?termid=22621")</f>
        <v>https://ceds.ed.gov/cedselementdetails.aspx?termid=22621</v>
      </c>
      <c r="Q1819" s="22">
        <v>63324</v>
      </c>
    </row>
    <row r="1820" spans="1:17" ht="57.6" x14ac:dyDescent="0.3">
      <c r="A1820" s="22" t="s">
        <v>7779</v>
      </c>
      <c r="B1820" s="22" t="s">
        <v>7827</v>
      </c>
      <c r="C1820" s="22" t="s">
        <v>7742</v>
      </c>
      <c r="D1820" s="22" t="s">
        <v>7710</v>
      </c>
      <c r="E1820" s="22" t="s">
        <v>7288</v>
      </c>
      <c r="F1820" s="24" t="s">
        <v>7289</v>
      </c>
      <c r="G1820" s="23" t="s">
        <v>7423</v>
      </c>
      <c r="H1820" s="22"/>
      <c r="I1820" s="22"/>
      <c r="J1820" s="22"/>
      <c r="K1820" s="24"/>
      <c r="L1820" s="24"/>
      <c r="M1820" s="25" t="s">
        <v>7290</v>
      </c>
      <c r="N1820" s="22"/>
      <c r="O1820" s="22" t="s">
        <v>7291</v>
      </c>
      <c r="P1820" s="22" t="str">
        <f>HYPERLINK("https://ceds.ed.gov/cedselementdetails.aspx?termid=22638")</f>
        <v>https://ceds.ed.gov/cedselementdetails.aspx?termid=22638</v>
      </c>
      <c r="Q1820" s="22">
        <v>63325</v>
      </c>
    </row>
    <row r="1821" spans="1:17" ht="57.6" x14ac:dyDescent="0.3">
      <c r="A1821" s="22" t="s">
        <v>7779</v>
      </c>
      <c r="B1821" s="22" t="s">
        <v>7827</v>
      </c>
      <c r="C1821" s="22" t="s">
        <v>7742</v>
      </c>
      <c r="D1821" s="22" t="s">
        <v>7710</v>
      </c>
      <c r="E1821" s="22" t="s">
        <v>7528</v>
      </c>
      <c r="F1821" s="24" t="s">
        <v>7529</v>
      </c>
      <c r="G1821" s="26" t="s">
        <v>22</v>
      </c>
      <c r="H1821" s="22"/>
      <c r="I1821" s="22"/>
      <c r="J1821" s="22"/>
      <c r="K1821" s="24"/>
      <c r="L1821" s="24"/>
      <c r="M1821" s="25" t="s">
        <v>7530</v>
      </c>
      <c r="N1821" s="22"/>
      <c r="O1821" s="22" t="s">
        <v>7531</v>
      </c>
      <c r="P1821" s="22" t="str">
        <f>HYPERLINK("https://ceds.ed.gov/cedselementdetails.aspx?termid=22932")</f>
        <v>https://ceds.ed.gov/cedselementdetails.aspx?termid=22932</v>
      </c>
      <c r="Q1821" s="22">
        <v>63534</v>
      </c>
    </row>
    <row r="1822" spans="1:17" ht="115.2" x14ac:dyDescent="0.3">
      <c r="A1822" s="22" t="s">
        <v>7779</v>
      </c>
      <c r="B1822" s="22" t="s">
        <v>7827</v>
      </c>
      <c r="C1822" s="22" t="s">
        <v>7742</v>
      </c>
      <c r="D1822" s="22" t="s">
        <v>7710</v>
      </c>
      <c r="E1822" s="22" t="s">
        <v>7532</v>
      </c>
      <c r="F1822" s="24" t="s">
        <v>7533</v>
      </c>
      <c r="G1822" s="26" t="s">
        <v>3039</v>
      </c>
      <c r="H1822" s="22"/>
      <c r="I1822" s="22"/>
      <c r="J1822" s="22"/>
      <c r="K1822" s="24"/>
      <c r="L1822" s="24"/>
      <c r="M1822" s="25" t="s">
        <v>7534</v>
      </c>
      <c r="N1822" s="22"/>
      <c r="O1822" s="22" t="s">
        <v>7535</v>
      </c>
      <c r="P1822" s="22" t="str">
        <f>HYPERLINK("https://ceds.ed.gov/cedselementdetails.aspx?termid=22933")</f>
        <v>https://ceds.ed.gov/cedselementdetails.aspx?termid=22933</v>
      </c>
      <c r="Q1822" s="22">
        <v>63535</v>
      </c>
    </row>
    <row r="1823" spans="1:17" ht="144" x14ac:dyDescent="0.3">
      <c r="A1823" s="22" t="s">
        <v>7779</v>
      </c>
      <c r="B1823" s="22" t="s">
        <v>7827</v>
      </c>
      <c r="C1823" s="22" t="s">
        <v>7742</v>
      </c>
      <c r="D1823" s="22" t="s">
        <v>7710</v>
      </c>
      <c r="E1823" s="22" t="s">
        <v>7640</v>
      </c>
      <c r="F1823" s="24" t="s">
        <v>7641</v>
      </c>
      <c r="G1823" s="26" t="s">
        <v>9121</v>
      </c>
      <c r="H1823" s="22"/>
      <c r="I1823" s="22"/>
      <c r="J1823" s="22"/>
      <c r="K1823" s="24"/>
      <c r="L1823" s="24" t="s">
        <v>7642</v>
      </c>
      <c r="M1823" s="25" t="s">
        <v>7643</v>
      </c>
      <c r="N1823" s="22"/>
      <c r="O1823" s="22" t="s">
        <v>7640</v>
      </c>
      <c r="P1823" s="22" t="str">
        <f>HYPERLINK("https://ceds.ed.gov/cedselementdetails.aspx?termid=22955")</f>
        <v>https://ceds.ed.gov/cedselementdetails.aspx?termid=22955</v>
      </c>
      <c r="Q1823" s="22">
        <v>63536</v>
      </c>
    </row>
    <row r="1824" spans="1:17" ht="172.8" x14ac:dyDescent="0.3">
      <c r="A1824" s="22" t="s">
        <v>7779</v>
      </c>
      <c r="B1824" s="22" t="s">
        <v>7827</v>
      </c>
      <c r="C1824" s="22" t="s">
        <v>7828</v>
      </c>
      <c r="D1824" s="22" t="s">
        <v>7710</v>
      </c>
      <c r="E1824" s="22" t="s">
        <v>5343</v>
      </c>
      <c r="F1824" s="24" t="s">
        <v>5344</v>
      </c>
      <c r="G1824" s="23" t="s">
        <v>32</v>
      </c>
      <c r="H1824" s="24" t="s">
        <v>5342</v>
      </c>
      <c r="I1824" s="22" t="s">
        <v>172</v>
      </c>
      <c r="J1824" s="22" t="s">
        <v>132</v>
      </c>
      <c r="K1824" s="24" t="s">
        <v>7946</v>
      </c>
      <c r="L1824" s="24" t="s">
        <v>8043</v>
      </c>
      <c r="M1824" s="25" t="s">
        <v>5345</v>
      </c>
      <c r="N1824" s="22" t="s">
        <v>5346</v>
      </c>
      <c r="O1824" s="22" t="s">
        <v>5347</v>
      </c>
      <c r="P1824" s="22" t="str">
        <f>HYPERLINK("https://ceds.ed.gov/cedselementdetails.aspx?termid=21153")</f>
        <v>https://ceds.ed.gov/cedselementdetails.aspx?termid=21153</v>
      </c>
      <c r="Q1824" s="22">
        <v>59093</v>
      </c>
    </row>
    <row r="1825" spans="1:17" ht="172.8" x14ac:dyDescent="0.3">
      <c r="A1825" s="22" t="s">
        <v>7779</v>
      </c>
      <c r="B1825" s="22" t="s">
        <v>7827</v>
      </c>
      <c r="C1825" s="22" t="s">
        <v>7828</v>
      </c>
      <c r="D1825" s="22" t="s">
        <v>7710</v>
      </c>
      <c r="E1825" s="22" t="s">
        <v>5337</v>
      </c>
      <c r="F1825" s="24" t="s">
        <v>5338</v>
      </c>
      <c r="G1825" s="26" t="s">
        <v>8472</v>
      </c>
      <c r="H1825" s="24" t="s">
        <v>5342</v>
      </c>
      <c r="I1825" s="22" t="s">
        <v>172</v>
      </c>
      <c r="J1825" s="22"/>
      <c r="K1825" s="24" t="s">
        <v>7946</v>
      </c>
      <c r="L1825" s="24"/>
      <c r="M1825" s="25" t="s">
        <v>5339</v>
      </c>
      <c r="N1825" s="22" t="s">
        <v>5340</v>
      </c>
      <c r="O1825" s="22" t="s">
        <v>5341</v>
      </c>
      <c r="P1825" s="22" t="str">
        <f>HYPERLINK("https://ceds.ed.gov/cedselementdetails.aspx?termid=21159")</f>
        <v>https://ceds.ed.gov/cedselementdetails.aspx?termid=21159</v>
      </c>
      <c r="Q1825" s="22">
        <v>59096</v>
      </c>
    </row>
    <row r="1826" spans="1:17" ht="172.8" x14ac:dyDescent="0.3">
      <c r="A1826" s="22" t="s">
        <v>7779</v>
      </c>
      <c r="B1826" s="22" t="s">
        <v>7827</v>
      </c>
      <c r="C1826" s="22" t="s">
        <v>7828</v>
      </c>
      <c r="D1826" s="22" t="s">
        <v>7710</v>
      </c>
      <c r="E1826" s="22" t="s">
        <v>6625</v>
      </c>
      <c r="F1826" s="24" t="s">
        <v>280</v>
      </c>
      <c r="G1826" s="23" t="s">
        <v>32</v>
      </c>
      <c r="H1826" s="24" t="s">
        <v>6624</v>
      </c>
      <c r="I1826" s="22" t="s">
        <v>172</v>
      </c>
      <c r="J1826" s="22" t="s">
        <v>132</v>
      </c>
      <c r="K1826" s="24" t="s">
        <v>7946</v>
      </c>
      <c r="L1826" s="24" t="s">
        <v>7945</v>
      </c>
      <c r="M1826" s="25" t="s">
        <v>6626</v>
      </c>
      <c r="N1826" s="22"/>
      <c r="O1826" s="22" t="s">
        <v>6627</v>
      </c>
      <c r="P1826" s="22" t="str">
        <f>HYPERLINK("https://ceds.ed.gov/cedselementdetails.aspx?termid=21155")</f>
        <v>https://ceds.ed.gov/cedselementdetails.aspx?termid=21155</v>
      </c>
      <c r="Q1826" s="22">
        <v>59094</v>
      </c>
    </row>
    <row r="1827" spans="1:17" ht="187.2" x14ac:dyDescent="0.3">
      <c r="A1827" s="22" t="s">
        <v>7779</v>
      </c>
      <c r="B1827" s="22" t="s">
        <v>7827</v>
      </c>
      <c r="C1827" s="22" t="s">
        <v>7828</v>
      </c>
      <c r="D1827" s="22" t="s">
        <v>7710</v>
      </c>
      <c r="E1827" s="22" t="s">
        <v>6621</v>
      </c>
      <c r="F1827" s="24" t="s">
        <v>275</v>
      </c>
      <c r="G1827" s="26" t="s">
        <v>8521</v>
      </c>
      <c r="H1827" s="24" t="s">
        <v>6624</v>
      </c>
      <c r="I1827" s="22" t="s">
        <v>172</v>
      </c>
      <c r="J1827" s="22"/>
      <c r="K1827" s="24" t="s">
        <v>7946</v>
      </c>
      <c r="L1827" s="24"/>
      <c r="M1827" s="25" t="s">
        <v>6622</v>
      </c>
      <c r="N1827" s="22"/>
      <c r="O1827" s="22" t="s">
        <v>6623</v>
      </c>
      <c r="P1827" s="22" t="str">
        <f>HYPERLINK("https://ceds.ed.gov/cedselementdetails.aspx?termid=21161")</f>
        <v>https://ceds.ed.gov/cedselementdetails.aspx?termid=21161</v>
      </c>
      <c r="Q1827" s="22">
        <v>59097</v>
      </c>
    </row>
    <row r="1828" spans="1:17" ht="28.8" x14ac:dyDescent="0.3">
      <c r="A1828" s="22" t="s">
        <v>7779</v>
      </c>
      <c r="B1828" s="22" t="s">
        <v>7827</v>
      </c>
      <c r="C1828" s="22" t="s">
        <v>7828</v>
      </c>
      <c r="D1828" s="22" t="s">
        <v>7710</v>
      </c>
      <c r="E1828" s="22" t="s">
        <v>1443</v>
      </c>
      <c r="F1828" s="24" t="s">
        <v>1444</v>
      </c>
      <c r="G1828" s="23" t="s">
        <v>32</v>
      </c>
      <c r="H1828" s="22"/>
      <c r="I1828" s="22" t="s">
        <v>172</v>
      </c>
      <c r="J1828" s="22" t="s">
        <v>118</v>
      </c>
      <c r="K1828" s="24" t="s">
        <v>7946</v>
      </c>
      <c r="L1828" s="24"/>
      <c r="M1828" s="25" t="s">
        <v>1445</v>
      </c>
      <c r="N1828" s="22"/>
      <c r="O1828" s="22" t="s">
        <v>1446</v>
      </c>
      <c r="P1828" s="22" t="str">
        <f>HYPERLINK("https://ceds.ed.gov/cedselementdetails.aspx?termid=21517")</f>
        <v>https://ceds.ed.gov/cedselementdetails.aspx?termid=21517</v>
      </c>
      <c r="Q1828" s="22">
        <v>59126</v>
      </c>
    </row>
    <row r="1829" spans="1:17" ht="57.6" x14ac:dyDescent="0.3">
      <c r="A1829" s="22" t="s">
        <v>7779</v>
      </c>
      <c r="B1829" s="22" t="s">
        <v>7827</v>
      </c>
      <c r="C1829" s="22" t="s">
        <v>7828</v>
      </c>
      <c r="D1829" s="22" t="s">
        <v>7710</v>
      </c>
      <c r="E1829" s="22" t="s">
        <v>1439</v>
      </c>
      <c r="F1829" s="24" t="s">
        <v>1440</v>
      </c>
      <c r="G1829" s="23" t="s">
        <v>32</v>
      </c>
      <c r="H1829" s="22"/>
      <c r="I1829" s="22" t="s">
        <v>172</v>
      </c>
      <c r="J1829" s="22" t="s">
        <v>118</v>
      </c>
      <c r="K1829" s="24" t="s">
        <v>7946</v>
      </c>
      <c r="L1829" s="24" t="s">
        <v>143</v>
      </c>
      <c r="M1829" s="25" t="s">
        <v>1441</v>
      </c>
      <c r="N1829" s="22"/>
      <c r="O1829" s="22" t="s">
        <v>1442</v>
      </c>
      <c r="P1829" s="22" t="str">
        <f>HYPERLINK("https://ceds.ed.gov/cedselementdetails.aspx?termid=21518")</f>
        <v>https://ceds.ed.gov/cedselementdetails.aspx?termid=21518</v>
      </c>
      <c r="Q1829" s="22">
        <v>59127</v>
      </c>
    </row>
    <row r="1830" spans="1:17" ht="28.8" x14ac:dyDescent="0.3">
      <c r="A1830" s="22" t="s">
        <v>7779</v>
      </c>
      <c r="B1830" s="22" t="s">
        <v>7827</v>
      </c>
      <c r="C1830" s="22" t="s">
        <v>7828</v>
      </c>
      <c r="D1830" s="22" t="s">
        <v>7710</v>
      </c>
      <c r="E1830" s="22" t="s">
        <v>7126</v>
      </c>
      <c r="F1830" s="24" t="s">
        <v>7127</v>
      </c>
      <c r="G1830" s="23" t="s">
        <v>32</v>
      </c>
      <c r="H1830" s="22" t="s">
        <v>7101</v>
      </c>
      <c r="I1830" s="22" t="s">
        <v>172</v>
      </c>
      <c r="J1830" s="22" t="s">
        <v>118</v>
      </c>
      <c r="K1830" s="24" t="s">
        <v>7946</v>
      </c>
      <c r="L1830" s="24"/>
      <c r="M1830" s="25" t="s">
        <v>7128</v>
      </c>
      <c r="N1830" s="22"/>
      <c r="O1830" s="22" t="s">
        <v>7129</v>
      </c>
      <c r="P1830" s="22" t="str">
        <f>HYPERLINK("https://ceds.ed.gov/cedselementdetails.aspx?termid=21647")</f>
        <v>https://ceds.ed.gov/cedselementdetails.aspx?termid=21647</v>
      </c>
      <c r="Q1830" s="22">
        <v>59141</v>
      </c>
    </row>
    <row r="1831" spans="1:17" ht="57.6" x14ac:dyDescent="0.3">
      <c r="A1831" s="22" t="s">
        <v>7779</v>
      </c>
      <c r="B1831" s="22" t="s">
        <v>7827</v>
      </c>
      <c r="C1831" s="22" t="s">
        <v>7828</v>
      </c>
      <c r="D1831" s="22" t="s">
        <v>7710</v>
      </c>
      <c r="E1831" s="22" t="s">
        <v>7118</v>
      </c>
      <c r="F1831" s="24" t="s">
        <v>7119</v>
      </c>
      <c r="G1831" s="23" t="s">
        <v>32</v>
      </c>
      <c r="H1831" s="22" t="s">
        <v>7101</v>
      </c>
      <c r="I1831" s="22" t="s">
        <v>172</v>
      </c>
      <c r="J1831" s="22" t="s">
        <v>118</v>
      </c>
      <c r="K1831" s="24" t="s">
        <v>7946</v>
      </c>
      <c r="L1831" s="24" t="s">
        <v>7120</v>
      </c>
      <c r="M1831" s="25" t="s">
        <v>7121</v>
      </c>
      <c r="N1831" s="22"/>
      <c r="O1831" s="22" t="s">
        <v>7122</v>
      </c>
      <c r="P1831" s="22" t="str">
        <f>HYPERLINK("https://ceds.ed.gov/cedselementdetails.aspx?termid=21648")</f>
        <v>https://ceds.ed.gov/cedselementdetails.aspx?termid=21648</v>
      </c>
      <c r="Q1831" s="22">
        <v>59142</v>
      </c>
    </row>
    <row r="1832" spans="1:17" ht="57.6" x14ac:dyDescent="0.3">
      <c r="A1832" s="22" t="s">
        <v>7779</v>
      </c>
      <c r="B1832" s="22" t="s">
        <v>7827</v>
      </c>
      <c r="C1832" s="22" t="s">
        <v>7828</v>
      </c>
      <c r="D1832" s="22" t="s">
        <v>7710</v>
      </c>
      <c r="E1832" s="22" t="s">
        <v>6900</v>
      </c>
      <c r="F1832" s="24" t="s">
        <v>6901</v>
      </c>
      <c r="G1832" s="23" t="s">
        <v>32</v>
      </c>
      <c r="H1832" s="24" t="s">
        <v>6905</v>
      </c>
      <c r="I1832" s="22" t="s">
        <v>172</v>
      </c>
      <c r="J1832" s="22" t="s">
        <v>4141</v>
      </c>
      <c r="K1832" s="24" t="s">
        <v>7946</v>
      </c>
      <c r="L1832" s="24"/>
      <c r="M1832" s="25" t="s">
        <v>6902</v>
      </c>
      <c r="N1832" s="22" t="s">
        <v>6903</v>
      </c>
      <c r="O1832" s="22" t="s">
        <v>6904</v>
      </c>
      <c r="P1832" s="22" t="str">
        <f>HYPERLINK("https://ceds.ed.gov/cedselementdetails.aspx?termid=21118")</f>
        <v>https://ceds.ed.gov/cedselementdetails.aspx?termid=21118</v>
      </c>
      <c r="Q1832" s="22">
        <v>59086</v>
      </c>
    </row>
    <row r="1833" spans="1:17" ht="43.2" x14ac:dyDescent="0.3">
      <c r="A1833" s="22" t="s">
        <v>7779</v>
      </c>
      <c r="B1833" s="22" t="s">
        <v>7827</v>
      </c>
      <c r="C1833" s="22" t="s">
        <v>7828</v>
      </c>
      <c r="D1833" s="22" t="s">
        <v>7710</v>
      </c>
      <c r="E1833" s="22" t="s">
        <v>5952</v>
      </c>
      <c r="F1833" s="24" t="s">
        <v>7421</v>
      </c>
      <c r="G1833" s="26" t="s">
        <v>22</v>
      </c>
      <c r="H1833" s="22"/>
      <c r="I1833" s="22"/>
      <c r="J1833" s="22"/>
      <c r="K1833" s="24"/>
      <c r="L1833" s="24"/>
      <c r="M1833" s="25" t="s">
        <v>5953</v>
      </c>
      <c r="N1833" s="22"/>
      <c r="O1833" s="22" t="s">
        <v>5954</v>
      </c>
      <c r="P1833" s="22" t="str">
        <f>HYPERLINK("https://ceds.ed.gov/cedselementdetails.aspx?termid=21516")</f>
        <v>https://ceds.ed.gov/cedselementdetails.aspx?termid=21516</v>
      </c>
      <c r="Q1833" s="22">
        <v>59125</v>
      </c>
    </row>
    <row r="1834" spans="1:17" ht="409.6" x14ac:dyDescent="0.3">
      <c r="A1834" s="22" t="s">
        <v>7779</v>
      </c>
      <c r="B1834" s="22" t="s">
        <v>7827</v>
      </c>
      <c r="C1834" s="22" t="s">
        <v>7828</v>
      </c>
      <c r="D1834" s="22" t="s">
        <v>7710</v>
      </c>
      <c r="E1834" s="22" t="s">
        <v>4949</v>
      </c>
      <c r="F1834" s="24" t="s">
        <v>4950</v>
      </c>
      <c r="G1834" s="26" t="s">
        <v>8468</v>
      </c>
      <c r="H1834" s="24" t="s">
        <v>4953</v>
      </c>
      <c r="I1834" s="22" t="s">
        <v>172</v>
      </c>
      <c r="J1834" s="22"/>
      <c r="K1834" s="24" t="s">
        <v>7946</v>
      </c>
      <c r="L1834" s="24"/>
      <c r="M1834" s="25" t="s">
        <v>4951</v>
      </c>
      <c r="N1834" s="22"/>
      <c r="O1834" s="22" t="s">
        <v>4952</v>
      </c>
      <c r="P1834" s="22" t="str">
        <f>HYPERLINK("https://ceds.ed.gov/cedselementdetails.aspx?termid=21087")</f>
        <v>https://ceds.ed.gov/cedselementdetails.aspx?termid=21087</v>
      </c>
      <c r="Q1834" s="22">
        <v>59080</v>
      </c>
    </row>
    <row r="1835" spans="1:17" ht="244.8" x14ac:dyDescent="0.3">
      <c r="A1835" s="22" t="s">
        <v>7779</v>
      </c>
      <c r="B1835" s="22" t="s">
        <v>7827</v>
      </c>
      <c r="C1835" s="22" t="s">
        <v>7828</v>
      </c>
      <c r="D1835" s="22" t="s">
        <v>7710</v>
      </c>
      <c r="E1835" s="22" t="s">
        <v>2104</v>
      </c>
      <c r="F1835" s="24" t="s">
        <v>2105</v>
      </c>
      <c r="G1835" s="26" t="s">
        <v>8411</v>
      </c>
      <c r="H1835" s="22"/>
      <c r="I1835" s="22" t="s">
        <v>172</v>
      </c>
      <c r="J1835" s="22"/>
      <c r="K1835" s="24" t="s">
        <v>7946</v>
      </c>
      <c r="L1835" s="24"/>
      <c r="M1835" s="25" t="s">
        <v>2106</v>
      </c>
      <c r="N1835" s="22"/>
      <c r="O1835" s="22" t="s">
        <v>2107</v>
      </c>
      <c r="P1835" s="22" t="str">
        <f>HYPERLINK("https://ceds.ed.gov/cedselementdetails.aspx?termid=21615")</f>
        <v>https://ceds.ed.gov/cedselementdetails.aspx?termid=21615</v>
      </c>
      <c r="Q1835" s="22">
        <v>59138</v>
      </c>
    </row>
    <row r="1836" spans="1:17" ht="43.2" x14ac:dyDescent="0.3">
      <c r="A1836" s="22" t="s">
        <v>7779</v>
      </c>
      <c r="B1836" s="22" t="s">
        <v>7827</v>
      </c>
      <c r="C1836" s="22" t="s">
        <v>7828</v>
      </c>
      <c r="D1836" s="22" t="s">
        <v>7710</v>
      </c>
      <c r="E1836" s="22" t="s">
        <v>4939</v>
      </c>
      <c r="F1836" s="24" t="s">
        <v>4940</v>
      </c>
      <c r="G1836" s="26" t="s">
        <v>22</v>
      </c>
      <c r="H1836" s="22"/>
      <c r="I1836" s="22" t="s">
        <v>172</v>
      </c>
      <c r="J1836" s="22"/>
      <c r="K1836" s="24" t="s">
        <v>7946</v>
      </c>
      <c r="L1836" s="24"/>
      <c r="M1836" s="25" t="s">
        <v>4942</v>
      </c>
      <c r="N1836" s="22"/>
      <c r="O1836" s="22" t="s">
        <v>4943</v>
      </c>
      <c r="P1836" s="22" t="str">
        <f>HYPERLINK("https://ceds.ed.gov/cedselementdetails.aspx?termid=21519")</f>
        <v>https://ceds.ed.gov/cedselementdetails.aspx?termid=21519</v>
      </c>
      <c r="Q1836" s="22">
        <v>59128</v>
      </c>
    </row>
    <row r="1837" spans="1:17" ht="100.8" x14ac:dyDescent="0.3">
      <c r="A1837" s="22" t="s">
        <v>7779</v>
      </c>
      <c r="B1837" s="22" t="s">
        <v>7827</v>
      </c>
      <c r="C1837" s="22" t="s">
        <v>7828</v>
      </c>
      <c r="D1837" s="22" t="s">
        <v>7710</v>
      </c>
      <c r="E1837" s="22" t="s">
        <v>5464</v>
      </c>
      <c r="F1837" s="24" t="s">
        <v>5465</v>
      </c>
      <c r="G1837" s="26" t="s">
        <v>9033</v>
      </c>
      <c r="H1837" s="22" t="s">
        <v>226</v>
      </c>
      <c r="I1837" s="22"/>
      <c r="J1837" s="22"/>
      <c r="K1837" s="24"/>
      <c r="L1837" s="24" t="s">
        <v>5466</v>
      </c>
      <c r="M1837" s="25" t="s">
        <v>5467</v>
      </c>
      <c r="N1837" s="22" t="s">
        <v>5468</v>
      </c>
      <c r="O1837" s="22" t="s">
        <v>5469</v>
      </c>
      <c r="P1837" s="22" t="str">
        <f>HYPERLINK("https://ceds.ed.gov/cedselementdetails.aspx?termid=21188")</f>
        <v>https://ceds.ed.gov/cedselementdetails.aspx?termid=21188</v>
      </c>
      <c r="Q1837" s="22">
        <v>59101</v>
      </c>
    </row>
    <row r="1838" spans="1:17" ht="86.4" x14ac:dyDescent="0.3">
      <c r="A1838" s="22" t="s">
        <v>7779</v>
      </c>
      <c r="B1838" s="22" t="s">
        <v>7827</v>
      </c>
      <c r="C1838" s="22" t="s">
        <v>7828</v>
      </c>
      <c r="D1838" s="22" t="s">
        <v>7710</v>
      </c>
      <c r="E1838" s="22" t="s">
        <v>7196</v>
      </c>
      <c r="F1838" s="24" t="s">
        <v>7197</v>
      </c>
      <c r="G1838" s="26" t="s">
        <v>8551</v>
      </c>
      <c r="H1838" s="22" t="s">
        <v>226</v>
      </c>
      <c r="I1838" s="22" t="s">
        <v>172</v>
      </c>
      <c r="J1838" s="22"/>
      <c r="K1838" s="24" t="s">
        <v>7946</v>
      </c>
      <c r="L1838" s="24"/>
      <c r="M1838" s="25" t="s">
        <v>7198</v>
      </c>
      <c r="N1838" s="22"/>
      <c r="O1838" s="22" t="s">
        <v>7199</v>
      </c>
      <c r="P1838" s="22" t="str">
        <f>HYPERLINK("https://ceds.ed.gov/cedselementdetails.aspx?termid=21283")</f>
        <v>https://ceds.ed.gov/cedselementdetails.aspx?termid=21283</v>
      </c>
      <c r="Q1838" s="22">
        <v>59120</v>
      </c>
    </row>
    <row r="1839" spans="1:17" ht="57.6" x14ac:dyDescent="0.3">
      <c r="A1839" s="22" t="s">
        <v>7779</v>
      </c>
      <c r="B1839" s="22" t="s">
        <v>7827</v>
      </c>
      <c r="C1839" s="22" t="s">
        <v>7828</v>
      </c>
      <c r="D1839" s="22" t="s">
        <v>7710</v>
      </c>
      <c r="E1839" s="22" t="s">
        <v>6840</v>
      </c>
      <c r="F1839" s="24" t="s">
        <v>6841</v>
      </c>
      <c r="G1839" s="26" t="s">
        <v>22</v>
      </c>
      <c r="H1839" s="22" t="s">
        <v>226</v>
      </c>
      <c r="I1839" s="22" t="s">
        <v>172</v>
      </c>
      <c r="J1839" s="22"/>
      <c r="K1839" s="24" t="s">
        <v>7946</v>
      </c>
      <c r="L1839" s="24"/>
      <c r="M1839" s="25" t="s">
        <v>6842</v>
      </c>
      <c r="N1839" s="22"/>
      <c r="O1839" s="22" t="s">
        <v>6843</v>
      </c>
      <c r="P1839" s="22" t="str">
        <f>HYPERLINK("https://ceds.ed.gov/cedselementdetails.aspx?termid=21264")</f>
        <v>https://ceds.ed.gov/cedselementdetails.aspx?termid=21264</v>
      </c>
      <c r="Q1839" s="22">
        <v>59115</v>
      </c>
    </row>
    <row r="1840" spans="1:17" ht="43.2" x14ac:dyDescent="0.3">
      <c r="A1840" s="22" t="s">
        <v>7779</v>
      </c>
      <c r="B1840" s="22" t="s">
        <v>7827</v>
      </c>
      <c r="C1840" s="22" t="s">
        <v>7828</v>
      </c>
      <c r="D1840" s="22" t="s">
        <v>7710</v>
      </c>
      <c r="E1840" s="22" t="s">
        <v>6810</v>
      </c>
      <c r="F1840" s="24" t="s">
        <v>6811</v>
      </c>
      <c r="G1840" s="26" t="s">
        <v>8527</v>
      </c>
      <c r="H1840" s="22" t="s">
        <v>226</v>
      </c>
      <c r="I1840" s="22" t="s">
        <v>172</v>
      </c>
      <c r="J1840" s="22"/>
      <c r="K1840" s="24" t="s">
        <v>7946</v>
      </c>
      <c r="L1840" s="24"/>
      <c r="M1840" s="25" t="s">
        <v>6812</v>
      </c>
      <c r="N1840" s="22"/>
      <c r="O1840" s="22" t="s">
        <v>6813</v>
      </c>
      <c r="P1840" s="22" t="str">
        <f>HYPERLINK("https://ceds.ed.gov/cedselementdetails.aspx?termid=21556")</f>
        <v>https://ceds.ed.gov/cedselementdetails.aspx?termid=21556</v>
      </c>
      <c r="Q1840" s="22">
        <v>59133</v>
      </c>
    </row>
    <row r="1841" spans="1:17" ht="57.6" x14ac:dyDescent="0.3">
      <c r="A1841" s="22" t="s">
        <v>7779</v>
      </c>
      <c r="B1841" s="22" t="s">
        <v>7827</v>
      </c>
      <c r="C1841" s="22" t="s">
        <v>7828</v>
      </c>
      <c r="D1841" s="22" t="s">
        <v>7710</v>
      </c>
      <c r="E1841" s="22" t="s">
        <v>6823</v>
      </c>
      <c r="F1841" s="24" t="s">
        <v>6824</v>
      </c>
      <c r="G1841" s="26" t="s">
        <v>22</v>
      </c>
      <c r="H1841" s="22" t="s">
        <v>226</v>
      </c>
      <c r="I1841" s="22" t="s">
        <v>172</v>
      </c>
      <c r="J1841" s="22"/>
      <c r="K1841" s="24" t="s">
        <v>7946</v>
      </c>
      <c r="L1841" s="24"/>
      <c r="M1841" s="25" t="s">
        <v>6825</v>
      </c>
      <c r="N1841" s="22"/>
      <c r="O1841" s="22" t="s">
        <v>6826</v>
      </c>
      <c r="P1841" s="22" t="str">
        <f>HYPERLINK("https://ceds.ed.gov/cedselementdetails.aspx?termid=21261")</f>
        <v>https://ceds.ed.gov/cedselementdetails.aspx?termid=21261</v>
      </c>
      <c r="Q1841" s="22">
        <v>59113</v>
      </c>
    </row>
    <row r="1842" spans="1:17" ht="57.6" x14ac:dyDescent="0.3">
      <c r="A1842" s="22" t="s">
        <v>7779</v>
      </c>
      <c r="B1842" s="22" t="s">
        <v>7827</v>
      </c>
      <c r="C1842" s="22" t="s">
        <v>7828</v>
      </c>
      <c r="D1842" s="22" t="s">
        <v>7710</v>
      </c>
      <c r="E1842" s="22" t="s">
        <v>6827</v>
      </c>
      <c r="F1842" s="24" t="s">
        <v>6828</v>
      </c>
      <c r="G1842" s="26" t="s">
        <v>22</v>
      </c>
      <c r="H1842" s="22" t="s">
        <v>226</v>
      </c>
      <c r="I1842" s="22" t="s">
        <v>172</v>
      </c>
      <c r="J1842" s="22"/>
      <c r="K1842" s="24" t="s">
        <v>7946</v>
      </c>
      <c r="L1842" s="24"/>
      <c r="M1842" s="25" t="s">
        <v>6829</v>
      </c>
      <c r="N1842" s="22"/>
      <c r="O1842" s="22" t="s">
        <v>6830</v>
      </c>
      <c r="P1842" s="22" t="str">
        <f>HYPERLINK("https://ceds.ed.gov/cedselementdetails.aspx?termid=21262")</f>
        <v>https://ceds.ed.gov/cedselementdetails.aspx?termid=21262</v>
      </c>
      <c r="Q1842" s="22">
        <v>59114</v>
      </c>
    </row>
    <row r="1843" spans="1:17" ht="187.2" x14ac:dyDescent="0.3">
      <c r="A1843" s="22" t="s">
        <v>7779</v>
      </c>
      <c r="B1843" s="22" t="s">
        <v>7827</v>
      </c>
      <c r="C1843" s="22" t="s">
        <v>7828</v>
      </c>
      <c r="D1843" s="22" t="s">
        <v>7710</v>
      </c>
      <c r="E1843" s="22" t="s">
        <v>6836</v>
      </c>
      <c r="F1843" s="24" t="s">
        <v>6837</v>
      </c>
      <c r="G1843" s="26" t="s">
        <v>8528</v>
      </c>
      <c r="H1843" s="22" t="s">
        <v>226</v>
      </c>
      <c r="I1843" s="22" t="s">
        <v>172</v>
      </c>
      <c r="J1843" s="22"/>
      <c r="K1843" s="24" t="s">
        <v>7946</v>
      </c>
      <c r="L1843" s="24"/>
      <c r="M1843" s="25" t="s">
        <v>6838</v>
      </c>
      <c r="N1843" s="22"/>
      <c r="O1843" s="22" t="s">
        <v>6839</v>
      </c>
      <c r="P1843" s="22" t="str">
        <f>HYPERLINK("https://ceds.ed.gov/cedselementdetails.aspx?termid=21549")</f>
        <v>https://ceds.ed.gov/cedselementdetails.aspx?termid=21549</v>
      </c>
      <c r="Q1843" s="22">
        <v>59132</v>
      </c>
    </row>
    <row r="1844" spans="1:17" ht="216" x14ac:dyDescent="0.3">
      <c r="A1844" s="22" t="s">
        <v>7779</v>
      </c>
      <c r="B1844" s="22" t="s">
        <v>7827</v>
      </c>
      <c r="C1844" s="22" t="s">
        <v>7828</v>
      </c>
      <c r="D1844" s="22" t="s">
        <v>7710</v>
      </c>
      <c r="E1844" s="22" t="s">
        <v>6130</v>
      </c>
      <c r="F1844" s="24" t="s">
        <v>6131</v>
      </c>
      <c r="G1844" s="26" t="s">
        <v>8501</v>
      </c>
      <c r="H1844" s="22"/>
      <c r="I1844" s="22" t="s">
        <v>172</v>
      </c>
      <c r="J1844" s="22"/>
      <c r="K1844" s="24" t="s">
        <v>7946</v>
      </c>
      <c r="L1844" s="24"/>
      <c r="M1844" s="25" t="s">
        <v>6132</v>
      </c>
      <c r="N1844" s="22"/>
      <c r="O1844" s="22" t="s">
        <v>6133</v>
      </c>
      <c r="P1844" s="22" t="str">
        <f>HYPERLINK("https://ceds.ed.gov/cedselementdetails.aspx?termid=21220")</f>
        <v>https://ceds.ed.gov/cedselementdetails.aspx?termid=21220</v>
      </c>
      <c r="Q1844" s="22">
        <v>59108</v>
      </c>
    </row>
    <row r="1845" spans="1:17" ht="86.4" x14ac:dyDescent="0.3">
      <c r="A1845" s="22" t="s">
        <v>7779</v>
      </c>
      <c r="B1845" s="22" t="s">
        <v>7827</v>
      </c>
      <c r="C1845" s="22" t="s">
        <v>7773</v>
      </c>
      <c r="D1845" s="22" t="s">
        <v>7710</v>
      </c>
      <c r="E1845" s="22" t="s">
        <v>2961</v>
      </c>
      <c r="F1845" s="24" t="s">
        <v>2962</v>
      </c>
      <c r="G1845" s="26" t="s">
        <v>8774</v>
      </c>
      <c r="H1845" s="22"/>
      <c r="I1845" s="22"/>
      <c r="J1845" s="22"/>
      <c r="K1845" s="24"/>
      <c r="L1845" s="24"/>
      <c r="M1845" s="25" t="s">
        <v>2963</v>
      </c>
      <c r="N1845" s="22"/>
      <c r="O1845" s="22" t="s">
        <v>2964</v>
      </c>
      <c r="P1845" s="22" t="str">
        <f>HYPERLINK("https://ceds.ed.gov/cedselementdetails.aspx?termid=21071")</f>
        <v>https://ceds.ed.gov/cedselementdetails.aspx?termid=21071</v>
      </c>
      <c r="Q1845" s="22">
        <v>59079</v>
      </c>
    </row>
    <row r="1846" spans="1:17" ht="216" x14ac:dyDescent="0.3">
      <c r="A1846" s="22" t="s">
        <v>7779</v>
      </c>
      <c r="B1846" s="22" t="s">
        <v>7827</v>
      </c>
      <c r="C1846" s="22" t="s">
        <v>7773</v>
      </c>
      <c r="D1846" s="22" t="s">
        <v>7710</v>
      </c>
      <c r="E1846" s="22" t="s">
        <v>7135</v>
      </c>
      <c r="F1846" s="24" t="s">
        <v>7136</v>
      </c>
      <c r="G1846" s="26" t="s">
        <v>9160</v>
      </c>
      <c r="H1846" s="22" t="s">
        <v>355</v>
      </c>
      <c r="I1846" s="22"/>
      <c r="J1846" s="22"/>
      <c r="K1846" s="24"/>
      <c r="L1846" s="24"/>
      <c r="M1846" s="25" t="s">
        <v>7137</v>
      </c>
      <c r="N1846" s="22"/>
      <c r="O1846" s="22" t="s">
        <v>7138</v>
      </c>
      <c r="P1846" s="22" t="str">
        <f>HYPERLINK("https://ceds.ed.gov/cedselementdetails.aspx?termid=21278")</f>
        <v>https://ceds.ed.gov/cedselementdetails.aspx?termid=21278</v>
      </c>
      <c r="Q1846" s="22">
        <v>59119</v>
      </c>
    </row>
    <row r="1847" spans="1:17" ht="187.2" x14ac:dyDescent="0.3">
      <c r="A1847" s="22" t="s">
        <v>7779</v>
      </c>
      <c r="B1847" s="22" t="s">
        <v>7827</v>
      </c>
      <c r="C1847" s="22" t="s">
        <v>7773</v>
      </c>
      <c r="D1847" s="22" t="s">
        <v>7710</v>
      </c>
      <c r="E1847" s="22" t="s">
        <v>7130</v>
      </c>
      <c r="F1847" s="24" t="s">
        <v>7131</v>
      </c>
      <c r="G1847" s="26" t="s">
        <v>9159</v>
      </c>
      <c r="H1847" s="22" t="s">
        <v>355</v>
      </c>
      <c r="I1847" s="22"/>
      <c r="J1847" s="22"/>
      <c r="K1847" s="24"/>
      <c r="L1847" s="24"/>
      <c r="M1847" s="25" t="s">
        <v>7133</v>
      </c>
      <c r="N1847" s="22"/>
      <c r="O1847" s="22" t="s">
        <v>7134</v>
      </c>
      <c r="P1847" s="22" t="str">
        <f>HYPERLINK("https://ceds.ed.gov/cedselementdetails.aspx?termid=21277")</f>
        <v>https://ceds.ed.gov/cedselementdetails.aspx?termid=21277</v>
      </c>
      <c r="Q1847" s="22">
        <v>59118</v>
      </c>
    </row>
    <row r="1848" spans="1:17" ht="28.8" x14ac:dyDescent="0.3">
      <c r="A1848" s="22" t="s">
        <v>7779</v>
      </c>
      <c r="B1848" s="22" t="s">
        <v>7827</v>
      </c>
      <c r="C1848" s="22" t="s">
        <v>7773</v>
      </c>
      <c r="D1848" s="22" t="s">
        <v>7710</v>
      </c>
      <c r="E1848" s="22" t="s">
        <v>2928</v>
      </c>
      <c r="F1848" s="24" t="s">
        <v>2929</v>
      </c>
      <c r="G1848" s="23" t="s">
        <v>32</v>
      </c>
      <c r="H1848" s="22" t="s">
        <v>207</v>
      </c>
      <c r="I1848" s="22"/>
      <c r="J1848" s="22" t="s">
        <v>118</v>
      </c>
      <c r="K1848" s="24"/>
      <c r="L1848" s="24"/>
      <c r="M1848" s="25" t="s">
        <v>2930</v>
      </c>
      <c r="N1848" s="22"/>
      <c r="O1848" s="22" t="s">
        <v>2931</v>
      </c>
      <c r="P1848" s="22" t="str">
        <f>HYPERLINK("https://ceds.ed.gov/cedselementdetails.aspx?termid=21070")</f>
        <v>https://ceds.ed.gov/cedselementdetails.aspx?termid=21070</v>
      </c>
      <c r="Q1848" s="22">
        <v>59078</v>
      </c>
    </row>
    <row r="1849" spans="1:17" ht="43.2" x14ac:dyDescent="0.3">
      <c r="A1849" s="22" t="s">
        <v>7779</v>
      </c>
      <c r="B1849" s="22" t="s">
        <v>7827</v>
      </c>
      <c r="C1849" s="22" t="s">
        <v>7773</v>
      </c>
      <c r="D1849" s="22" t="s">
        <v>7710</v>
      </c>
      <c r="E1849" s="22" t="s">
        <v>2920</v>
      </c>
      <c r="F1849" s="24" t="s">
        <v>2921</v>
      </c>
      <c r="G1849" s="23" t="s">
        <v>32</v>
      </c>
      <c r="H1849" s="22" t="s">
        <v>207</v>
      </c>
      <c r="I1849" s="22"/>
      <c r="J1849" s="22" t="s">
        <v>118</v>
      </c>
      <c r="K1849" s="24"/>
      <c r="L1849" s="24"/>
      <c r="M1849" s="25" t="s">
        <v>2922</v>
      </c>
      <c r="N1849" s="22"/>
      <c r="O1849" s="22" t="s">
        <v>2923</v>
      </c>
      <c r="P1849" s="22" t="str">
        <f>HYPERLINK("https://ceds.ed.gov/cedselementdetails.aspx?termid=21069")</f>
        <v>https://ceds.ed.gov/cedselementdetails.aspx?termid=21069</v>
      </c>
      <c r="Q1849" s="22">
        <v>59077</v>
      </c>
    </row>
    <row r="1850" spans="1:17" ht="57.6" x14ac:dyDescent="0.3">
      <c r="A1850" s="22" t="s">
        <v>7779</v>
      </c>
      <c r="B1850" s="22" t="s">
        <v>7827</v>
      </c>
      <c r="C1850" s="22" t="s">
        <v>7773</v>
      </c>
      <c r="D1850" s="22" t="s">
        <v>7710</v>
      </c>
      <c r="E1850" s="22" t="s">
        <v>7417</v>
      </c>
      <c r="F1850" s="24" t="s">
        <v>7418</v>
      </c>
      <c r="G1850" s="23" t="s">
        <v>32</v>
      </c>
      <c r="H1850" s="22" t="s">
        <v>2493</v>
      </c>
      <c r="I1850" s="22" t="s">
        <v>172</v>
      </c>
      <c r="J1850" s="22" t="s">
        <v>1518</v>
      </c>
      <c r="K1850" s="24" t="s">
        <v>7946</v>
      </c>
      <c r="L1850" s="24"/>
      <c r="M1850" s="25" t="s">
        <v>7419</v>
      </c>
      <c r="N1850" s="22"/>
      <c r="O1850" s="22" t="s">
        <v>7420</v>
      </c>
      <c r="P1850" s="22" t="str">
        <f>HYPERLINK("https://ceds.ed.gov/cedselementdetails.aspx?termid=21302")</f>
        <v>https://ceds.ed.gov/cedselementdetails.aspx?termid=21302</v>
      </c>
      <c r="Q1850" s="22">
        <v>59123</v>
      </c>
    </row>
    <row r="1851" spans="1:17" ht="409.6" x14ac:dyDescent="0.3">
      <c r="A1851" s="22" t="s">
        <v>7779</v>
      </c>
      <c r="B1851" s="22" t="s">
        <v>7827</v>
      </c>
      <c r="C1851" s="22" t="s">
        <v>7773</v>
      </c>
      <c r="D1851" s="22" t="s">
        <v>7710</v>
      </c>
      <c r="E1851" s="22" t="s">
        <v>4332</v>
      </c>
      <c r="F1851" s="24" t="s">
        <v>4333</v>
      </c>
      <c r="G1851" s="26" t="s">
        <v>8734</v>
      </c>
      <c r="H1851" s="24" t="s">
        <v>4336</v>
      </c>
      <c r="I1851" s="22"/>
      <c r="J1851" s="22"/>
      <c r="K1851" s="24"/>
      <c r="L1851" s="24"/>
      <c r="M1851" s="25" t="s">
        <v>4334</v>
      </c>
      <c r="N1851" s="22"/>
      <c r="O1851" s="22" t="s">
        <v>4335</v>
      </c>
      <c r="P1851" s="22" t="str">
        <f>HYPERLINK("https://ceds.ed.gov/cedselementdetails.aspx?termid=21141")</f>
        <v>https://ceds.ed.gov/cedselementdetails.aspx?termid=21141</v>
      </c>
      <c r="Q1851" s="22">
        <v>59089</v>
      </c>
    </row>
    <row r="1852" spans="1:17" ht="43.2" x14ac:dyDescent="0.3">
      <c r="A1852" s="22" t="s">
        <v>7779</v>
      </c>
      <c r="B1852" s="22" t="s">
        <v>7827</v>
      </c>
      <c r="C1852" s="22" t="s">
        <v>7773</v>
      </c>
      <c r="D1852" s="22" t="s">
        <v>7710</v>
      </c>
      <c r="E1852" s="22" t="s">
        <v>4337</v>
      </c>
      <c r="F1852" s="24" t="s">
        <v>4338</v>
      </c>
      <c r="G1852" s="26" t="s">
        <v>8924</v>
      </c>
      <c r="H1852" s="22" t="s">
        <v>226</v>
      </c>
      <c r="I1852" s="22"/>
      <c r="J1852" s="22"/>
      <c r="K1852" s="24"/>
      <c r="L1852" s="24"/>
      <c r="M1852" s="25" t="s">
        <v>4340</v>
      </c>
      <c r="N1852" s="22"/>
      <c r="O1852" s="22" t="s">
        <v>4341</v>
      </c>
      <c r="P1852" s="22" t="str">
        <f>HYPERLINK("https://ceds.ed.gov/cedselementdetails.aspx?termid=21142")</f>
        <v>https://ceds.ed.gov/cedselementdetails.aspx?termid=21142</v>
      </c>
      <c r="Q1852" s="22">
        <v>59090</v>
      </c>
    </row>
    <row r="1853" spans="1:17" ht="43.2" x14ac:dyDescent="0.3">
      <c r="A1853" s="22" t="s">
        <v>7779</v>
      </c>
      <c r="B1853" s="22" t="s">
        <v>7827</v>
      </c>
      <c r="C1853" s="22" t="s">
        <v>7773</v>
      </c>
      <c r="D1853" s="22" t="s">
        <v>7710</v>
      </c>
      <c r="E1853" s="22" t="s">
        <v>5769</v>
      </c>
      <c r="F1853" s="24" t="s">
        <v>5770</v>
      </c>
      <c r="G1853" s="26" t="s">
        <v>9057</v>
      </c>
      <c r="H1853" s="22" t="s">
        <v>226</v>
      </c>
      <c r="I1853" s="22"/>
      <c r="J1853" s="22"/>
      <c r="K1853" s="24"/>
      <c r="L1853" s="24"/>
      <c r="M1853" s="25" t="s">
        <v>5771</v>
      </c>
      <c r="N1853" s="22"/>
      <c r="O1853" s="22" t="s">
        <v>5772</v>
      </c>
      <c r="P1853" s="22" t="str">
        <f>HYPERLINK("https://ceds.ed.gov/cedselementdetails.aspx?termid=21207")</f>
        <v>https://ceds.ed.gov/cedselementdetails.aspx?termid=21207</v>
      </c>
      <c r="Q1853" s="22">
        <v>59104</v>
      </c>
    </row>
    <row r="1854" spans="1:17" ht="201.6" x14ac:dyDescent="0.3">
      <c r="A1854" s="22" t="s">
        <v>7779</v>
      </c>
      <c r="B1854" s="22" t="s">
        <v>7827</v>
      </c>
      <c r="C1854" s="22" t="s">
        <v>7773</v>
      </c>
      <c r="D1854" s="22" t="s">
        <v>7710</v>
      </c>
      <c r="E1854" s="22" t="s">
        <v>6222</v>
      </c>
      <c r="F1854" s="24" t="s">
        <v>6223</v>
      </c>
      <c r="G1854" s="26" t="s">
        <v>8504</v>
      </c>
      <c r="H1854" s="22"/>
      <c r="I1854" s="22" t="s">
        <v>172</v>
      </c>
      <c r="J1854" s="22"/>
      <c r="K1854" s="24" t="s">
        <v>7946</v>
      </c>
      <c r="L1854" s="24"/>
      <c r="M1854" s="25" t="s">
        <v>6224</v>
      </c>
      <c r="N1854" s="22"/>
      <c r="O1854" s="22" t="s">
        <v>6225</v>
      </c>
      <c r="P1854" s="22" t="str">
        <f>HYPERLINK("https://ceds.ed.gov/cedselementdetails.aspx?termid=21692")</f>
        <v>https://ceds.ed.gov/cedselementdetails.aspx?termid=21692</v>
      </c>
      <c r="Q1854" s="22">
        <v>59148</v>
      </c>
    </row>
    <row r="1855" spans="1:17" ht="57.6" x14ac:dyDescent="0.3">
      <c r="A1855" s="22" t="s">
        <v>7779</v>
      </c>
      <c r="B1855" s="22" t="s">
        <v>7827</v>
      </c>
      <c r="C1855" s="22" t="s">
        <v>7773</v>
      </c>
      <c r="D1855" s="22" t="s">
        <v>7710</v>
      </c>
      <c r="E1855" s="22" t="s">
        <v>1908</v>
      </c>
      <c r="F1855" s="24" t="s">
        <v>1909</v>
      </c>
      <c r="G1855" s="26" t="s">
        <v>22</v>
      </c>
      <c r="H1855" s="22"/>
      <c r="I1855" s="22"/>
      <c r="J1855" s="22"/>
      <c r="K1855" s="24"/>
      <c r="L1855" s="24"/>
      <c r="M1855" s="25" t="s">
        <v>1911</v>
      </c>
      <c r="N1855" s="22" t="s">
        <v>1912</v>
      </c>
      <c r="O1855" s="22" t="s">
        <v>1913</v>
      </c>
      <c r="P1855" s="22" t="str">
        <f>HYPERLINK("https://ceds.ed.gov/cedselementdetails.aspx?termid=22284")</f>
        <v>https://ceds.ed.gov/cedselementdetails.aspx?termid=22284</v>
      </c>
      <c r="Q1855" s="22">
        <v>61122</v>
      </c>
    </row>
    <row r="1856" spans="1:17" ht="28.8" x14ac:dyDescent="0.3">
      <c r="A1856" s="22" t="s">
        <v>7779</v>
      </c>
      <c r="B1856" s="22" t="s">
        <v>7827</v>
      </c>
      <c r="C1856" s="22" t="s">
        <v>7773</v>
      </c>
      <c r="D1856" s="22" t="s">
        <v>7710</v>
      </c>
      <c r="E1856" s="22" t="s">
        <v>2945</v>
      </c>
      <c r="F1856" s="24" t="s">
        <v>2946</v>
      </c>
      <c r="G1856" s="23" t="s">
        <v>32</v>
      </c>
      <c r="H1856" s="22"/>
      <c r="I1856" s="22"/>
      <c r="J1856" s="22" t="s">
        <v>157</v>
      </c>
      <c r="K1856" s="24"/>
      <c r="L1856" s="24"/>
      <c r="M1856" s="25" t="s">
        <v>2947</v>
      </c>
      <c r="N1856" s="22"/>
      <c r="O1856" s="22" t="s">
        <v>2948</v>
      </c>
      <c r="P1856" s="22" t="str">
        <f>HYPERLINK("https://ceds.ed.gov/cedselementdetails.aspx?termid=22566")</f>
        <v>https://ceds.ed.gov/cedselementdetails.aspx?termid=22566</v>
      </c>
      <c r="Q1856" s="22">
        <v>62757</v>
      </c>
    </row>
    <row r="1857" spans="1:17" ht="28.8" x14ac:dyDescent="0.3">
      <c r="A1857" s="22" t="s">
        <v>7779</v>
      </c>
      <c r="B1857" s="22" t="s">
        <v>7827</v>
      </c>
      <c r="C1857" s="22" t="s">
        <v>7773</v>
      </c>
      <c r="D1857" s="22" t="s">
        <v>7710</v>
      </c>
      <c r="E1857" s="22" t="s">
        <v>5530</v>
      </c>
      <c r="F1857" s="24" t="s">
        <v>5531</v>
      </c>
      <c r="G1857" s="23" t="s">
        <v>32</v>
      </c>
      <c r="H1857" s="22" t="s">
        <v>207</v>
      </c>
      <c r="I1857" s="22"/>
      <c r="J1857" s="22" t="s">
        <v>157</v>
      </c>
      <c r="K1857" s="24"/>
      <c r="L1857" s="24"/>
      <c r="M1857" s="25" t="s">
        <v>5532</v>
      </c>
      <c r="N1857" s="22"/>
      <c r="O1857" s="22" t="s">
        <v>5533</v>
      </c>
      <c r="P1857" s="22" t="str">
        <f>HYPERLINK("https://ceds.ed.gov/cedselementdetails.aspx?termid=22064")</f>
        <v>https://ceds.ed.gov/cedselementdetails.aspx?termid=22064</v>
      </c>
      <c r="Q1857" s="22">
        <v>62756</v>
      </c>
    </row>
    <row r="1858" spans="1:17" ht="409.6" x14ac:dyDescent="0.3">
      <c r="A1858" s="22" t="s">
        <v>7779</v>
      </c>
      <c r="B1858" s="22" t="s">
        <v>7827</v>
      </c>
      <c r="C1858" s="22" t="s">
        <v>7773</v>
      </c>
      <c r="D1858" s="22" t="s">
        <v>7710</v>
      </c>
      <c r="E1858" s="22" t="s">
        <v>6979</v>
      </c>
      <c r="F1858" s="24" t="s">
        <v>6980</v>
      </c>
      <c r="G1858" s="26" t="s">
        <v>8538</v>
      </c>
      <c r="H1858" s="22" t="s">
        <v>207</v>
      </c>
      <c r="I1858" s="22"/>
      <c r="J1858" s="22"/>
      <c r="K1858" s="24"/>
      <c r="L1858" s="24"/>
      <c r="M1858" s="25" t="s">
        <v>6981</v>
      </c>
      <c r="N1858" s="22"/>
      <c r="O1858" s="22" t="s">
        <v>6982</v>
      </c>
      <c r="P1858" s="22" t="str">
        <f>HYPERLINK("https://ceds.ed.gov/cedselementdetails.aspx?termid=21804")</f>
        <v>https://ceds.ed.gov/cedselementdetails.aspx?termid=21804</v>
      </c>
      <c r="Q1858" s="22">
        <v>62755</v>
      </c>
    </row>
    <row r="1859" spans="1:17" ht="43.2" x14ac:dyDescent="0.3">
      <c r="A1859" s="22" t="s">
        <v>7779</v>
      </c>
      <c r="B1859" s="22" t="s">
        <v>7827</v>
      </c>
      <c r="C1859" s="22" t="s">
        <v>7773</v>
      </c>
      <c r="D1859" s="22" t="s">
        <v>7710</v>
      </c>
      <c r="E1859" s="22" t="s">
        <v>7515</v>
      </c>
      <c r="F1859" s="24" t="s">
        <v>7516</v>
      </c>
      <c r="G1859" s="26" t="s">
        <v>8837</v>
      </c>
      <c r="H1859" s="22"/>
      <c r="I1859" s="22"/>
      <c r="J1859" s="22"/>
      <c r="K1859" s="24"/>
      <c r="L1859" s="24" t="s">
        <v>7517</v>
      </c>
      <c r="M1859" s="25" t="s">
        <v>7518</v>
      </c>
      <c r="N1859" s="22"/>
      <c r="O1859" s="22" t="s">
        <v>7519</v>
      </c>
      <c r="P1859" s="22" t="str">
        <f>HYPERLINK("https://ceds.ed.gov/cedselementdetails.aspx?termid=22929")</f>
        <v>https://ceds.ed.gov/cedselementdetails.aspx?termid=22929</v>
      </c>
      <c r="Q1859" s="22">
        <v>63532</v>
      </c>
    </row>
    <row r="1860" spans="1:17" ht="57.6" x14ac:dyDescent="0.3">
      <c r="A1860" s="22" t="s">
        <v>7779</v>
      </c>
      <c r="B1860" s="22" t="s">
        <v>7827</v>
      </c>
      <c r="C1860" s="22" t="s">
        <v>7773</v>
      </c>
      <c r="D1860" s="22" t="s">
        <v>7710</v>
      </c>
      <c r="E1860" s="22" t="s">
        <v>7520</v>
      </c>
      <c r="F1860" s="24" t="s">
        <v>7521</v>
      </c>
      <c r="G1860" s="26" t="s">
        <v>8838</v>
      </c>
      <c r="H1860" s="22"/>
      <c r="I1860" s="22"/>
      <c r="J1860" s="22"/>
      <c r="K1860" s="24"/>
      <c r="L1860" s="24" t="s">
        <v>7517</v>
      </c>
      <c r="M1860" s="25" t="s">
        <v>7522</v>
      </c>
      <c r="N1860" s="22"/>
      <c r="O1860" s="22" t="s">
        <v>7523</v>
      </c>
      <c r="P1860" s="22" t="str">
        <f>HYPERLINK("https://ceds.ed.gov/cedselementdetails.aspx?termid=22930")</f>
        <v>https://ceds.ed.gov/cedselementdetails.aspx?termid=22930</v>
      </c>
      <c r="Q1860" s="22">
        <v>63533</v>
      </c>
    </row>
    <row r="1861" spans="1:17" ht="43.2" x14ac:dyDescent="0.3">
      <c r="A1861" s="22" t="s">
        <v>7779</v>
      </c>
      <c r="B1861" s="22" t="s">
        <v>7827</v>
      </c>
      <c r="C1861" s="22" t="s">
        <v>7773</v>
      </c>
      <c r="D1861" s="22" t="s">
        <v>7741</v>
      </c>
      <c r="E1861" s="22" t="s">
        <v>8102</v>
      </c>
      <c r="F1861" s="24" t="s">
        <v>8103</v>
      </c>
      <c r="G1861" s="26" t="s">
        <v>8378</v>
      </c>
      <c r="H1861" s="22"/>
      <c r="I1861" s="22" t="s">
        <v>167</v>
      </c>
      <c r="J1861" s="22" t="s">
        <v>2</v>
      </c>
      <c r="K1861" s="24" t="s">
        <v>7949</v>
      </c>
      <c r="L1861" s="24"/>
      <c r="M1861" s="25" t="s">
        <v>8357</v>
      </c>
      <c r="N1861" s="22"/>
      <c r="O1861" s="22" t="s">
        <v>8104</v>
      </c>
      <c r="P1861" s="22" t="str">
        <f>HYPERLINK("https://ceds.ed.gov/cedselementdetails.aspx?termid=22978")</f>
        <v>https://ceds.ed.gov/cedselementdetails.aspx?termid=22978</v>
      </c>
      <c r="Q1861" s="22">
        <v>63909</v>
      </c>
    </row>
    <row r="1862" spans="1:17" ht="43.2" x14ac:dyDescent="0.3">
      <c r="A1862" s="22" t="s">
        <v>7779</v>
      </c>
      <c r="B1862" s="22" t="s">
        <v>7827</v>
      </c>
      <c r="C1862" s="22" t="s">
        <v>7773</v>
      </c>
      <c r="D1862" s="22" t="s">
        <v>7741</v>
      </c>
      <c r="E1862" s="22" t="s">
        <v>8318</v>
      </c>
      <c r="F1862" s="24" t="s">
        <v>8319</v>
      </c>
      <c r="G1862" s="26" t="s">
        <v>8382</v>
      </c>
      <c r="H1862" s="22"/>
      <c r="I1862" s="22" t="s">
        <v>167</v>
      </c>
      <c r="J1862" s="22" t="s">
        <v>2</v>
      </c>
      <c r="K1862" s="24" t="s">
        <v>7949</v>
      </c>
      <c r="L1862" s="24"/>
      <c r="M1862" s="25" t="s">
        <v>8372</v>
      </c>
      <c r="N1862" s="22"/>
      <c r="O1862" s="22" t="s">
        <v>8320</v>
      </c>
      <c r="P1862" s="22" t="str">
        <f>HYPERLINK("https://ceds.ed.gov/cedselementdetails.aspx?termid=22993")</f>
        <v>https://ceds.ed.gov/cedselementdetails.aspx?termid=22993</v>
      </c>
      <c r="Q1862" s="22">
        <v>63910</v>
      </c>
    </row>
    <row r="1863" spans="1:17" ht="72" x14ac:dyDescent="0.3">
      <c r="A1863" s="22" t="s">
        <v>7779</v>
      </c>
      <c r="B1863" s="22" t="s">
        <v>7827</v>
      </c>
      <c r="C1863" s="22" t="s">
        <v>7772</v>
      </c>
      <c r="D1863" s="22" t="s">
        <v>7710</v>
      </c>
      <c r="E1863" s="22" t="s">
        <v>5873</v>
      </c>
      <c r="F1863" s="24" t="s">
        <v>5874</v>
      </c>
      <c r="G1863" s="23" t="s">
        <v>32</v>
      </c>
      <c r="H1863" s="24" t="s">
        <v>64</v>
      </c>
      <c r="I1863" s="22" t="s">
        <v>172</v>
      </c>
      <c r="J1863" s="22" t="s">
        <v>1339</v>
      </c>
      <c r="K1863" s="24" t="s">
        <v>7946</v>
      </c>
      <c r="L1863" s="24"/>
      <c r="M1863" s="25" t="s">
        <v>5875</v>
      </c>
      <c r="N1863" s="22"/>
      <c r="O1863" s="22" t="s">
        <v>5876</v>
      </c>
      <c r="P1863" s="22" t="str">
        <f>HYPERLINK("https://ceds.ed.gov/cedselementdetails.aspx?termid=21213")</f>
        <v>https://ceds.ed.gov/cedselementdetails.aspx?termid=21213</v>
      </c>
      <c r="Q1863" s="22">
        <v>59106</v>
      </c>
    </row>
    <row r="1864" spans="1:17" ht="158.4" x14ac:dyDescent="0.3">
      <c r="A1864" s="22" t="s">
        <v>7779</v>
      </c>
      <c r="B1864" s="22" t="s">
        <v>7827</v>
      </c>
      <c r="C1864" s="22" t="s">
        <v>7772</v>
      </c>
      <c r="D1864" s="22" t="s">
        <v>7710</v>
      </c>
      <c r="E1864" s="22" t="s">
        <v>4342</v>
      </c>
      <c r="F1864" s="24" t="s">
        <v>4343</v>
      </c>
      <c r="G1864" s="23" t="s">
        <v>32</v>
      </c>
      <c r="H1864" s="24" t="s">
        <v>4346</v>
      </c>
      <c r="I1864" s="22"/>
      <c r="J1864" s="22" t="s">
        <v>118</v>
      </c>
      <c r="K1864" s="24"/>
      <c r="L1864" s="24" t="s">
        <v>8212</v>
      </c>
      <c r="M1864" s="25" t="s">
        <v>4344</v>
      </c>
      <c r="N1864" s="22"/>
      <c r="O1864" s="22" t="s">
        <v>4345</v>
      </c>
      <c r="P1864" s="22" t="str">
        <f>HYPERLINK("https://ceds.ed.gov/cedselementdetails.aspx?termid=21143")</f>
        <v>https://ceds.ed.gov/cedselementdetails.aspx?termid=21143</v>
      </c>
      <c r="Q1864" s="22">
        <v>59091</v>
      </c>
    </row>
    <row r="1865" spans="1:17" ht="57.6" x14ac:dyDescent="0.3">
      <c r="A1865" s="22" t="s">
        <v>7779</v>
      </c>
      <c r="B1865" s="22" t="s">
        <v>7827</v>
      </c>
      <c r="C1865" s="22" t="s">
        <v>7772</v>
      </c>
      <c r="D1865" s="22" t="s">
        <v>7710</v>
      </c>
      <c r="E1865" s="22" t="s">
        <v>3555</v>
      </c>
      <c r="F1865" s="24" t="s">
        <v>3556</v>
      </c>
      <c r="G1865" s="23" t="s">
        <v>32</v>
      </c>
      <c r="H1865" s="24" t="s">
        <v>3559</v>
      </c>
      <c r="I1865" s="22"/>
      <c r="J1865" s="22" t="s">
        <v>118</v>
      </c>
      <c r="K1865" s="24"/>
      <c r="L1865" s="24"/>
      <c r="M1865" s="25" t="s">
        <v>3557</v>
      </c>
      <c r="N1865" s="22"/>
      <c r="O1865" s="22" t="s">
        <v>3558</v>
      </c>
      <c r="P1865" s="22" t="str">
        <f>HYPERLINK("https://ceds.ed.gov/cedselementdetails.aspx?termid=21345")</f>
        <v>https://ceds.ed.gov/cedselementdetails.aspx?termid=21345</v>
      </c>
      <c r="Q1865" s="22">
        <v>61704</v>
      </c>
    </row>
    <row r="1866" spans="1:17" ht="57.6" x14ac:dyDescent="0.3">
      <c r="A1866" s="22" t="s">
        <v>7779</v>
      </c>
      <c r="B1866" s="22" t="s">
        <v>7827</v>
      </c>
      <c r="C1866" s="22" t="s">
        <v>7772</v>
      </c>
      <c r="D1866" s="22" t="s">
        <v>7710</v>
      </c>
      <c r="E1866" s="22" t="s">
        <v>3519</v>
      </c>
      <c r="F1866" s="24" t="s">
        <v>3520</v>
      </c>
      <c r="G1866" s="23" t="s">
        <v>32</v>
      </c>
      <c r="H1866" s="22" t="s">
        <v>207</v>
      </c>
      <c r="I1866" s="22"/>
      <c r="J1866" s="22" t="s">
        <v>118</v>
      </c>
      <c r="K1866" s="24"/>
      <c r="L1866" s="24" t="s">
        <v>143</v>
      </c>
      <c r="M1866" s="25" t="s">
        <v>3521</v>
      </c>
      <c r="N1866" s="22"/>
      <c r="O1866" s="22" t="s">
        <v>3522</v>
      </c>
      <c r="P1866" s="22" t="str">
        <f>HYPERLINK("https://ceds.ed.gov/cedselementdetails.aspx?termid=21794")</f>
        <v>https://ceds.ed.gov/cedselementdetails.aspx?termid=21794</v>
      </c>
      <c r="Q1866" s="22">
        <v>61699</v>
      </c>
    </row>
    <row r="1867" spans="1:17" ht="172.8" x14ac:dyDescent="0.3">
      <c r="A1867" s="22" t="s">
        <v>7779</v>
      </c>
      <c r="B1867" s="22" t="s">
        <v>7827</v>
      </c>
      <c r="C1867" s="22" t="s">
        <v>7772</v>
      </c>
      <c r="D1867" s="22" t="s">
        <v>7710</v>
      </c>
      <c r="E1867" s="22" t="s">
        <v>3560</v>
      </c>
      <c r="F1867" s="24" t="s">
        <v>294</v>
      </c>
      <c r="G1867" s="26" t="s">
        <v>8850</v>
      </c>
      <c r="H1867" s="24" t="s">
        <v>3077</v>
      </c>
      <c r="I1867" s="22"/>
      <c r="J1867" s="22"/>
      <c r="K1867" s="24"/>
      <c r="L1867" s="24"/>
      <c r="M1867" s="25" t="s">
        <v>3561</v>
      </c>
      <c r="N1867" s="22"/>
      <c r="O1867" s="22" t="s">
        <v>3562</v>
      </c>
      <c r="P1867" s="22" t="str">
        <f>HYPERLINK("https://ceds.ed.gov/cedselementdetails.aspx?termid=21346")</f>
        <v>https://ceds.ed.gov/cedselementdetails.aspx?termid=21346</v>
      </c>
      <c r="Q1867" s="22">
        <v>59124</v>
      </c>
    </row>
    <row r="1868" spans="1:17" ht="409.6" x14ac:dyDescent="0.3">
      <c r="A1868" s="22" t="s">
        <v>7779</v>
      </c>
      <c r="B1868" s="22" t="s">
        <v>7827</v>
      </c>
      <c r="C1868" s="22" t="s">
        <v>7772</v>
      </c>
      <c r="D1868" s="22" t="s">
        <v>7710</v>
      </c>
      <c r="E1868" s="22" t="s">
        <v>3548</v>
      </c>
      <c r="F1868" s="24" t="s">
        <v>3321</v>
      </c>
      <c r="G1868" s="26" t="s">
        <v>8846</v>
      </c>
      <c r="H1868" s="22"/>
      <c r="I1868" s="22"/>
      <c r="J1868" s="22"/>
      <c r="K1868" s="24"/>
      <c r="L1868" s="24"/>
      <c r="M1868" s="25" t="s">
        <v>3549</v>
      </c>
      <c r="N1868" s="22"/>
      <c r="O1868" s="22" t="s">
        <v>3550</v>
      </c>
      <c r="P1868" s="22" t="str">
        <f>HYPERLINK("https://ceds.ed.gov/cedselementdetails.aspx?termid=21613")</f>
        <v>https://ceds.ed.gov/cedselementdetails.aspx?termid=21613</v>
      </c>
      <c r="Q1868" s="22">
        <v>59136</v>
      </c>
    </row>
    <row r="1869" spans="1:17" ht="72" x14ac:dyDescent="0.3">
      <c r="A1869" s="22" t="s">
        <v>7779</v>
      </c>
      <c r="B1869" s="22" t="s">
        <v>7827</v>
      </c>
      <c r="C1869" s="22" t="s">
        <v>7772</v>
      </c>
      <c r="D1869" s="22" t="s">
        <v>7710</v>
      </c>
      <c r="E1869" s="22" t="s">
        <v>3551</v>
      </c>
      <c r="F1869" s="24" t="s">
        <v>3552</v>
      </c>
      <c r="G1869" s="26" t="s">
        <v>8848</v>
      </c>
      <c r="H1869" s="22"/>
      <c r="I1869" s="22"/>
      <c r="J1869" s="22"/>
      <c r="K1869" s="24"/>
      <c r="L1869" s="24"/>
      <c r="M1869" s="25" t="s">
        <v>3553</v>
      </c>
      <c r="N1869" s="22"/>
      <c r="O1869" s="22" t="s">
        <v>3554</v>
      </c>
      <c r="P1869" s="22" t="str">
        <f>HYPERLINK("https://ceds.ed.gov/cedselementdetails.aspx?termid=21614")</f>
        <v>https://ceds.ed.gov/cedselementdetails.aspx?termid=21614</v>
      </c>
      <c r="Q1869" s="22">
        <v>59137</v>
      </c>
    </row>
    <row r="1870" spans="1:17" ht="43.2" x14ac:dyDescent="0.3">
      <c r="A1870" s="22" t="s">
        <v>7779</v>
      </c>
      <c r="B1870" s="22" t="s">
        <v>7827</v>
      </c>
      <c r="C1870" s="22" t="s">
        <v>7772</v>
      </c>
      <c r="D1870" s="22" t="s">
        <v>7710</v>
      </c>
      <c r="E1870" s="22" t="s">
        <v>2488</v>
      </c>
      <c r="F1870" s="24" t="s">
        <v>2489</v>
      </c>
      <c r="G1870" s="23" t="s">
        <v>32</v>
      </c>
      <c r="H1870" s="22" t="s">
        <v>2493</v>
      </c>
      <c r="I1870" s="22" t="s">
        <v>172</v>
      </c>
      <c r="J1870" s="22" t="s">
        <v>1518</v>
      </c>
      <c r="K1870" s="24" t="s">
        <v>7946</v>
      </c>
      <c r="L1870" s="24"/>
      <c r="M1870" s="25" t="s">
        <v>2491</v>
      </c>
      <c r="N1870" s="22"/>
      <c r="O1870" s="22" t="s">
        <v>2492</v>
      </c>
      <c r="P1870" s="22" t="str">
        <f>HYPERLINK("https://ceds.ed.gov/cedselementdetails.aspx?termid=21047")</f>
        <v>https://ceds.ed.gov/cedselementdetails.aspx?termid=21047</v>
      </c>
      <c r="Q1870" s="22">
        <v>59076</v>
      </c>
    </row>
    <row r="1871" spans="1:17" ht="201.6" x14ac:dyDescent="0.3">
      <c r="A1871" s="22" t="s">
        <v>7779</v>
      </c>
      <c r="B1871" s="22" t="s">
        <v>7827</v>
      </c>
      <c r="C1871" s="22" t="s">
        <v>7772</v>
      </c>
      <c r="D1871" s="22" t="s">
        <v>7710</v>
      </c>
      <c r="E1871" s="22" t="s">
        <v>6855</v>
      </c>
      <c r="F1871" s="24" t="s">
        <v>6856</v>
      </c>
      <c r="G1871" s="23" t="s">
        <v>32</v>
      </c>
      <c r="H1871" s="22" t="s">
        <v>2493</v>
      </c>
      <c r="I1871" s="22"/>
      <c r="J1871" s="22" t="s">
        <v>1518</v>
      </c>
      <c r="K1871" s="24"/>
      <c r="L1871" s="24" t="s">
        <v>8323</v>
      </c>
      <c r="M1871" s="25" t="s">
        <v>6857</v>
      </c>
      <c r="N1871" s="22"/>
      <c r="O1871" s="22" t="s">
        <v>6858</v>
      </c>
      <c r="P1871" s="22" t="str">
        <f>HYPERLINK("https://ceds.ed.gov/cedselementdetails.aspx?termid=21032")</f>
        <v>https://ceds.ed.gov/cedselementdetails.aspx?termid=21032</v>
      </c>
      <c r="Q1871" s="22">
        <v>59073</v>
      </c>
    </row>
    <row r="1872" spans="1:17" ht="43.2" x14ac:dyDescent="0.3">
      <c r="A1872" s="22" t="s">
        <v>7779</v>
      </c>
      <c r="B1872" s="22" t="s">
        <v>7827</v>
      </c>
      <c r="C1872" s="22" t="s">
        <v>7772</v>
      </c>
      <c r="D1872" s="22" t="s">
        <v>7710</v>
      </c>
      <c r="E1872" s="22" t="s">
        <v>6569</v>
      </c>
      <c r="F1872" s="24" t="s">
        <v>6570</v>
      </c>
      <c r="G1872" s="26" t="s">
        <v>22</v>
      </c>
      <c r="H1872" s="22" t="s">
        <v>2493</v>
      </c>
      <c r="I1872" s="22"/>
      <c r="J1872" s="22"/>
      <c r="K1872" s="24"/>
      <c r="L1872" s="24"/>
      <c r="M1872" s="25" t="s">
        <v>6571</v>
      </c>
      <c r="N1872" s="22"/>
      <c r="O1872" s="22" t="s">
        <v>6572</v>
      </c>
      <c r="P1872" s="22" t="str">
        <f>HYPERLINK("https://ceds.ed.gov/cedselementdetails.aspx?termid=21234")</f>
        <v>https://ceds.ed.gov/cedselementdetails.aspx?termid=21234</v>
      </c>
      <c r="Q1872" s="22">
        <v>59110</v>
      </c>
    </row>
    <row r="1873" spans="1:17" ht="115.2" x14ac:dyDescent="0.3">
      <c r="A1873" s="22" t="s">
        <v>7779</v>
      </c>
      <c r="B1873" s="22" t="s">
        <v>7827</v>
      </c>
      <c r="C1873" s="22" t="s">
        <v>7772</v>
      </c>
      <c r="D1873" s="22" t="s">
        <v>7710</v>
      </c>
      <c r="E1873" s="22" t="s">
        <v>6859</v>
      </c>
      <c r="F1873" s="24" t="s">
        <v>6860</v>
      </c>
      <c r="G1873" s="23" t="s">
        <v>32</v>
      </c>
      <c r="H1873" s="22" t="s">
        <v>2493</v>
      </c>
      <c r="I1873" s="22"/>
      <c r="J1873" s="22" t="s">
        <v>1518</v>
      </c>
      <c r="K1873" s="24"/>
      <c r="L1873" s="24"/>
      <c r="M1873" s="25" t="s">
        <v>6861</v>
      </c>
      <c r="N1873" s="22"/>
      <c r="O1873" s="22" t="s">
        <v>6862</v>
      </c>
      <c r="P1873" s="22" t="str">
        <f>HYPERLINK("https://ceds.ed.gov/cedselementdetails.aspx?termid=21136")</f>
        <v>https://ceds.ed.gov/cedselementdetails.aspx?termid=21136</v>
      </c>
      <c r="Q1873" s="22">
        <v>59088</v>
      </c>
    </row>
    <row r="1874" spans="1:17" ht="115.2" x14ac:dyDescent="0.3">
      <c r="A1874" s="22" t="s">
        <v>7779</v>
      </c>
      <c r="B1874" s="22" t="s">
        <v>7827</v>
      </c>
      <c r="C1874" s="22" t="s">
        <v>7772</v>
      </c>
      <c r="D1874" s="22" t="s">
        <v>7710</v>
      </c>
      <c r="E1874" s="22" t="s">
        <v>6867</v>
      </c>
      <c r="F1874" s="24" t="s">
        <v>6868</v>
      </c>
      <c r="G1874" s="23" t="s">
        <v>32</v>
      </c>
      <c r="H1874" s="22" t="s">
        <v>2493</v>
      </c>
      <c r="I1874" s="22"/>
      <c r="J1874" s="22" t="s">
        <v>1518</v>
      </c>
      <c r="K1874" s="24"/>
      <c r="L1874" s="24"/>
      <c r="M1874" s="25" t="s">
        <v>6869</v>
      </c>
      <c r="N1874" s="22"/>
      <c r="O1874" s="22" t="s">
        <v>6870</v>
      </c>
      <c r="P1874" s="22" t="str">
        <f>HYPERLINK("https://ceds.ed.gov/cedselementdetails.aspx?termid=21233")</f>
        <v>https://ceds.ed.gov/cedselementdetails.aspx?termid=21233</v>
      </c>
      <c r="Q1874" s="22">
        <v>59109</v>
      </c>
    </row>
    <row r="1875" spans="1:17" ht="129.6" x14ac:dyDescent="0.3">
      <c r="A1875" s="22" t="s">
        <v>7779</v>
      </c>
      <c r="B1875" s="22" t="s">
        <v>7827</v>
      </c>
      <c r="C1875" s="22" t="s">
        <v>7772</v>
      </c>
      <c r="D1875" s="22" t="s">
        <v>7710</v>
      </c>
      <c r="E1875" s="22" t="s">
        <v>6863</v>
      </c>
      <c r="F1875" s="24" t="s">
        <v>6864</v>
      </c>
      <c r="G1875" s="23" t="s">
        <v>32</v>
      </c>
      <c r="H1875" s="22" t="s">
        <v>2493</v>
      </c>
      <c r="I1875" s="22"/>
      <c r="J1875" s="22" t="s">
        <v>1518</v>
      </c>
      <c r="K1875" s="24"/>
      <c r="L1875" s="24"/>
      <c r="M1875" s="25" t="s">
        <v>6865</v>
      </c>
      <c r="N1875" s="22"/>
      <c r="O1875" s="22" t="s">
        <v>6866</v>
      </c>
      <c r="P1875" s="22" t="str">
        <f>HYPERLINK("https://ceds.ed.gov/cedselementdetails.aspx?termid=21205")</f>
        <v>https://ceds.ed.gov/cedselementdetails.aspx?termid=21205</v>
      </c>
      <c r="Q1875" s="22">
        <v>59102</v>
      </c>
    </row>
    <row r="1876" spans="1:17" ht="144" x14ac:dyDescent="0.3">
      <c r="A1876" s="22" t="s">
        <v>7779</v>
      </c>
      <c r="B1876" s="22" t="s">
        <v>7827</v>
      </c>
      <c r="C1876" s="22" t="s">
        <v>7772</v>
      </c>
      <c r="D1876" s="22" t="s">
        <v>7710</v>
      </c>
      <c r="E1876" s="22" t="s">
        <v>6871</v>
      </c>
      <c r="F1876" s="24" t="s">
        <v>6872</v>
      </c>
      <c r="G1876" s="23" t="s">
        <v>32</v>
      </c>
      <c r="H1876" s="22" t="s">
        <v>2493</v>
      </c>
      <c r="I1876" s="22"/>
      <c r="J1876" s="22" t="s">
        <v>1518</v>
      </c>
      <c r="K1876" s="24"/>
      <c r="L1876" s="24"/>
      <c r="M1876" s="25" t="s">
        <v>6873</v>
      </c>
      <c r="N1876" s="22"/>
      <c r="O1876" s="22" t="s">
        <v>6874</v>
      </c>
      <c r="P1876" s="22" t="str">
        <f>HYPERLINK("https://ceds.ed.gov/cedselementdetails.aspx?termid=21293")</f>
        <v>https://ceds.ed.gov/cedselementdetails.aspx?termid=21293</v>
      </c>
      <c r="Q1876" s="22">
        <v>59121</v>
      </c>
    </row>
    <row r="1877" spans="1:17" ht="57.6" x14ac:dyDescent="0.3">
      <c r="A1877" s="22" t="s">
        <v>7779</v>
      </c>
      <c r="B1877" s="22" t="s">
        <v>7827</v>
      </c>
      <c r="C1877" s="22" t="s">
        <v>7772</v>
      </c>
      <c r="D1877" s="22" t="s">
        <v>7710</v>
      </c>
      <c r="E1877" s="22" t="s">
        <v>6875</v>
      </c>
      <c r="F1877" s="24" t="s">
        <v>8324</v>
      </c>
      <c r="G1877" s="23" t="s">
        <v>32</v>
      </c>
      <c r="H1877" s="22" t="s">
        <v>2493</v>
      </c>
      <c r="I1877" s="22"/>
      <c r="J1877" s="22" t="s">
        <v>1518</v>
      </c>
      <c r="K1877" s="24"/>
      <c r="L1877" s="24"/>
      <c r="M1877" s="25" t="s">
        <v>6876</v>
      </c>
      <c r="N1877" s="22"/>
      <c r="O1877" s="22" t="s">
        <v>6877</v>
      </c>
      <c r="P1877" s="22" t="str">
        <f>HYPERLINK("https://ceds.ed.gov/cedselementdetails.aspx?termid=21295")</f>
        <v>https://ceds.ed.gov/cedselementdetails.aspx?termid=21295</v>
      </c>
      <c r="Q1877" s="22">
        <v>59122</v>
      </c>
    </row>
    <row r="1878" spans="1:17" ht="57.6" x14ac:dyDescent="0.3">
      <c r="A1878" s="22" t="s">
        <v>7779</v>
      </c>
      <c r="B1878" s="22" t="s">
        <v>7827</v>
      </c>
      <c r="C1878" s="22" t="s">
        <v>7772</v>
      </c>
      <c r="D1878" s="22" t="s">
        <v>7710</v>
      </c>
      <c r="E1878" s="22" t="s">
        <v>5439</v>
      </c>
      <c r="F1878" s="24" t="s">
        <v>5440</v>
      </c>
      <c r="G1878" s="26" t="s">
        <v>22</v>
      </c>
      <c r="H1878" s="22" t="s">
        <v>226</v>
      </c>
      <c r="I1878" s="22" t="s">
        <v>172</v>
      </c>
      <c r="J1878" s="22"/>
      <c r="K1878" s="24" t="s">
        <v>7946</v>
      </c>
      <c r="L1878" s="24"/>
      <c r="M1878" s="25" t="s">
        <v>5441</v>
      </c>
      <c r="N1878" s="22" t="s">
        <v>5442</v>
      </c>
      <c r="O1878" s="22" t="s">
        <v>5443</v>
      </c>
      <c r="P1878" s="22" t="str">
        <f>HYPERLINK("https://ceds.ed.gov/cedselementdetails.aspx?termid=21534")</f>
        <v>https://ceds.ed.gov/cedselementdetails.aspx?termid=21534</v>
      </c>
      <c r="Q1878" s="22">
        <v>59129</v>
      </c>
    </row>
    <row r="1879" spans="1:17" ht="57.6" x14ac:dyDescent="0.3">
      <c r="A1879" s="22" t="s">
        <v>7779</v>
      </c>
      <c r="B1879" s="22" t="s">
        <v>7827</v>
      </c>
      <c r="C1879" s="22" t="s">
        <v>7772</v>
      </c>
      <c r="D1879" s="22" t="s">
        <v>7710</v>
      </c>
      <c r="E1879" s="22" t="s">
        <v>7233</v>
      </c>
      <c r="F1879" s="24" t="s">
        <v>7234</v>
      </c>
      <c r="G1879" s="26" t="s">
        <v>22</v>
      </c>
      <c r="H1879" s="22"/>
      <c r="I1879" s="22" t="s">
        <v>172</v>
      </c>
      <c r="J1879" s="22"/>
      <c r="K1879" s="24" t="s">
        <v>7946</v>
      </c>
      <c r="L1879" s="24"/>
      <c r="M1879" s="25" t="s">
        <v>7235</v>
      </c>
      <c r="N1879" s="22"/>
      <c r="O1879" s="22" t="s">
        <v>7236</v>
      </c>
      <c r="P1879" s="22" t="str">
        <f>HYPERLINK("https://ceds.ed.gov/cedselementdetails.aspx?termid=21543")</f>
        <v>https://ceds.ed.gov/cedselementdetails.aspx?termid=21543</v>
      </c>
      <c r="Q1879" s="22">
        <v>59131</v>
      </c>
    </row>
    <row r="1880" spans="1:17" ht="115.2" x14ac:dyDescent="0.3">
      <c r="A1880" s="22" t="s">
        <v>7779</v>
      </c>
      <c r="B1880" s="22" t="s">
        <v>7827</v>
      </c>
      <c r="C1880" s="22" t="s">
        <v>7772</v>
      </c>
      <c r="D1880" s="22" t="s">
        <v>7710</v>
      </c>
      <c r="E1880" s="22" t="s">
        <v>6924</v>
      </c>
      <c r="F1880" s="24" t="s">
        <v>8326</v>
      </c>
      <c r="G1880" s="23" t="s">
        <v>32</v>
      </c>
      <c r="H1880" s="22" t="s">
        <v>69</v>
      </c>
      <c r="I1880" s="22"/>
      <c r="J1880" s="22" t="s">
        <v>6925</v>
      </c>
      <c r="K1880" s="24"/>
      <c r="L1880" s="24"/>
      <c r="M1880" s="25" t="s">
        <v>6926</v>
      </c>
      <c r="N1880" s="22"/>
      <c r="O1880" s="22" t="s">
        <v>6927</v>
      </c>
      <c r="P1880" s="22" t="str">
        <f>HYPERLINK("https://ceds.ed.gov/cedselementdetails.aspx?termid=21707")</f>
        <v>https://ceds.ed.gov/cedselementdetails.aspx?termid=21707</v>
      </c>
      <c r="Q1880" s="22">
        <v>63326</v>
      </c>
    </row>
    <row r="1881" spans="1:17" ht="216" x14ac:dyDescent="0.3">
      <c r="A1881" s="22" t="s">
        <v>7779</v>
      </c>
      <c r="B1881" s="22" t="s">
        <v>7827</v>
      </c>
      <c r="C1881" s="22" t="s">
        <v>7772</v>
      </c>
      <c r="D1881" s="22" t="s">
        <v>7710</v>
      </c>
      <c r="E1881" s="22" t="s">
        <v>7656</v>
      </c>
      <c r="F1881" s="24" t="s">
        <v>7657</v>
      </c>
      <c r="G1881" s="26" t="s">
        <v>8514</v>
      </c>
      <c r="H1881" s="22"/>
      <c r="I1881" s="22" t="s">
        <v>172</v>
      </c>
      <c r="J1881" s="22"/>
      <c r="K1881" s="24" t="s">
        <v>7995</v>
      </c>
      <c r="L1881" s="24"/>
      <c r="M1881" s="25" t="s">
        <v>7658</v>
      </c>
      <c r="N1881" s="22"/>
      <c r="O1881" s="22" t="s">
        <v>7656</v>
      </c>
      <c r="P1881" s="22" t="str">
        <f>HYPERLINK("https://ceds.ed.gov/cedselementdetails.aspx?termid=22959")</f>
        <v>https://ceds.ed.gov/cedselementdetails.aspx?termid=22959</v>
      </c>
      <c r="Q1881" s="22">
        <v>63537</v>
      </c>
    </row>
    <row r="1882" spans="1:17" ht="28.8" x14ac:dyDescent="0.3">
      <c r="A1882" s="22" t="s">
        <v>7779</v>
      </c>
      <c r="B1882" s="22" t="s">
        <v>7827</v>
      </c>
      <c r="C1882" s="22" t="s">
        <v>7772</v>
      </c>
      <c r="D1882" s="22" t="s">
        <v>7710</v>
      </c>
      <c r="E1882" s="22" t="s">
        <v>7667</v>
      </c>
      <c r="F1882" s="24" t="s">
        <v>7668</v>
      </c>
      <c r="G1882" s="23" t="s">
        <v>32</v>
      </c>
      <c r="H1882" s="22"/>
      <c r="I1882" s="22"/>
      <c r="J1882" s="22" t="s">
        <v>1518</v>
      </c>
      <c r="K1882" s="24"/>
      <c r="L1882" s="24"/>
      <c r="M1882" s="25" t="s">
        <v>7669</v>
      </c>
      <c r="N1882" s="22"/>
      <c r="O1882" s="22" t="s">
        <v>7670</v>
      </c>
      <c r="P1882" s="22" t="str">
        <f>HYPERLINK("https://ceds.ed.gov/cedselementdetails.aspx?termid=22962")</f>
        <v>https://ceds.ed.gov/cedselementdetails.aspx?termid=22962</v>
      </c>
      <c r="Q1882" s="22">
        <v>63538</v>
      </c>
    </row>
    <row r="1883" spans="1:17" ht="28.8" x14ac:dyDescent="0.3">
      <c r="A1883" s="22" t="s">
        <v>7779</v>
      </c>
      <c r="B1883" s="22" t="s">
        <v>7827</v>
      </c>
      <c r="C1883" s="22" t="s">
        <v>7772</v>
      </c>
      <c r="D1883" s="22" t="s">
        <v>7710</v>
      </c>
      <c r="E1883" s="22" t="s">
        <v>7671</v>
      </c>
      <c r="F1883" s="24" t="s">
        <v>7672</v>
      </c>
      <c r="G1883" s="23" t="s">
        <v>32</v>
      </c>
      <c r="H1883" s="22"/>
      <c r="I1883" s="22"/>
      <c r="J1883" s="22" t="s">
        <v>1518</v>
      </c>
      <c r="K1883" s="24"/>
      <c r="L1883" s="24"/>
      <c r="M1883" s="25" t="s">
        <v>7673</v>
      </c>
      <c r="N1883" s="22"/>
      <c r="O1883" s="22" t="s">
        <v>7674</v>
      </c>
      <c r="P1883" s="22" t="str">
        <f>HYPERLINK("https://ceds.ed.gov/cedselementdetails.aspx?termid=22963")</f>
        <v>https://ceds.ed.gov/cedselementdetails.aspx?termid=22963</v>
      </c>
      <c r="Q1883" s="22">
        <v>63539</v>
      </c>
    </row>
    <row r="1884" spans="1:17" ht="57.6" x14ac:dyDescent="0.3">
      <c r="A1884" s="22" t="s">
        <v>7779</v>
      </c>
      <c r="B1884" s="22" t="s">
        <v>7827</v>
      </c>
      <c r="C1884" s="22" t="s">
        <v>7772</v>
      </c>
      <c r="D1884" s="22" t="s">
        <v>7710</v>
      </c>
      <c r="E1884" s="22" t="s">
        <v>7675</v>
      </c>
      <c r="F1884" s="24" t="s">
        <v>7676</v>
      </c>
      <c r="G1884" s="26" t="s">
        <v>9149</v>
      </c>
      <c r="H1884" s="22"/>
      <c r="I1884" s="22"/>
      <c r="J1884" s="22"/>
      <c r="K1884" s="24"/>
      <c r="L1884" s="24"/>
      <c r="M1884" s="25" t="s">
        <v>7677</v>
      </c>
      <c r="N1884" s="22"/>
      <c r="O1884" s="22" t="s">
        <v>7678</v>
      </c>
      <c r="P1884" s="22" t="str">
        <f>HYPERLINK("https://ceds.ed.gov/cedselementdetails.aspx?termid=22964")</f>
        <v>https://ceds.ed.gov/cedselementdetails.aspx?termid=22964</v>
      </c>
      <c r="Q1884" s="22">
        <v>63540</v>
      </c>
    </row>
    <row r="1885" spans="1:17" ht="43.2" x14ac:dyDescent="0.3">
      <c r="A1885" s="22" t="s">
        <v>7779</v>
      </c>
      <c r="B1885" s="22" t="s">
        <v>7827</v>
      </c>
      <c r="C1885" s="22" t="s">
        <v>7732</v>
      </c>
      <c r="D1885" s="22" t="s">
        <v>7710</v>
      </c>
      <c r="E1885" s="22" t="s">
        <v>1929</v>
      </c>
      <c r="F1885" s="24" t="s">
        <v>1930</v>
      </c>
      <c r="G1885" s="23" t="s">
        <v>32</v>
      </c>
      <c r="H1885" s="22"/>
      <c r="I1885" s="22"/>
      <c r="J1885" s="22" t="s">
        <v>118</v>
      </c>
      <c r="K1885" s="24"/>
      <c r="L1885" s="24"/>
      <c r="M1885" s="25" t="s">
        <v>1931</v>
      </c>
      <c r="N1885" s="22"/>
      <c r="O1885" s="22" t="s">
        <v>1932</v>
      </c>
      <c r="P1885" s="22" t="str">
        <f>HYPERLINK("https://ceds.ed.gov/cedselementdetails.aspx?termid=22255")</f>
        <v>https://ceds.ed.gov/cedselementdetails.aspx?termid=22255</v>
      </c>
      <c r="Q1885" s="22">
        <v>61080</v>
      </c>
    </row>
    <row r="1886" spans="1:17" ht="72" x14ac:dyDescent="0.3">
      <c r="A1886" s="22" t="s">
        <v>7779</v>
      </c>
      <c r="B1886" s="22" t="s">
        <v>7827</v>
      </c>
      <c r="C1886" s="22" t="s">
        <v>7732</v>
      </c>
      <c r="D1886" s="22" t="s">
        <v>7710</v>
      </c>
      <c r="E1886" s="22" t="s">
        <v>1933</v>
      </c>
      <c r="F1886" s="24" t="s">
        <v>1934</v>
      </c>
      <c r="G1886" s="26" t="s">
        <v>8713</v>
      </c>
      <c r="H1886" s="22"/>
      <c r="I1886" s="22"/>
      <c r="J1886" s="22"/>
      <c r="K1886" s="24"/>
      <c r="L1886" s="24"/>
      <c r="M1886" s="25" t="s">
        <v>1935</v>
      </c>
      <c r="N1886" s="22"/>
      <c r="O1886" s="22" t="s">
        <v>1936</v>
      </c>
      <c r="P1886" s="22" t="str">
        <f>HYPERLINK("https://ceds.ed.gov/cedselementdetails.aspx?termid=22256")</f>
        <v>https://ceds.ed.gov/cedselementdetails.aspx?termid=22256</v>
      </c>
      <c r="Q1886" s="22">
        <v>61083</v>
      </c>
    </row>
    <row r="1887" spans="1:17" ht="28.8" x14ac:dyDescent="0.3">
      <c r="A1887" s="22" t="s">
        <v>7779</v>
      </c>
      <c r="B1887" s="22" t="s">
        <v>7827</v>
      </c>
      <c r="C1887" s="22" t="s">
        <v>7732</v>
      </c>
      <c r="D1887" s="22" t="s">
        <v>7710</v>
      </c>
      <c r="E1887" s="22" t="s">
        <v>6886</v>
      </c>
      <c r="F1887" s="24" t="s">
        <v>6887</v>
      </c>
      <c r="G1887" s="23" t="s">
        <v>32</v>
      </c>
      <c r="H1887" s="22"/>
      <c r="I1887" s="22"/>
      <c r="J1887" s="22" t="s">
        <v>55</v>
      </c>
      <c r="K1887" s="24"/>
      <c r="L1887" s="24"/>
      <c r="M1887" s="25" t="s">
        <v>6888</v>
      </c>
      <c r="N1887" s="22"/>
      <c r="O1887" s="22" t="s">
        <v>6889</v>
      </c>
      <c r="P1887" s="22" t="str">
        <f>HYPERLINK("https://ceds.ed.gov/cedselementdetails.aspx?termid=21102")</f>
        <v>https://ceds.ed.gov/cedselementdetails.aspx?termid=21102</v>
      </c>
      <c r="Q1887" s="22">
        <v>59081</v>
      </c>
    </row>
    <row r="1888" spans="1:17" ht="57.6" x14ac:dyDescent="0.3">
      <c r="A1888" s="22" t="s">
        <v>7779</v>
      </c>
      <c r="B1888" s="22" t="s">
        <v>7827</v>
      </c>
      <c r="C1888" s="22" t="s">
        <v>7732</v>
      </c>
      <c r="D1888" s="22" t="s">
        <v>7710</v>
      </c>
      <c r="E1888" s="22" t="s">
        <v>6890</v>
      </c>
      <c r="F1888" s="24" t="s">
        <v>7690</v>
      </c>
      <c r="G1888" s="23" t="s">
        <v>32</v>
      </c>
      <c r="H1888" s="22"/>
      <c r="I1888" s="22"/>
      <c r="J1888" s="22" t="s">
        <v>55</v>
      </c>
      <c r="K1888" s="24"/>
      <c r="L1888" s="24"/>
      <c r="M1888" s="25" t="s">
        <v>6891</v>
      </c>
      <c r="N1888" s="22"/>
      <c r="O1888" s="22" t="s">
        <v>6892</v>
      </c>
      <c r="P1888" s="22" t="str">
        <f>HYPERLINK("https://ceds.ed.gov/cedselementdetails.aspx?termid=21103")</f>
        <v>https://ceds.ed.gov/cedselementdetails.aspx?termid=21103</v>
      </c>
      <c r="Q1888" s="22">
        <v>59082</v>
      </c>
    </row>
    <row r="1889" spans="1:17" ht="43.2" x14ac:dyDescent="0.3">
      <c r="A1889" s="22" t="s">
        <v>7779</v>
      </c>
      <c r="B1889" s="22" t="s">
        <v>7827</v>
      </c>
      <c r="C1889" s="22" t="s">
        <v>7732</v>
      </c>
      <c r="D1889" s="22" t="s">
        <v>7710</v>
      </c>
      <c r="E1889" s="22" t="s">
        <v>6893</v>
      </c>
      <c r="F1889" s="24" t="s">
        <v>7691</v>
      </c>
      <c r="G1889" s="23" t="s">
        <v>32</v>
      </c>
      <c r="H1889" s="22"/>
      <c r="I1889" s="22"/>
      <c r="J1889" s="22" t="s">
        <v>157</v>
      </c>
      <c r="K1889" s="24"/>
      <c r="L1889" s="24"/>
      <c r="M1889" s="25" t="s">
        <v>6894</v>
      </c>
      <c r="N1889" s="22"/>
      <c r="O1889" s="22" t="s">
        <v>6895</v>
      </c>
      <c r="P1889" s="22" t="str">
        <f>HYPERLINK("https://ceds.ed.gov/cedselementdetails.aspx?termid=21104")</f>
        <v>https://ceds.ed.gov/cedselementdetails.aspx?termid=21104</v>
      </c>
      <c r="Q1889" s="22">
        <v>59083</v>
      </c>
    </row>
    <row r="1890" spans="1:17" ht="43.2" x14ac:dyDescent="0.3">
      <c r="A1890" s="22" t="s">
        <v>7779</v>
      </c>
      <c r="B1890" s="22" t="s">
        <v>7827</v>
      </c>
      <c r="C1890" s="22" t="s">
        <v>7732</v>
      </c>
      <c r="D1890" s="22" t="s">
        <v>7710</v>
      </c>
      <c r="E1890" s="22" t="s">
        <v>6896</v>
      </c>
      <c r="F1890" s="24" t="s">
        <v>6897</v>
      </c>
      <c r="G1890" s="23" t="s">
        <v>32</v>
      </c>
      <c r="H1890" s="22"/>
      <c r="I1890" s="22"/>
      <c r="J1890" s="22" t="s">
        <v>157</v>
      </c>
      <c r="K1890" s="24"/>
      <c r="L1890" s="24"/>
      <c r="M1890" s="25" t="s">
        <v>6898</v>
      </c>
      <c r="N1890" s="22"/>
      <c r="O1890" s="22" t="s">
        <v>6899</v>
      </c>
      <c r="P1890" s="22" t="str">
        <f>HYPERLINK("https://ceds.ed.gov/cedselementdetails.aspx?termid=21105")</f>
        <v>https://ceds.ed.gov/cedselementdetails.aspx?termid=21105</v>
      </c>
      <c r="Q1890" s="22">
        <v>59084</v>
      </c>
    </row>
    <row r="1891" spans="1:17" ht="115.2" x14ac:dyDescent="0.3">
      <c r="A1891" s="22" t="s">
        <v>7779</v>
      </c>
      <c r="B1891" s="22" t="s">
        <v>7827</v>
      </c>
      <c r="C1891" s="22" t="s">
        <v>7732</v>
      </c>
      <c r="D1891" s="22" t="s">
        <v>7710</v>
      </c>
      <c r="E1891" s="22" t="s">
        <v>3893</v>
      </c>
      <c r="F1891" s="24" t="s">
        <v>3894</v>
      </c>
      <c r="G1891" s="26" t="s">
        <v>8893</v>
      </c>
      <c r="H1891" s="24" t="s">
        <v>503</v>
      </c>
      <c r="I1891" s="22"/>
      <c r="J1891" s="22"/>
      <c r="K1891" s="24"/>
      <c r="L1891" s="24"/>
      <c r="M1891" s="25" t="s">
        <v>3896</v>
      </c>
      <c r="N1891" s="22"/>
      <c r="O1891" s="22" t="s">
        <v>3897</v>
      </c>
      <c r="P1891" s="22" t="str">
        <f>HYPERLINK("https://ceds.ed.gov/cedselementdetails.aspx?termid=21582")</f>
        <v>https://ceds.ed.gov/cedselementdetails.aspx?termid=21582</v>
      </c>
      <c r="Q1891" s="22">
        <v>59134</v>
      </c>
    </row>
    <row r="1892" spans="1:17" ht="57.6" x14ac:dyDescent="0.3">
      <c r="A1892" s="22" t="s">
        <v>7779</v>
      </c>
      <c r="B1892" s="22" t="s">
        <v>7827</v>
      </c>
      <c r="C1892" s="22" t="s">
        <v>7732</v>
      </c>
      <c r="D1892" s="22" t="s">
        <v>7710</v>
      </c>
      <c r="E1892" s="22" t="s">
        <v>7155</v>
      </c>
      <c r="F1892" s="24" t="s">
        <v>7156</v>
      </c>
      <c r="G1892" s="26" t="s">
        <v>22</v>
      </c>
      <c r="H1892" s="22" t="s">
        <v>226</v>
      </c>
      <c r="I1892" s="22"/>
      <c r="J1892" s="22"/>
      <c r="K1892" s="24"/>
      <c r="L1892" s="24"/>
      <c r="M1892" s="25" t="s">
        <v>7157</v>
      </c>
      <c r="N1892" s="22"/>
      <c r="O1892" s="22" t="s">
        <v>7158</v>
      </c>
      <c r="P1892" s="22" t="str">
        <f>HYPERLINK("https://ceds.ed.gov/cedselementdetails.aspx?termid=21537")</f>
        <v>https://ceds.ed.gov/cedselementdetails.aspx?termid=21537</v>
      </c>
      <c r="Q1892" s="22">
        <v>59130</v>
      </c>
    </row>
    <row r="1893" spans="1:17" ht="57.6" x14ac:dyDescent="0.3">
      <c r="A1893" s="22" t="s">
        <v>7779</v>
      </c>
      <c r="B1893" s="22" t="s">
        <v>7827</v>
      </c>
      <c r="C1893" s="22" t="s">
        <v>7732</v>
      </c>
      <c r="D1893" s="22" t="s">
        <v>7710</v>
      </c>
      <c r="E1893" s="22" t="s">
        <v>7304</v>
      </c>
      <c r="F1893" s="24" t="s">
        <v>7305</v>
      </c>
      <c r="G1893" s="26" t="s">
        <v>22</v>
      </c>
      <c r="H1893" s="22"/>
      <c r="I1893" s="22"/>
      <c r="J1893" s="22"/>
      <c r="K1893" s="24"/>
      <c r="L1893" s="24" t="s">
        <v>7306</v>
      </c>
      <c r="M1893" s="25" t="s">
        <v>7307</v>
      </c>
      <c r="N1893" s="22"/>
      <c r="O1893" s="22" t="s">
        <v>7308</v>
      </c>
      <c r="P1893" s="22" t="str">
        <f>HYPERLINK("https://ceds.ed.gov/cedselementdetails.aspx?termid=22554")</f>
        <v>https://ceds.ed.gov/cedselementdetails.aspx?termid=22554</v>
      </c>
      <c r="Q1893" s="22">
        <v>61930</v>
      </c>
    </row>
    <row r="1894" spans="1:17" ht="28.8" x14ac:dyDescent="0.3">
      <c r="A1894" s="22" t="s">
        <v>7779</v>
      </c>
      <c r="B1894" s="22" t="s">
        <v>7827</v>
      </c>
      <c r="C1894" s="22" t="s">
        <v>7732</v>
      </c>
      <c r="D1894" s="22" t="s">
        <v>7710</v>
      </c>
      <c r="E1894" s="22" t="s">
        <v>7679</v>
      </c>
      <c r="F1894" s="24" t="s">
        <v>7680</v>
      </c>
      <c r="G1894" s="23" t="s">
        <v>32</v>
      </c>
      <c r="H1894" s="22"/>
      <c r="I1894" s="22"/>
      <c r="J1894" s="22" t="s">
        <v>157</v>
      </c>
      <c r="K1894" s="24"/>
      <c r="L1894" s="24"/>
      <c r="M1894" s="25" t="s">
        <v>7681</v>
      </c>
      <c r="N1894" s="22"/>
      <c r="O1894" s="22" t="s">
        <v>7682</v>
      </c>
      <c r="P1894" s="22" t="str">
        <f>HYPERLINK("https://ceds.ed.gov/cedselementdetails.aspx?termid=22965")</f>
        <v>https://ceds.ed.gov/cedselementdetails.aspx?termid=22965</v>
      </c>
      <c r="Q1894" s="22">
        <v>63542</v>
      </c>
    </row>
    <row r="1895" spans="1:17" ht="57.6" x14ac:dyDescent="0.3">
      <c r="A1895" s="22" t="s">
        <v>7779</v>
      </c>
      <c r="B1895" s="22" t="s">
        <v>7827</v>
      </c>
      <c r="C1895" s="22" t="s">
        <v>7732</v>
      </c>
      <c r="D1895" s="22" t="s">
        <v>7710</v>
      </c>
      <c r="E1895" s="22" t="s">
        <v>7683</v>
      </c>
      <c r="F1895" s="24" t="s">
        <v>7684</v>
      </c>
      <c r="G1895" s="23" t="s">
        <v>32</v>
      </c>
      <c r="H1895" s="22"/>
      <c r="I1895" s="22"/>
      <c r="J1895" s="22" t="s">
        <v>55</v>
      </c>
      <c r="K1895" s="24"/>
      <c r="L1895" s="24"/>
      <c r="M1895" s="25" t="s">
        <v>7685</v>
      </c>
      <c r="N1895" s="22"/>
      <c r="O1895" s="22" t="s">
        <v>7686</v>
      </c>
      <c r="P1895" s="22" t="str">
        <f>HYPERLINK("https://ceds.ed.gov/cedselementdetails.aspx?termid=22966")</f>
        <v>https://ceds.ed.gov/cedselementdetails.aspx?termid=22966</v>
      </c>
      <c r="Q1895" s="22">
        <v>63543</v>
      </c>
    </row>
    <row r="1896" spans="1:17" ht="43.2" x14ac:dyDescent="0.3">
      <c r="A1896" s="22" t="s">
        <v>7779</v>
      </c>
      <c r="B1896" s="22" t="s">
        <v>7827</v>
      </c>
      <c r="C1896" s="22" t="s">
        <v>7732</v>
      </c>
      <c r="D1896" s="22" t="s">
        <v>7710</v>
      </c>
      <c r="E1896" s="22" t="s">
        <v>7687</v>
      </c>
      <c r="F1896" s="24" t="s">
        <v>8325</v>
      </c>
      <c r="G1896" s="23" t="s">
        <v>32</v>
      </c>
      <c r="H1896" s="22"/>
      <c r="I1896" s="22"/>
      <c r="J1896" s="22" t="s">
        <v>157</v>
      </c>
      <c r="K1896" s="24"/>
      <c r="L1896" s="24"/>
      <c r="M1896" s="25" t="s">
        <v>7688</v>
      </c>
      <c r="N1896" s="22"/>
      <c r="O1896" s="22" t="s">
        <v>7689</v>
      </c>
      <c r="P1896" s="22" t="str">
        <f>HYPERLINK("https://ceds.ed.gov/cedselementdetails.aspx?termid=22967")</f>
        <v>https://ceds.ed.gov/cedselementdetails.aspx?termid=22967</v>
      </c>
      <c r="Q1896" s="22">
        <v>63544</v>
      </c>
    </row>
    <row r="1897" spans="1:17" ht="172.8" x14ac:dyDescent="0.3">
      <c r="A1897" s="22" t="s">
        <v>7779</v>
      </c>
      <c r="B1897" s="22" t="s">
        <v>7827</v>
      </c>
      <c r="C1897" s="22" t="s">
        <v>7774</v>
      </c>
      <c r="D1897" s="22" t="s">
        <v>7710</v>
      </c>
      <c r="E1897" s="22" t="s">
        <v>6911</v>
      </c>
      <c r="F1897" s="24" t="s">
        <v>6912</v>
      </c>
      <c r="G1897" s="23" t="s">
        <v>32</v>
      </c>
      <c r="H1897" s="24" t="s">
        <v>6915</v>
      </c>
      <c r="I1897" s="22" t="s">
        <v>172</v>
      </c>
      <c r="J1897" s="22" t="s">
        <v>132</v>
      </c>
      <c r="K1897" s="24" t="s">
        <v>7946</v>
      </c>
      <c r="L1897" s="24" t="s">
        <v>7945</v>
      </c>
      <c r="M1897" s="25" t="s">
        <v>6913</v>
      </c>
      <c r="N1897" s="22"/>
      <c r="O1897" s="22" t="s">
        <v>6914</v>
      </c>
      <c r="P1897" s="22" t="str">
        <f>HYPERLINK("https://ceds.ed.gov/cedselementdetails.aspx?termid=21156")</f>
        <v>https://ceds.ed.gov/cedselementdetails.aspx?termid=21156</v>
      </c>
      <c r="Q1897" s="22">
        <v>62356</v>
      </c>
    </row>
    <row r="1898" spans="1:17" ht="244.8" x14ac:dyDescent="0.3">
      <c r="A1898" s="22" t="s">
        <v>7779</v>
      </c>
      <c r="B1898" s="22" t="s">
        <v>7827</v>
      </c>
      <c r="C1898" s="22" t="s">
        <v>7774</v>
      </c>
      <c r="D1898" s="22" t="s">
        <v>7710</v>
      </c>
      <c r="E1898" s="22" t="s">
        <v>6906</v>
      </c>
      <c r="F1898" s="24" t="s">
        <v>6907</v>
      </c>
      <c r="G1898" s="26" t="s">
        <v>8531</v>
      </c>
      <c r="H1898" s="24" t="s">
        <v>6910</v>
      </c>
      <c r="I1898" s="22" t="s">
        <v>172</v>
      </c>
      <c r="J1898" s="22"/>
      <c r="K1898" s="24" t="s">
        <v>7946</v>
      </c>
      <c r="L1898" s="24"/>
      <c r="M1898" s="25" t="s">
        <v>6908</v>
      </c>
      <c r="N1898" s="22"/>
      <c r="O1898" s="22" t="s">
        <v>6909</v>
      </c>
      <c r="P1898" s="22" t="str">
        <f>HYPERLINK("https://ceds.ed.gov/cedselementdetails.aspx?termid=21162")</f>
        <v>https://ceds.ed.gov/cedselementdetails.aspx?termid=21162</v>
      </c>
      <c r="Q1898" s="22">
        <v>62357</v>
      </c>
    </row>
    <row r="1899" spans="1:17" ht="72" x14ac:dyDescent="0.3">
      <c r="A1899" s="22" t="s">
        <v>7779</v>
      </c>
      <c r="B1899" s="22" t="s">
        <v>7827</v>
      </c>
      <c r="C1899" s="22" t="s">
        <v>7774</v>
      </c>
      <c r="D1899" s="22" t="s">
        <v>7710</v>
      </c>
      <c r="E1899" s="22" t="s">
        <v>5873</v>
      </c>
      <c r="F1899" s="24" t="s">
        <v>5874</v>
      </c>
      <c r="G1899" s="23" t="s">
        <v>32</v>
      </c>
      <c r="H1899" s="24" t="s">
        <v>64</v>
      </c>
      <c r="I1899" s="22" t="s">
        <v>172</v>
      </c>
      <c r="J1899" s="22" t="s">
        <v>1339</v>
      </c>
      <c r="K1899" s="24" t="s">
        <v>7946</v>
      </c>
      <c r="L1899" s="24"/>
      <c r="M1899" s="25" t="s">
        <v>5875</v>
      </c>
      <c r="N1899" s="22"/>
      <c r="O1899" s="22" t="s">
        <v>5876</v>
      </c>
      <c r="P1899" s="22" t="str">
        <f>HYPERLINK("https://ceds.ed.gov/cedselementdetails.aspx?termid=21213")</f>
        <v>https://ceds.ed.gov/cedselementdetails.aspx?termid=21213</v>
      </c>
      <c r="Q1899" s="22">
        <v>62365</v>
      </c>
    </row>
    <row r="1900" spans="1:17" ht="158.4" x14ac:dyDescent="0.3">
      <c r="A1900" s="22" t="s">
        <v>7779</v>
      </c>
      <c r="B1900" s="22" t="s">
        <v>7827</v>
      </c>
      <c r="C1900" s="22" t="s">
        <v>7774</v>
      </c>
      <c r="D1900" s="22" t="s">
        <v>7710</v>
      </c>
      <c r="E1900" s="22" t="s">
        <v>4050</v>
      </c>
      <c r="F1900" s="24" t="s">
        <v>4051</v>
      </c>
      <c r="G1900" s="23" t="s">
        <v>32</v>
      </c>
      <c r="H1900" s="24" t="s">
        <v>4054</v>
      </c>
      <c r="I1900" s="22"/>
      <c r="J1900" s="22" t="s">
        <v>7536</v>
      </c>
      <c r="K1900" s="24"/>
      <c r="L1900" s="24" t="s">
        <v>8200</v>
      </c>
      <c r="M1900" s="25" t="s">
        <v>4052</v>
      </c>
      <c r="N1900" s="22"/>
      <c r="O1900" s="22" t="s">
        <v>4053</v>
      </c>
      <c r="P1900" s="22" t="str">
        <f>HYPERLINK("https://ceds.ed.gov/cedselementdetails.aspx?termid=21115")</f>
        <v>https://ceds.ed.gov/cedselementdetails.aspx?termid=21115</v>
      </c>
      <c r="Q1900" s="22">
        <v>62360</v>
      </c>
    </row>
    <row r="1901" spans="1:17" ht="158.4" x14ac:dyDescent="0.3">
      <c r="A1901" s="22" t="s">
        <v>7779</v>
      </c>
      <c r="B1901" s="22" t="s">
        <v>7827</v>
      </c>
      <c r="C1901" s="22" t="s">
        <v>7774</v>
      </c>
      <c r="D1901" s="22" t="s">
        <v>7710</v>
      </c>
      <c r="E1901" s="22" t="s">
        <v>5415</v>
      </c>
      <c r="F1901" s="24" t="s">
        <v>5416</v>
      </c>
      <c r="G1901" s="23" t="s">
        <v>32</v>
      </c>
      <c r="H1901" s="24" t="s">
        <v>4054</v>
      </c>
      <c r="I1901" s="22"/>
      <c r="J1901" s="22" t="s">
        <v>7536</v>
      </c>
      <c r="K1901" s="24"/>
      <c r="L1901" s="24" t="s">
        <v>8207</v>
      </c>
      <c r="M1901" s="25" t="s">
        <v>5417</v>
      </c>
      <c r="N1901" s="22"/>
      <c r="O1901" s="22" t="s">
        <v>5418</v>
      </c>
      <c r="P1901" s="22" t="str">
        <f>HYPERLINK("https://ceds.ed.gov/cedselementdetails.aspx?termid=21184")</f>
        <v>https://ceds.ed.gov/cedselementdetails.aspx?termid=21184</v>
      </c>
      <c r="Q1901" s="22">
        <v>62363</v>
      </c>
    </row>
    <row r="1902" spans="1:17" ht="158.4" x14ac:dyDescent="0.3">
      <c r="A1902" s="22" t="s">
        <v>7779</v>
      </c>
      <c r="B1902" s="22" t="s">
        <v>7827</v>
      </c>
      <c r="C1902" s="22" t="s">
        <v>7774</v>
      </c>
      <c r="D1902" s="22" t="s">
        <v>7710</v>
      </c>
      <c r="E1902" s="22" t="s">
        <v>4973</v>
      </c>
      <c r="F1902" s="24" t="s">
        <v>4974</v>
      </c>
      <c r="G1902" s="23" t="s">
        <v>32</v>
      </c>
      <c r="H1902" s="24" t="s">
        <v>4054</v>
      </c>
      <c r="I1902" s="22"/>
      <c r="J1902" s="22" t="s">
        <v>7536</v>
      </c>
      <c r="K1902" s="24"/>
      <c r="L1902" s="24" t="s">
        <v>8207</v>
      </c>
      <c r="M1902" s="25" t="s">
        <v>4975</v>
      </c>
      <c r="N1902" s="22" t="s">
        <v>4976</v>
      </c>
      <c r="O1902" s="22" t="s">
        <v>4977</v>
      </c>
      <c r="P1902" s="22" t="str">
        <f>HYPERLINK("https://ceds.ed.gov/cedselementdetails.aspx?termid=21172")</f>
        <v>https://ceds.ed.gov/cedselementdetails.aspx?termid=21172</v>
      </c>
      <c r="Q1902" s="22">
        <v>62362</v>
      </c>
    </row>
    <row r="1903" spans="1:17" ht="86.4" x14ac:dyDescent="0.3">
      <c r="A1903" s="22" t="s">
        <v>7779</v>
      </c>
      <c r="B1903" s="22" t="s">
        <v>7827</v>
      </c>
      <c r="C1903" s="22" t="s">
        <v>7774</v>
      </c>
      <c r="D1903" s="22" t="s">
        <v>7710</v>
      </c>
      <c r="E1903" s="22" t="s">
        <v>5860</v>
      </c>
      <c r="F1903" s="24" t="s">
        <v>5861</v>
      </c>
      <c r="G1903" s="23" t="s">
        <v>32</v>
      </c>
      <c r="H1903" s="24" t="s">
        <v>5865</v>
      </c>
      <c r="I1903" s="22"/>
      <c r="J1903" s="22" t="s">
        <v>85</v>
      </c>
      <c r="K1903" s="24"/>
      <c r="L1903" s="24"/>
      <c r="M1903" s="25" t="s">
        <v>5862</v>
      </c>
      <c r="N1903" s="22" t="s">
        <v>5863</v>
      </c>
      <c r="O1903" s="22" t="s">
        <v>5864</v>
      </c>
      <c r="P1903" s="22" t="str">
        <f>HYPERLINK("https://ceds.ed.gov/cedselementdetails.aspx?termid=21212")</f>
        <v>https://ceds.ed.gov/cedselementdetails.aspx?termid=21212</v>
      </c>
      <c r="Q1903" s="22">
        <v>62364</v>
      </c>
    </row>
    <row r="1904" spans="1:17" ht="129.6" x14ac:dyDescent="0.3">
      <c r="A1904" s="22" t="s">
        <v>7779</v>
      </c>
      <c r="B1904" s="22" t="s">
        <v>7827</v>
      </c>
      <c r="C1904" s="22" t="s">
        <v>7774</v>
      </c>
      <c r="D1904" s="22" t="s">
        <v>7710</v>
      </c>
      <c r="E1904" s="22" t="s">
        <v>4114</v>
      </c>
      <c r="F1904" s="24" t="s">
        <v>4115</v>
      </c>
      <c r="G1904" s="23" t="s">
        <v>32</v>
      </c>
      <c r="H1904" s="24" t="s">
        <v>4119</v>
      </c>
      <c r="I1904" s="22"/>
      <c r="J1904" s="22" t="s">
        <v>2743</v>
      </c>
      <c r="K1904" s="24"/>
      <c r="L1904" s="24" t="s">
        <v>8207</v>
      </c>
      <c r="M1904" s="25" t="s">
        <v>4117</v>
      </c>
      <c r="N1904" s="22"/>
      <c r="O1904" s="22" t="s">
        <v>4118</v>
      </c>
      <c r="P1904" s="22" t="str">
        <f>HYPERLINK("https://ceds.ed.gov/cedselementdetails.aspx?termid=21121")</f>
        <v>https://ceds.ed.gov/cedselementdetails.aspx?termid=21121</v>
      </c>
      <c r="Q1904" s="22">
        <v>62361</v>
      </c>
    </row>
    <row r="1905" spans="1:17" ht="100.8" x14ac:dyDescent="0.3">
      <c r="A1905" s="22" t="s">
        <v>7779</v>
      </c>
      <c r="B1905" s="22" t="s">
        <v>7827</v>
      </c>
      <c r="C1905" s="22" t="s">
        <v>7774</v>
      </c>
      <c r="D1905" s="22" t="s">
        <v>7710</v>
      </c>
      <c r="E1905" s="22" t="s">
        <v>203</v>
      </c>
      <c r="F1905" s="24" t="s">
        <v>204</v>
      </c>
      <c r="G1905" s="26" t="s">
        <v>8577</v>
      </c>
      <c r="H1905" s="22" t="s">
        <v>207</v>
      </c>
      <c r="I1905" s="22"/>
      <c r="J1905" s="22" t="s">
        <v>85</v>
      </c>
      <c r="K1905" s="24"/>
      <c r="L1905" s="24"/>
      <c r="M1905" s="25" t="s">
        <v>205</v>
      </c>
      <c r="N1905" s="22"/>
      <c r="O1905" s="22" t="s">
        <v>206</v>
      </c>
      <c r="P1905" s="22" t="str">
        <f>HYPERLINK("https://ceds.ed.gov/cedselementdetails.aspx?termid=21698")</f>
        <v>https://ceds.ed.gov/cedselementdetails.aspx?termid=21698</v>
      </c>
      <c r="Q1905" s="22">
        <v>62372</v>
      </c>
    </row>
    <row r="1906" spans="1:17" ht="187.2" x14ac:dyDescent="0.3">
      <c r="A1906" s="22" t="s">
        <v>7779</v>
      </c>
      <c r="B1906" s="22" t="s">
        <v>7827</v>
      </c>
      <c r="C1906" s="22" t="s">
        <v>7774</v>
      </c>
      <c r="D1906" s="22" t="s">
        <v>7710</v>
      </c>
      <c r="E1906" s="22" t="s">
        <v>189</v>
      </c>
      <c r="F1906" s="24" t="s">
        <v>190</v>
      </c>
      <c r="G1906" s="23" t="s">
        <v>32</v>
      </c>
      <c r="H1906" s="24" t="s">
        <v>175</v>
      </c>
      <c r="I1906" s="22" t="s">
        <v>172</v>
      </c>
      <c r="J1906" s="22" t="s">
        <v>191</v>
      </c>
      <c r="K1906" s="24" t="s">
        <v>7946</v>
      </c>
      <c r="L1906" s="24"/>
      <c r="M1906" s="25" t="s">
        <v>192</v>
      </c>
      <c r="N1906" s="22"/>
      <c r="O1906" s="22" t="s">
        <v>193</v>
      </c>
      <c r="P1906" s="22" t="str">
        <f>HYPERLINK("https://ceds.ed.gov/cedselementdetails.aspx?termid=21269")</f>
        <v>https://ceds.ed.gov/cedselementdetails.aspx?termid=21269</v>
      </c>
      <c r="Q1906" s="22">
        <v>62369</v>
      </c>
    </row>
    <row r="1907" spans="1:17" ht="187.2" x14ac:dyDescent="0.3">
      <c r="A1907" s="22" t="s">
        <v>7779</v>
      </c>
      <c r="B1907" s="22" t="s">
        <v>7827</v>
      </c>
      <c r="C1907" s="22" t="s">
        <v>7774</v>
      </c>
      <c r="D1907" s="22" t="s">
        <v>7710</v>
      </c>
      <c r="E1907" s="22" t="s">
        <v>170</v>
      </c>
      <c r="F1907" s="24" t="s">
        <v>171</v>
      </c>
      <c r="G1907" s="23" t="s">
        <v>32</v>
      </c>
      <c r="H1907" s="24" t="s">
        <v>175</v>
      </c>
      <c r="I1907" s="22" t="s">
        <v>172</v>
      </c>
      <c r="J1907" s="22" t="s">
        <v>157</v>
      </c>
      <c r="K1907" s="24" t="s">
        <v>7946</v>
      </c>
      <c r="L1907" s="24"/>
      <c r="M1907" s="25" t="s">
        <v>173</v>
      </c>
      <c r="N1907" s="22"/>
      <c r="O1907" s="22" t="s">
        <v>174</v>
      </c>
      <c r="P1907" s="22" t="str">
        <f>HYPERLINK("https://ceds.ed.gov/cedselementdetails.aspx?termid=21019")</f>
        <v>https://ceds.ed.gov/cedselementdetails.aspx?termid=21019</v>
      </c>
      <c r="Q1907" s="22">
        <v>62358</v>
      </c>
    </row>
    <row r="1908" spans="1:17" ht="187.2" x14ac:dyDescent="0.3">
      <c r="A1908" s="22" t="s">
        <v>7779</v>
      </c>
      <c r="B1908" s="22" t="s">
        <v>7827</v>
      </c>
      <c r="C1908" s="22" t="s">
        <v>7774</v>
      </c>
      <c r="D1908" s="22" t="s">
        <v>7710</v>
      </c>
      <c r="E1908" s="22" t="s">
        <v>176</v>
      </c>
      <c r="F1908" s="24" t="s">
        <v>177</v>
      </c>
      <c r="G1908" s="23" t="s">
        <v>32</v>
      </c>
      <c r="H1908" s="24" t="s">
        <v>175</v>
      </c>
      <c r="I1908" s="22" t="s">
        <v>172</v>
      </c>
      <c r="J1908" s="22" t="s">
        <v>85</v>
      </c>
      <c r="K1908" s="24" t="s">
        <v>7946</v>
      </c>
      <c r="L1908" s="24"/>
      <c r="M1908" s="25" t="s">
        <v>178</v>
      </c>
      <c r="N1908" s="22"/>
      <c r="O1908" s="22" t="s">
        <v>179</v>
      </c>
      <c r="P1908" s="22" t="str">
        <f>HYPERLINK("https://ceds.ed.gov/cedselementdetails.aspx?termid=21040")</f>
        <v>https://ceds.ed.gov/cedselementdetails.aspx?termid=21040</v>
      </c>
      <c r="Q1908" s="22">
        <v>62359</v>
      </c>
    </row>
    <row r="1909" spans="1:17" ht="409.6" x14ac:dyDescent="0.3">
      <c r="A1909" s="22" t="s">
        <v>7779</v>
      </c>
      <c r="B1909" s="22" t="s">
        <v>7827</v>
      </c>
      <c r="C1909" s="22" t="s">
        <v>7774</v>
      </c>
      <c r="D1909" s="22" t="s">
        <v>7710</v>
      </c>
      <c r="E1909" s="22" t="s">
        <v>6941</v>
      </c>
      <c r="F1909" s="24" t="s">
        <v>6942</v>
      </c>
      <c r="G1909" s="26" t="s">
        <v>8533</v>
      </c>
      <c r="H1909" s="24" t="s">
        <v>6945</v>
      </c>
      <c r="I1909" s="22" t="s">
        <v>172</v>
      </c>
      <c r="J1909" s="22"/>
      <c r="K1909" s="24" t="s">
        <v>8327</v>
      </c>
      <c r="L1909" s="24"/>
      <c r="M1909" s="25" t="s">
        <v>6943</v>
      </c>
      <c r="N1909" s="22"/>
      <c r="O1909" s="22" t="s">
        <v>6944</v>
      </c>
      <c r="P1909" s="22" t="str">
        <f>HYPERLINK("https://ceds.ed.gov/cedselementdetails.aspx?termid=21267")</f>
        <v>https://ceds.ed.gov/cedselementdetails.aspx?termid=21267</v>
      </c>
      <c r="Q1909" s="22">
        <v>62368</v>
      </c>
    </row>
    <row r="1910" spans="1:17" ht="187.2" x14ac:dyDescent="0.3">
      <c r="A1910" s="22" t="s">
        <v>7779</v>
      </c>
      <c r="B1910" s="22" t="s">
        <v>7827</v>
      </c>
      <c r="C1910" s="22" t="s">
        <v>7774</v>
      </c>
      <c r="D1910" s="22" t="s">
        <v>7710</v>
      </c>
      <c r="E1910" s="22" t="s">
        <v>184</v>
      </c>
      <c r="F1910" s="24" t="s">
        <v>185</v>
      </c>
      <c r="G1910" s="23" t="s">
        <v>32</v>
      </c>
      <c r="H1910" s="24" t="s">
        <v>175</v>
      </c>
      <c r="I1910" s="22" t="s">
        <v>172</v>
      </c>
      <c r="J1910" s="22" t="s">
        <v>186</v>
      </c>
      <c r="K1910" s="24" t="s">
        <v>7946</v>
      </c>
      <c r="L1910" s="24"/>
      <c r="M1910" s="25" t="s">
        <v>187</v>
      </c>
      <c r="N1910" s="22"/>
      <c r="O1910" s="22" t="s">
        <v>188</v>
      </c>
      <c r="P1910" s="22" t="str">
        <f>HYPERLINK("https://ceds.ed.gov/cedselementdetails.aspx?termid=21214")</f>
        <v>https://ceds.ed.gov/cedselementdetails.aspx?termid=21214</v>
      </c>
      <c r="Q1910" s="22">
        <v>62366</v>
      </c>
    </row>
    <row r="1911" spans="1:17" ht="86.4" x14ac:dyDescent="0.3">
      <c r="A1911" s="22" t="s">
        <v>7779</v>
      </c>
      <c r="B1911" s="22" t="s">
        <v>7827</v>
      </c>
      <c r="C1911" s="22" t="s">
        <v>7774</v>
      </c>
      <c r="D1911" s="22" t="s">
        <v>7710</v>
      </c>
      <c r="E1911" s="22" t="s">
        <v>7168</v>
      </c>
      <c r="F1911" s="24" t="s">
        <v>7169</v>
      </c>
      <c r="G1911" s="26" t="s">
        <v>9168</v>
      </c>
      <c r="H1911" s="24" t="s">
        <v>64</v>
      </c>
      <c r="I1911" s="22"/>
      <c r="J1911" s="22" t="s">
        <v>2543</v>
      </c>
      <c r="K1911" s="24"/>
      <c r="L1911" s="24"/>
      <c r="M1911" s="25" t="s">
        <v>7170</v>
      </c>
      <c r="N1911" s="22"/>
      <c r="O1911" s="22" t="s">
        <v>7171</v>
      </c>
      <c r="P1911" s="22" t="str">
        <f>HYPERLINK("https://ceds.ed.gov/cedselementdetails.aspx?termid=21280")</f>
        <v>https://ceds.ed.gov/cedselementdetails.aspx?termid=21280</v>
      </c>
      <c r="Q1911" s="22">
        <v>62371</v>
      </c>
    </row>
    <row r="1912" spans="1:17" ht="72" x14ac:dyDescent="0.3">
      <c r="A1912" s="22" t="s">
        <v>7779</v>
      </c>
      <c r="B1912" s="22" t="s">
        <v>7827</v>
      </c>
      <c r="C1912" s="22" t="s">
        <v>7774</v>
      </c>
      <c r="D1912" s="22" t="s">
        <v>7710</v>
      </c>
      <c r="E1912" s="22" t="s">
        <v>5965</v>
      </c>
      <c r="F1912" s="24" t="s">
        <v>5966</v>
      </c>
      <c r="G1912" s="26" t="s">
        <v>22</v>
      </c>
      <c r="H1912" s="24" t="s">
        <v>64</v>
      </c>
      <c r="I1912" s="22"/>
      <c r="J1912" s="22"/>
      <c r="K1912" s="24"/>
      <c r="L1912" s="24"/>
      <c r="M1912" s="25" t="s">
        <v>5967</v>
      </c>
      <c r="N1912" s="22"/>
      <c r="O1912" s="22" t="s">
        <v>5968</v>
      </c>
      <c r="P1912" s="22" t="str">
        <f>HYPERLINK("https://ceds.ed.gov/cedselementdetails.aspx?termid=21219")</f>
        <v>https://ceds.ed.gov/cedselementdetails.aspx?termid=21219</v>
      </c>
      <c r="Q1912" s="22">
        <v>62367</v>
      </c>
    </row>
    <row r="1913" spans="1:17" ht="72" x14ac:dyDescent="0.3">
      <c r="A1913" s="22" t="s">
        <v>7779</v>
      </c>
      <c r="B1913" s="22" t="s">
        <v>7827</v>
      </c>
      <c r="C1913" s="22" t="s">
        <v>7774</v>
      </c>
      <c r="D1913" s="22" t="s">
        <v>7710</v>
      </c>
      <c r="E1913" s="22" t="s">
        <v>7159</v>
      </c>
      <c r="F1913" s="24" t="s">
        <v>7160</v>
      </c>
      <c r="G1913" s="23" t="s">
        <v>32</v>
      </c>
      <c r="H1913" s="24" t="s">
        <v>64</v>
      </c>
      <c r="I1913" s="22"/>
      <c r="J1913" s="22" t="s">
        <v>7161</v>
      </c>
      <c r="K1913" s="24"/>
      <c r="L1913" s="24"/>
      <c r="M1913" s="25" t="s">
        <v>7162</v>
      </c>
      <c r="N1913" s="22"/>
      <c r="O1913" s="22" t="s">
        <v>7163</v>
      </c>
      <c r="P1913" s="22" t="str">
        <f>HYPERLINK("https://ceds.ed.gov/cedselementdetails.aspx?termid=21279")</f>
        <v>https://ceds.ed.gov/cedselementdetails.aspx?termid=21279</v>
      </c>
      <c r="Q1913" s="22">
        <v>62370</v>
      </c>
    </row>
    <row r="1914" spans="1:17" ht="129.6" x14ac:dyDescent="0.3">
      <c r="A1914" s="22" t="s">
        <v>7779</v>
      </c>
      <c r="B1914" s="22" t="s">
        <v>7827</v>
      </c>
      <c r="C1914" s="22" t="s">
        <v>7774</v>
      </c>
      <c r="D1914" s="22" t="s">
        <v>7710</v>
      </c>
      <c r="E1914" s="22" t="s">
        <v>3435</v>
      </c>
      <c r="F1914" s="24" t="s">
        <v>3436</v>
      </c>
      <c r="G1914" s="26" t="s">
        <v>8831</v>
      </c>
      <c r="H1914" s="22"/>
      <c r="I1914" s="22"/>
      <c r="J1914" s="22"/>
      <c r="K1914" s="24"/>
      <c r="L1914" s="24"/>
      <c r="M1914" s="25" t="s">
        <v>3437</v>
      </c>
      <c r="N1914" s="22"/>
      <c r="O1914" s="22" t="s">
        <v>3438</v>
      </c>
      <c r="P1914" s="22" t="str">
        <f>HYPERLINK("https://ceds.ed.gov/cedselementdetails.aspx?termid=22585")</f>
        <v>https://ceds.ed.gov/cedselementdetails.aspx?termid=22585</v>
      </c>
      <c r="Q1914" s="22">
        <v>62373</v>
      </c>
    </row>
    <row r="1915" spans="1:17" ht="115.2" x14ac:dyDescent="0.3">
      <c r="A1915" s="22" t="s">
        <v>7779</v>
      </c>
      <c r="B1915" s="22" t="s">
        <v>7827</v>
      </c>
      <c r="C1915" s="22" t="s">
        <v>7774</v>
      </c>
      <c r="D1915" s="22" t="s">
        <v>7710</v>
      </c>
      <c r="E1915" s="22" t="s">
        <v>7268</v>
      </c>
      <c r="F1915" s="24" t="s">
        <v>7269</v>
      </c>
      <c r="G1915" s="23" t="s">
        <v>32</v>
      </c>
      <c r="H1915" s="22"/>
      <c r="I1915" s="22"/>
      <c r="J1915" s="22" t="s">
        <v>780</v>
      </c>
      <c r="K1915" s="24"/>
      <c r="L1915" s="24" t="s">
        <v>8331</v>
      </c>
      <c r="M1915" s="25" t="s">
        <v>7270</v>
      </c>
      <c r="N1915" s="22"/>
      <c r="O1915" s="22" t="s">
        <v>7271</v>
      </c>
      <c r="P1915" s="22" t="str">
        <f>HYPERLINK("https://ceds.ed.gov/cedselementdetails.aspx?termid=22609")</f>
        <v>https://ceds.ed.gov/cedselementdetails.aspx?termid=22609</v>
      </c>
      <c r="Q1915" s="22">
        <v>62374</v>
      </c>
    </row>
    <row r="1916" spans="1:17" ht="158.4" x14ac:dyDescent="0.3">
      <c r="A1916" s="22" t="s">
        <v>7779</v>
      </c>
      <c r="B1916" s="22" t="s">
        <v>7827</v>
      </c>
      <c r="C1916" s="22" t="s">
        <v>7774</v>
      </c>
      <c r="D1916" s="22" t="s">
        <v>7710</v>
      </c>
      <c r="E1916" s="22" t="s">
        <v>2536</v>
      </c>
      <c r="F1916" s="24" t="s">
        <v>2537</v>
      </c>
      <c r="G1916" s="23" t="s">
        <v>32</v>
      </c>
      <c r="H1916" s="22"/>
      <c r="I1916" s="22"/>
      <c r="J1916" s="22" t="s">
        <v>2538</v>
      </c>
      <c r="K1916" s="24"/>
      <c r="L1916" s="24"/>
      <c r="M1916" s="25" t="s">
        <v>2539</v>
      </c>
      <c r="N1916" s="22"/>
      <c r="O1916" s="22" t="s">
        <v>2540</v>
      </c>
      <c r="P1916" s="22" t="str">
        <f>HYPERLINK("https://ceds.ed.gov/cedselementdetails.aspx?termid=22176")</f>
        <v>https://ceds.ed.gov/cedselementdetails.aspx?termid=22176</v>
      </c>
      <c r="Q1916" s="22">
        <v>63331</v>
      </c>
    </row>
    <row r="1917" spans="1:17" ht="57.6" x14ac:dyDescent="0.3">
      <c r="A1917" s="22" t="s">
        <v>7779</v>
      </c>
      <c r="B1917" s="22" t="s">
        <v>7827</v>
      </c>
      <c r="C1917" s="22" t="s">
        <v>7774</v>
      </c>
      <c r="D1917" s="22" t="s">
        <v>7710</v>
      </c>
      <c r="E1917" s="22" t="s">
        <v>3228</v>
      </c>
      <c r="F1917" s="24" t="s">
        <v>3229</v>
      </c>
      <c r="G1917" s="26" t="s">
        <v>3039</v>
      </c>
      <c r="H1917" s="22"/>
      <c r="I1917" s="22" t="s">
        <v>172</v>
      </c>
      <c r="J1917" s="22"/>
      <c r="K1917" s="24" t="s">
        <v>7946</v>
      </c>
      <c r="L1917" s="24"/>
      <c r="M1917" s="25" t="s">
        <v>3230</v>
      </c>
      <c r="N1917" s="22"/>
      <c r="O1917" s="22" t="s">
        <v>3231</v>
      </c>
      <c r="P1917" s="22" t="str">
        <f>HYPERLINK("https://ceds.ed.gov/cedselementdetails.aspx?termid=22905")</f>
        <v>https://ceds.ed.gov/cedselementdetails.aspx?termid=22905</v>
      </c>
      <c r="Q1917" s="22">
        <v>63332</v>
      </c>
    </row>
    <row r="1918" spans="1:17" ht="57.6" x14ac:dyDescent="0.3">
      <c r="A1918" s="22" t="s">
        <v>7779</v>
      </c>
      <c r="B1918" s="22" t="s">
        <v>7827</v>
      </c>
      <c r="C1918" s="22" t="s">
        <v>7774</v>
      </c>
      <c r="D1918" s="22" t="s">
        <v>7710</v>
      </c>
      <c r="E1918" s="22" t="s">
        <v>7164</v>
      </c>
      <c r="F1918" s="24" t="s">
        <v>7165</v>
      </c>
      <c r="G1918" s="26" t="s">
        <v>9167</v>
      </c>
      <c r="H1918" s="22"/>
      <c r="I1918" s="22"/>
      <c r="J1918" s="22"/>
      <c r="K1918" s="24"/>
      <c r="L1918" s="24"/>
      <c r="M1918" s="25" t="s">
        <v>7166</v>
      </c>
      <c r="N1918" s="22"/>
      <c r="O1918" s="22" t="s">
        <v>7167</v>
      </c>
      <c r="P1918" s="22" t="str">
        <f>HYPERLINK("https://ceds.ed.gov/cedselementdetails.aspx?termid=22911")</f>
        <v>https://ceds.ed.gov/cedselementdetails.aspx?termid=22911</v>
      </c>
      <c r="Q1918" s="22">
        <v>63333</v>
      </c>
    </row>
    <row r="1919" spans="1:17" ht="100.8" x14ac:dyDescent="0.3">
      <c r="A1919" s="22" t="s">
        <v>7779</v>
      </c>
      <c r="B1919" s="22" t="s">
        <v>7827</v>
      </c>
      <c r="C1919" s="22" t="s">
        <v>7775</v>
      </c>
      <c r="D1919" s="22" t="s">
        <v>7710</v>
      </c>
      <c r="E1919" s="22" t="s">
        <v>6018</v>
      </c>
      <c r="F1919" s="24" t="s">
        <v>6019</v>
      </c>
      <c r="G1919" s="23" t="s">
        <v>32</v>
      </c>
      <c r="H1919" s="22" t="s">
        <v>207</v>
      </c>
      <c r="I1919" s="22"/>
      <c r="J1919" s="22" t="s">
        <v>132</v>
      </c>
      <c r="K1919" s="24"/>
      <c r="L1919" s="24" t="s">
        <v>133</v>
      </c>
      <c r="M1919" s="25" t="s">
        <v>6020</v>
      </c>
      <c r="N1919" s="22"/>
      <c r="O1919" s="22" t="s">
        <v>6021</v>
      </c>
      <c r="P1919" s="22" t="str">
        <f>HYPERLINK("https://ceds.ed.gov/cedselementdetails.aspx?termid=21808")</f>
        <v>https://ceds.ed.gov/cedselementdetails.aspx?termid=21808</v>
      </c>
      <c r="Q1919" s="22">
        <v>61915</v>
      </c>
    </row>
    <row r="1920" spans="1:17" ht="43.2" x14ac:dyDescent="0.3">
      <c r="A1920" s="22" t="s">
        <v>7779</v>
      </c>
      <c r="B1920" s="22" t="s">
        <v>7827</v>
      </c>
      <c r="C1920" s="22" t="s">
        <v>7775</v>
      </c>
      <c r="D1920" s="22" t="s">
        <v>7710</v>
      </c>
      <c r="E1920" s="22" t="s">
        <v>6038</v>
      </c>
      <c r="F1920" s="24" t="s">
        <v>6039</v>
      </c>
      <c r="G1920" s="23" t="s">
        <v>32</v>
      </c>
      <c r="H1920" s="22" t="s">
        <v>207</v>
      </c>
      <c r="I1920" s="22"/>
      <c r="J1920" s="22" t="s">
        <v>157</v>
      </c>
      <c r="K1920" s="24"/>
      <c r="L1920" s="24"/>
      <c r="M1920" s="25" t="s">
        <v>6040</v>
      </c>
      <c r="N1920" s="22"/>
      <c r="O1920" s="22" t="s">
        <v>6041</v>
      </c>
      <c r="P1920" s="22" t="str">
        <f>HYPERLINK("https://ceds.ed.gov/cedselementdetails.aspx?termid=21809")</f>
        <v>https://ceds.ed.gov/cedselementdetails.aspx?termid=21809</v>
      </c>
      <c r="Q1920" s="22">
        <v>61578</v>
      </c>
    </row>
    <row r="1921" spans="1:17" ht="158.4" x14ac:dyDescent="0.3">
      <c r="A1921" s="22" t="s">
        <v>7779</v>
      </c>
      <c r="B1921" s="22" t="s">
        <v>7827</v>
      </c>
      <c r="C1921" s="22" t="s">
        <v>7775</v>
      </c>
      <c r="D1921" s="22" t="s">
        <v>7710</v>
      </c>
      <c r="E1921" s="22" t="s">
        <v>6042</v>
      </c>
      <c r="F1921" s="24" t="s">
        <v>6043</v>
      </c>
      <c r="G1921" s="26" t="s">
        <v>9093</v>
      </c>
      <c r="H1921" s="22"/>
      <c r="I1921" s="22"/>
      <c r="J1921" s="22"/>
      <c r="K1921" s="24"/>
      <c r="L1921" s="24" t="s">
        <v>6044</v>
      </c>
      <c r="M1921" s="25" t="s">
        <v>6045</v>
      </c>
      <c r="N1921" s="22"/>
      <c r="O1921" s="22" t="s">
        <v>6046</v>
      </c>
      <c r="P1921" s="22" t="str">
        <f>HYPERLINK("https://ceds.ed.gov/cedselementdetails.aspx?termid=22412")</f>
        <v>https://ceds.ed.gov/cedselementdetails.aspx?termid=22412</v>
      </c>
      <c r="Q1921" s="22">
        <v>61579</v>
      </c>
    </row>
    <row r="1922" spans="1:17" ht="28.8" x14ac:dyDescent="0.3">
      <c r="A1922" s="22" t="s">
        <v>7779</v>
      </c>
      <c r="B1922" s="22" t="s">
        <v>7827</v>
      </c>
      <c r="C1922" s="22" t="s">
        <v>7775</v>
      </c>
      <c r="D1922" s="22" t="s">
        <v>7710</v>
      </c>
      <c r="E1922" s="22" t="s">
        <v>6005</v>
      </c>
      <c r="F1922" s="24" t="s">
        <v>6006</v>
      </c>
      <c r="G1922" s="23" t="s">
        <v>32</v>
      </c>
      <c r="H1922" s="22"/>
      <c r="I1922" s="22"/>
      <c r="J1922" s="22" t="s">
        <v>328</v>
      </c>
      <c r="K1922" s="24"/>
      <c r="L1922" s="24"/>
      <c r="M1922" s="25" t="s">
        <v>6007</v>
      </c>
      <c r="N1922" s="22"/>
      <c r="O1922" s="22" t="s">
        <v>6008</v>
      </c>
      <c r="P1922" s="22" t="str">
        <f>HYPERLINK("https://ceds.ed.gov/cedselementdetails.aspx?termid=22408")</f>
        <v>https://ceds.ed.gov/cedselementdetails.aspx?termid=22408</v>
      </c>
      <c r="Q1922" s="22">
        <v>61575</v>
      </c>
    </row>
    <row r="1923" spans="1:17" ht="409.6" x14ac:dyDescent="0.3">
      <c r="A1923" s="22" t="s">
        <v>7779</v>
      </c>
      <c r="B1923" s="22" t="s">
        <v>7827</v>
      </c>
      <c r="C1923" s="22" t="s">
        <v>7775</v>
      </c>
      <c r="D1923" s="22" t="s">
        <v>7710</v>
      </c>
      <c r="E1923" s="22" t="s">
        <v>6009</v>
      </c>
      <c r="F1923" s="24" t="s">
        <v>6010</v>
      </c>
      <c r="G1923" s="26" t="s">
        <v>9089</v>
      </c>
      <c r="H1923" s="22"/>
      <c r="I1923" s="22"/>
      <c r="J1923" s="22"/>
      <c r="K1923" s="24"/>
      <c r="L1923" s="24" t="s">
        <v>6011</v>
      </c>
      <c r="M1923" s="25" t="s">
        <v>6012</v>
      </c>
      <c r="N1923" s="22"/>
      <c r="O1923" s="22" t="s">
        <v>6013</v>
      </c>
      <c r="P1923" s="22" t="str">
        <f>HYPERLINK("https://ceds.ed.gov/cedselementdetails.aspx?termid=22245")</f>
        <v>https://ceds.ed.gov/cedselementdetails.aspx?termid=22245</v>
      </c>
      <c r="Q1923" s="22">
        <v>61913</v>
      </c>
    </row>
    <row r="1924" spans="1:17" ht="28.8" x14ac:dyDescent="0.3">
      <c r="A1924" s="22" t="s">
        <v>7779</v>
      </c>
      <c r="B1924" s="22" t="s">
        <v>7827</v>
      </c>
      <c r="C1924" s="22" t="s">
        <v>7775</v>
      </c>
      <c r="D1924" s="22" t="s">
        <v>7710</v>
      </c>
      <c r="E1924" s="22" t="s">
        <v>6026</v>
      </c>
      <c r="F1924" s="24" t="s">
        <v>6027</v>
      </c>
      <c r="G1924" s="23" t="s">
        <v>32</v>
      </c>
      <c r="H1924" s="22"/>
      <c r="I1924" s="22"/>
      <c r="J1924" s="22" t="s">
        <v>328</v>
      </c>
      <c r="K1924" s="24"/>
      <c r="L1924" s="24"/>
      <c r="M1924" s="25" t="s">
        <v>6028</v>
      </c>
      <c r="N1924" s="22"/>
      <c r="O1924" s="22" t="s">
        <v>6029</v>
      </c>
      <c r="P1924" s="22" t="str">
        <f>HYPERLINK("https://ceds.ed.gov/cedselementdetails.aspx?termid=22410")</f>
        <v>https://ceds.ed.gov/cedselementdetails.aspx?termid=22410</v>
      </c>
      <c r="Q1924" s="22">
        <v>61577</v>
      </c>
    </row>
    <row r="1925" spans="1:17" ht="57.6" x14ac:dyDescent="0.3">
      <c r="A1925" s="22" t="s">
        <v>7779</v>
      </c>
      <c r="B1925" s="22" t="s">
        <v>7827</v>
      </c>
      <c r="C1925" s="22" t="s">
        <v>7775</v>
      </c>
      <c r="D1925" s="22" t="s">
        <v>7710</v>
      </c>
      <c r="E1925" s="22" t="s">
        <v>6022</v>
      </c>
      <c r="F1925" s="24" t="s">
        <v>6023</v>
      </c>
      <c r="G1925" s="26" t="s">
        <v>9090</v>
      </c>
      <c r="H1925" s="22"/>
      <c r="I1925" s="22"/>
      <c r="J1925" s="22"/>
      <c r="K1925" s="24"/>
      <c r="L1925" s="24"/>
      <c r="M1925" s="25" t="s">
        <v>6024</v>
      </c>
      <c r="N1925" s="22"/>
      <c r="O1925" s="22" t="s">
        <v>6025</v>
      </c>
      <c r="P1925" s="22" t="str">
        <f>HYPERLINK("https://ceds.ed.gov/cedselementdetails.aspx?termid=22409")</f>
        <v>https://ceds.ed.gov/cedselementdetails.aspx?termid=22409</v>
      </c>
      <c r="Q1925" s="22">
        <v>61576</v>
      </c>
    </row>
    <row r="1926" spans="1:17" ht="72" x14ac:dyDescent="0.3">
      <c r="A1926" s="22" t="s">
        <v>7779</v>
      </c>
      <c r="B1926" s="22" t="s">
        <v>7827</v>
      </c>
      <c r="C1926" s="22" t="s">
        <v>7775</v>
      </c>
      <c r="D1926" s="22" t="s">
        <v>7710</v>
      </c>
      <c r="E1926" s="22" t="s">
        <v>5997</v>
      </c>
      <c r="F1926" s="24" t="s">
        <v>5998</v>
      </c>
      <c r="G1926" s="26" t="s">
        <v>9087</v>
      </c>
      <c r="H1926" s="22"/>
      <c r="I1926" s="22"/>
      <c r="J1926" s="22"/>
      <c r="K1926" s="24"/>
      <c r="L1926" s="24"/>
      <c r="M1926" s="25" t="s">
        <v>5999</v>
      </c>
      <c r="N1926" s="22"/>
      <c r="O1926" s="22" t="s">
        <v>6000</v>
      </c>
      <c r="P1926" s="22" t="str">
        <f>HYPERLINK("https://ceds.ed.gov/cedselementdetails.aspx?termid=22406")</f>
        <v>https://ceds.ed.gov/cedselementdetails.aspx?termid=22406</v>
      </c>
      <c r="Q1926" s="22">
        <v>61573</v>
      </c>
    </row>
    <row r="1927" spans="1:17" ht="28.8" x14ac:dyDescent="0.3">
      <c r="A1927" s="22" t="s">
        <v>7779</v>
      </c>
      <c r="B1927" s="22" t="s">
        <v>7827</v>
      </c>
      <c r="C1927" s="22" t="s">
        <v>7775</v>
      </c>
      <c r="D1927" s="22" t="s">
        <v>7710</v>
      </c>
      <c r="E1927" s="22" t="s">
        <v>6001</v>
      </c>
      <c r="F1927" s="24" t="s">
        <v>6002</v>
      </c>
      <c r="G1927" s="23" t="s">
        <v>32</v>
      </c>
      <c r="H1927" s="22"/>
      <c r="I1927" s="22"/>
      <c r="J1927" s="22" t="s">
        <v>1518</v>
      </c>
      <c r="K1927" s="24"/>
      <c r="L1927" s="24"/>
      <c r="M1927" s="25" t="s">
        <v>6003</v>
      </c>
      <c r="N1927" s="22"/>
      <c r="O1927" s="22" t="s">
        <v>6004</v>
      </c>
      <c r="P1927" s="22" t="str">
        <f>HYPERLINK("https://ceds.ed.gov/cedselementdetails.aspx?termid=22407")</f>
        <v>https://ceds.ed.gov/cedselementdetails.aspx?termid=22407</v>
      </c>
      <c r="Q1927" s="22">
        <v>61574</v>
      </c>
    </row>
    <row r="1928" spans="1:17" ht="403.2" x14ac:dyDescent="0.3">
      <c r="A1928" s="22" t="s">
        <v>7779</v>
      </c>
      <c r="B1928" s="22" t="s">
        <v>7827</v>
      </c>
      <c r="C1928" s="22" t="s">
        <v>7775</v>
      </c>
      <c r="D1928" s="22" t="s">
        <v>7710</v>
      </c>
      <c r="E1928" s="22" t="s">
        <v>6034</v>
      </c>
      <c r="F1928" s="24" t="s">
        <v>6035</v>
      </c>
      <c r="G1928" s="26" t="s">
        <v>9092</v>
      </c>
      <c r="H1928" s="22"/>
      <c r="I1928" s="22"/>
      <c r="J1928" s="22"/>
      <c r="K1928" s="24"/>
      <c r="L1928" s="24"/>
      <c r="M1928" s="25" t="s">
        <v>6036</v>
      </c>
      <c r="N1928" s="22"/>
      <c r="O1928" s="22" t="s">
        <v>6037</v>
      </c>
      <c r="P1928" s="22" t="str">
        <f>HYPERLINK("https://ceds.ed.gov/cedselementdetails.aspx?termid=22464")</f>
        <v>https://ceds.ed.gov/cedselementdetails.aspx?termid=22464</v>
      </c>
      <c r="Q1928" s="22">
        <v>61687</v>
      </c>
    </row>
    <row r="1929" spans="1:17" ht="115.2" x14ac:dyDescent="0.3">
      <c r="A1929" s="22" t="s">
        <v>7779</v>
      </c>
      <c r="B1929" s="22" t="s">
        <v>7827</v>
      </c>
      <c r="C1929" s="22" t="s">
        <v>7775</v>
      </c>
      <c r="D1929" s="22" t="s">
        <v>7710</v>
      </c>
      <c r="E1929" s="22" t="s">
        <v>6110</v>
      </c>
      <c r="F1929" s="24" t="s">
        <v>6111</v>
      </c>
      <c r="G1929" s="23" t="s">
        <v>7423</v>
      </c>
      <c r="H1929" s="22"/>
      <c r="I1929" s="22"/>
      <c r="J1929" s="22"/>
      <c r="K1929" s="24"/>
      <c r="L1929" s="24" t="s">
        <v>7994</v>
      </c>
      <c r="M1929" s="25" t="s">
        <v>6112</v>
      </c>
      <c r="N1929" s="22"/>
      <c r="O1929" s="22" t="s">
        <v>6113</v>
      </c>
      <c r="P1929" s="22" t="str">
        <f>HYPERLINK("https://ceds.ed.gov/cedselementdetails.aspx?termid=22357")</f>
        <v>https://ceds.ed.gov/cedselementdetails.aspx?termid=22357</v>
      </c>
      <c r="Q1929" s="22">
        <v>61862</v>
      </c>
    </row>
    <row r="1930" spans="1:17" ht="43.2" x14ac:dyDescent="0.3">
      <c r="A1930" s="22" t="s">
        <v>7779</v>
      </c>
      <c r="B1930" s="22" t="s">
        <v>7827</v>
      </c>
      <c r="C1930" s="22" t="s">
        <v>7775</v>
      </c>
      <c r="D1930" s="22" t="s">
        <v>7710</v>
      </c>
      <c r="E1930" s="22" t="s">
        <v>6014</v>
      </c>
      <c r="F1930" s="24" t="s">
        <v>6015</v>
      </c>
      <c r="G1930" s="23" t="s">
        <v>32</v>
      </c>
      <c r="H1930" s="22"/>
      <c r="I1930" s="22"/>
      <c r="J1930" s="22" t="s">
        <v>118</v>
      </c>
      <c r="K1930" s="24"/>
      <c r="L1930" s="24"/>
      <c r="M1930" s="25" t="s">
        <v>6016</v>
      </c>
      <c r="N1930" s="22"/>
      <c r="O1930" s="22" t="s">
        <v>6017</v>
      </c>
      <c r="P1930" s="22" t="str">
        <f>HYPERLINK("https://ceds.ed.gov/cedselementdetails.aspx?termid=22421")</f>
        <v>https://ceds.ed.gov/cedselementdetails.aspx?termid=22421</v>
      </c>
      <c r="Q1930" s="22">
        <v>61586</v>
      </c>
    </row>
    <row r="1931" spans="1:17" ht="72" x14ac:dyDescent="0.3">
      <c r="A1931" s="22" t="s">
        <v>7779</v>
      </c>
      <c r="B1931" s="22" t="s">
        <v>7827</v>
      </c>
      <c r="C1931" s="22" t="s">
        <v>7775</v>
      </c>
      <c r="D1931" s="22" t="s">
        <v>7710</v>
      </c>
      <c r="E1931" s="22" t="s">
        <v>5985</v>
      </c>
      <c r="F1931" s="24" t="s">
        <v>5986</v>
      </c>
      <c r="G1931" s="26" t="s">
        <v>9085</v>
      </c>
      <c r="H1931" s="22"/>
      <c r="I1931" s="22"/>
      <c r="J1931" s="22"/>
      <c r="K1931" s="24"/>
      <c r="L1931" s="24"/>
      <c r="M1931" s="25" t="s">
        <v>5987</v>
      </c>
      <c r="N1931" s="22"/>
      <c r="O1931" s="22" t="s">
        <v>5988</v>
      </c>
      <c r="P1931" s="22" t="str">
        <f>HYPERLINK("https://ceds.ed.gov/cedselementdetails.aspx?termid=22403")</f>
        <v>https://ceds.ed.gov/cedselementdetails.aspx?termid=22403</v>
      </c>
      <c r="Q1931" s="22">
        <v>61570</v>
      </c>
    </row>
    <row r="1932" spans="1:17" ht="43.2" x14ac:dyDescent="0.3">
      <c r="A1932" s="22" t="s">
        <v>7779</v>
      </c>
      <c r="B1932" s="22" t="s">
        <v>7827</v>
      </c>
      <c r="C1932" s="22" t="s">
        <v>7775</v>
      </c>
      <c r="D1932" s="22" t="s">
        <v>7710</v>
      </c>
      <c r="E1932" s="22" t="s">
        <v>5981</v>
      </c>
      <c r="F1932" s="24" t="s">
        <v>5982</v>
      </c>
      <c r="G1932" s="23" t="s">
        <v>32</v>
      </c>
      <c r="H1932" s="22"/>
      <c r="I1932" s="22"/>
      <c r="J1932" s="22" t="s">
        <v>85</v>
      </c>
      <c r="K1932" s="24"/>
      <c r="L1932" s="24"/>
      <c r="M1932" s="25" t="s">
        <v>5983</v>
      </c>
      <c r="N1932" s="22"/>
      <c r="O1932" s="22" t="s">
        <v>5984</v>
      </c>
      <c r="P1932" s="22" t="str">
        <f>HYPERLINK("https://ceds.ed.gov/cedselementdetails.aspx?termid=22402")</f>
        <v>https://ceds.ed.gov/cedselementdetails.aspx?termid=22402</v>
      </c>
      <c r="Q1932" s="22">
        <v>61569</v>
      </c>
    </row>
    <row r="1933" spans="1:17" ht="57.6" x14ac:dyDescent="0.3">
      <c r="A1933" s="22" t="s">
        <v>7779</v>
      </c>
      <c r="B1933" s="22" t="s">
        <v>7827</v>
      </c>
      <c r="C1933" s="22" t="s">
        <v>7775</v>
      </c>
      <c r="D1933" s="22" t="s">
        <v>7710</v>
      </c>
      <c r="E1933" s="22" t="s">
        <v>5989</v>
      </c>
      <c r="F1933" s="24" t="s">
        <v>5990</v>
      </c>
      <c r="G1933" s="23" t="s">
        <v>32</v>
      </c>
      <c r="H1933" s="22"/>
      <c r="I1933" s="22"/>
      <c r="J1933" s="22" t="s">
        <v>85</v>
      </c>
      <c r="K1933" s="24"/>
      <c r="L1933" s="24"/>
      <c r="M1933" s="25" t="s">
        <v>5991</v>
      </c>
      <c r="N1933" s="22"/>
      <c r="O1933" s="22" t="s">
        <v>5992</v>
      </c>
      <c r="P1933" s="22" t="str">
        <f>HYPERLINK("https://ceds.ed.gov/cedselementdetails.aspx?termid=22404")</f>
        <v>https://ceds.ed.gov/cedselementdetails.aspx?termid=22404</v>
      </c>
      <c r="Q1933" s="22">
        <v>61571</v>
      </c>
    </row>
    <row r="1934" spans="1:17" ht="28.8" x14ac:dyDescent="0.3">
      <c r="A1934" s="22" t="s">
        <v>7779</v>
      </c>
      <c r="B1934" s="22" t="s">
        <v>7827</v>
      </c>
      <c r="C1934" s="22" t="s">
        <v>7775</v>
      </c>
      <c r="D1934" s="22" t="s">
        <v>7710</v>
      </c>
      <c r="E1934" s="22" t="s">
        <v>5993</v>
      </c>
      <c r="F1934" s="24" t="s">
        <v>5994</v>
      </c>
      <c r="G1934" s="23" t="s">
        <v>32</v>
      </c>
      <c r="H1934" s="22"/>
      <c r="I1934" s="22"/>
      <c r="J1934" s="22" t="s">
        <v>1518</v>
      </c>
      <c r="K1934" s="24"/>
      <c r="L1934" s="24"/>
      <c r="M1934" s="25" t="s">
        <v>5995</v>
      </c>
      <c r="N1934" s="22"/>
      <c r="O1934" s="22" t="s">
        <v>5996</v>
      </c>
      <c r="P1934" s="22" t="str">
        <f>HYPERLINK("https://ceds.ed.gov/cedselementdetails.aspx?termid=22405")</f>
        <v>https://ceds.ed.gov/cedselementdetails.aspx?termid=22405</v>
      </c>
      <c r="Q1934" s="22">
        <v>61572</v>
      </c>
    </row>
    <row r="1935" spans="1:17" ht="172.8" x14ac:dyDescent="0.3">
      <c r="A1935" s="22" t="s">
        <v>7779</v>
      </c>
      <c r="B1935" s="22" t="s">
        <v>7827</v>
      </c>
      <c r="C1935" s="22" t="s">
        <v>7776</v>
      </c>
      <c r="D1935" s="22" t="s">
        <v>7710</v>
      </c>
      <c r="E1935" s="22" t="s">
        <v>6107</v>
      </c>
      <c r="F1935" s="24" t="s">
        <v>8279</v>
      </c>
      <c r="G1935" s="23" t="s">
        <v>32</v>
      </c>
      <c r="H1935" s="22"/>
      <c r="I1935" s="22"/>
      <c r="J1935" s="22" t="s">
        <v>132</v>
      </c>
      <c r="K1935" s="24"/>
      <c r="L1935" s="24" t="s">
        <v>7945</v>
      </c>
      <c r="M1935" s="25" t="s">
        <v>6108</v>
      </c>
      <c r="N1935" s="22"/>
      <c r="O1935" s="22" t="s">
        <v>6109</v>
      </c>
      <c r="P1935" s="22" t="str">
        <f>HYPERLINK("https://ceds.ed.gov/cedselementdetails.aspx?termid=22422")</f>
        <v>https://ceds.ed.gov/cedselementdetails.aspx?termid=22422</v>
      </c>
      <c r="Q1935" s="22">
        <v>61587</v>
      </c>
    </row>
    <row r="1936" spans="1:17" ht="28.8" x14ac:dyDescent="0.3">
      <c r="A1936" s="22" t="s">
        <v>7779</v>
      </c>
      <c r="B1936" s="22" t="s">
        <v>7827</v>
      </c>
      <c r="C1936" s="22" t="s">
        <v>7776</v>
      </c>
      <c r="D1936" s="22" t="s">
        <v>7710</v>
      </c>
      <c r="E1936" s="22" t="s">
        <v>6118</v>
      </c>
      <c r="F1936" s="24" t="s">
        <v>6119</v>
      </c>
      <c r="G1936" s="23" t="s">
        <v>32</v>
      </c>
      <c r="H1936" s="22"/>
      <c r="I1936" s="22"/>
      <c r="J1936" s="22" t="s">
        <v>118</v>
      </c>
      <c r="K1936" s="24"/>
      <c r="L1936" s="24"/>
      <c r="M1936" s="25" t="s">
        <v>6120</v>
      </c>
      <c r="N1936" s="22"/>
      <c r="O1936" s="22" t="s">
        <v>6121</v>
      </c>
      <c r="P1936" s="22" t="str">
        <f>HYPERLINK("https://ceds.ed.gov/cedselementdetails.aspx?termid=22426")</f>
        <v>https://ceds.ed.gov/cedselementdetails.aspx?termid=22426</v>
      </c>
      <c r="Q1936" s="22">
        <v>61588</v>
      </c>
    </row>
    <row r="1937" spans="1:17" ht="57.6" x14ac:dyDescent="0.3">
      <c r="A1937" s="22" t="s">
        <v>7779</v>
      </c>
      <c r="B1937" s="22" t="s">
        <v>7827</v>
      </c>
      <c r="C1937" s="22" t="s">
        <v>7776</v>
      </c>
      <c r="D1937" s="22" t="s">
        <v>7710</v>
      </c>
      <c r="E1937" s="22" t="s">
        <v>6091</v>
      </c>
      <c r="F1937" s="24" t="s">
        <v>6092</v>
      </c>
      <c r="G1937" s="23" t="s">
        <v>32</v>
      </c>
      <c r="H1937" s="22"/>
      <c r="I1937" s="22"/>
      <c r="J1937" s="22" t="s">
        <v>118</v>
      </c>
      <c r="K1937" s="24"/>
      <c r="L1937" s="24" t="s">
        <v>143</v>
      </c>
      <c r="M1937" s="25" t="s">
        <v>6093</v>
      </c>
      <c r="N1937" s="22"/>
      <c r="O1937" s="22" t="s">
        <v>6094</v>
      </c>
      <c r="P1937" s="22" t="str">
        <f>HYPERLINK("https://ceds.ed.gov/cedselementdetails.aspx?termid=22417")</f>
        <v>https://ceds.ed.gov/cedselementdetails.aspx?termid=22417</v>
      </c>
      <c r="Q1937" s="22">
        <v>61582</v>
      </c>
    </row>
    <row r="1938" spans="1:17" ht="28.8" x14ac:dyDescent="0.3">
      <c r="A1938" s="22" t="s">
        <v>7779</v>
      </c>
      <c r="B1938" s="22" t="s">
        <v>7827</v>
      </c>
      <c r="C1938" s="22" t="s">
        <v>7776</v>
      </c>
      <c r="D1938" s="22" t="s">
        <v>7710</v>
      </c>
      <c r="E1938" s="22" t="s">
        <v>6122</v>
      </c>
      <c r="F1938" s="24" t="s">
        <v>6123</v>
      </c>
      <c r="G1938" s="23" t="s">
        <v>32</v>
      </c>
      <c r="H1938" s="22"/>
      <c r="I1938" s="22"/>
      <c r="J1938" s="22" t="s">
        <v>2836</v>
      </c>
      <c r="K1938" s="24"/>
      <c r="L1938" s="24"/>
      <c r="M1938" s="25" t="s">
        <v>6124</v>
      </c>
      <c r="N1938" s="22"/>
      <c r="O1938" s="22" t="s">
        <v>6125</v>
      </c>
      <c r="P1938" s="22" t="str">
        <f>HYPERLINK("https://ceds.ed.gov/cedselementdetails.aspx?termid=22427")</f>
        <v>https://ceds.ed.gov/cedselementdetails.aspx?termid=22427</v>
      </c>
      <c r="Q1938" s="22">
        <v>61589</v>
      </c>
    </row>
    <row r="1939" spans="1:17" ht="28.8" x14ac:dyDescent="0.3">
      <c r="A1939" s="22" t="s">
        <v>7779</v>
      </c>
      <c r="B1939" s="22" t="s">
        <v>7827</v>
      </c>
      <c r="C1939" s="22" t="s">
        <v>7776</v>
      </c>
      <c r="D1939" s="22" t="s">
        <v>7710</v>
      </c>
      <c r="E1939" s="22" t="s">
        <v>6095</v>
      </c>
      <c r="F1939" s="24" t="s">
        <v>6096</v>
      </c>
      <c r="G1939" s="23" t="s">
        <v>32</v>
      </c>
      <c r="H1939" s="22"/>
      <c r="I1939" s="22"/>
      <c r="J1939" s="22" t="s">
        <v>2836</v>
      </c>
      <c r="K1939" s="24"/>
      <c r="L1939" s="24"/>
      <c r="M1939" s="25" t="s">
        <v>6097</v>
      </c>
      <c r="N1939" s="22"/>
      <c r="O1939" s="22" t="s">
        <v>6098</v>
      </c>
      <c r="P1939" s="22" t="str">
        <f>HYPERLINK("https://ceds.ed.gov/cedselementdetails.aspx?termid=22418")</f>
        <v>https://ceds.ed.gov/cedselementdetails.aspx?termid=22418</v>
      </c>
      <c r="Q1939" s="22">
        <v>61583</v>
      </c>
    </row>
    <row r="1940" spans="1:17" ht="43.2" x14ac:dyDescent="0.3">
      <c r="A1940" s="22" t="s">
        <v>7779</v>
      </c>
      <c r="B1940" s="22" t="s">
        <v>7827</v>
      </c>
      <c r="C1940" s="22" t="s">
        <v>7776</v>
      </c>
      <c r="D1940" s="22" t="s">
        <v>7710</v>
      </c>
      <c r="E1940" s="22" t="s">
        <v>6087</v>
      </c>
      <c r="F1940" s="24" t="s">
        <v>6088</v>
      </c>
      <c r="G1940" s="23" t="s">
        <v>32</v>
      </c>
      <c r="H1940" s="22"/>
      <c r="I1940" s="22"/>
      <c r="J1940" s="22" t="s">
        <v>317</v>
      </c>
      <c r="K1940" s="24"/>
      <c r="L1940" s="24"/>
      <c r="M1940" s="25" t="s">
        <v>6089</v>
      </c>
      <c r="N1940" s="22"/>
      <c r="O1940" s="22" t="s">
        <v>6090</v>
      </c>
      <c r="P1940" s="22" t="str">
        <f>HYPERLINK("https://ceds.ed.gov/cedselementdetails.aspx?termid=22416")</f>
        <v>https://ceds.ed.gov/cedselementdetails.aspx?termid=22416</v>
      </c>
      <c r="Q1940" s="22">
        <v>61581</v>
      </c>
    </row>
    <row r="1941" spans="1:17" ht="72" x14ac:dyDescent="0.3">
      <c r="A1941" s="22" t="s">
        <v>7779</v>
      </c>
      <c r="B1941" s="22" t="s">
        <v>7827</v>
      </c>
      <c r="C1941" s="22" t="s">
        <v>7776</v>
      </c>
      <c r="D1941" s="22" t="s">
        <v>7710</v>
      </c>
      <c r="E1941" s="22" t="s">
        <v>6051</v>
      </c>
      <c r="F1941" s="24" t="s">
        <v>6052</v>
      </c>
      <c r="G1941" s="26" t="s">
        <v>8550</v>
      </c>
      <c r="H1941" s="22"/>
      <c r="I1941" s="22"/>
      <c r="J1941" s="22"/>
      <c r="K1941" s="24"/>
      <c r="L1941" s="24"/>
      <c r="M1941" s="25" t="s">
        <v>6053</v>
      </c>
      <c r="N1941" s="22"/>
      <c r="O1941" s="22" t="s">
        <v>6054</v>
      </c>
      <c r="P1941" s="22" t="str">
        <f>HYPERLINK("https://ceds.ed.gov/cedselementdetails.aspx?termid=22401")</f>
        <v>https://ceds.ed.gov/cedselementdetails.aspx?termid=22401</v>
      </c>
      <c r="Q1941" s="22">
        <v>61568</v>
      </c>
    </row>
    <row r="1942" spans="1:17" ht="158.4" x14ac:dyDescent="0.3">
      <c r="A1942" s="22" t="s">
        <v>7779</v>
      </c>
      <c r="B1942" s="22" t="s">
        <v>7827</v>
      </c>
      <c r="C1942" s="22" t="s">
        <v>7776</v>
      </c>
      <c r="D1942" s="22" t="s">
        <v>7710</v>
      </c>
      <c r="E1942" s="22" t="s">
        <v>6063</v>
      </c>
      <c r="F1942" s="24" t="s">
        <v>6064</v>
      </c>
      <c r="G1942" s="26" t="s">
        <v>9099</v>
      </c>
      <c r="H1942" s="22"/>
      <c r="I1942" s="22"/>
      <c r="J1942" s="22"/>
      <c r="K1942" s="24"/>
      <c r="L1942" s="24"/>
      <c r="M1942" s="25" t="s">
        <v>6065</v>
      </c>
      <c r="N1942" s="22"/>
      <c r="O1942" s="22" t="s">
        <v>6066</v>
      </c>
      <c r="P1942" s="22" t="str">
        <f>HYPERLINK("https://ceds.ed.gov/cedselementdetails.aspx?termid=22429")</f>
        <v>https://ceds.ed.gov/cedselementdetails.aspx?termid=22429</v>
      </c>
      <c r="Q1942" s="22">
        <v>61685</v>
      </c>
    </row>
    <row r="1943" spans="1:17" x14ac:dyDescent="0.3">
      <c r="A1943" s="22" t="s">
        <v>7779</v>
      </c>
      <c r="B1943" s="22" t="s">
        <v>7827</v>
      </c>
      <c r="C1943" s="22" t="s">
        <v>7776</v>
      </c>
      <c r="D1943" s="22" t="s">
        <v>7710</v>
      </c>
      <c r="E1943" s="22" t="s">
        <v>6847</v>
      </c>
      <c r="F1943" s="24" t="s">
        <v>6848</v>
      </c>
      <c r="G1943" s="23" t="s">
        <v>32</v>
      </c>
      <c r="H1943" s="22"/>
      <c r="I1943" s="22"/>
      <c r="J1943" s="22" t="s">
        <v>157</v>
      </c>
      <c r="K1943" s="24"/>
      <c r="L1943" s="24"/>
      <c r="M1943" s="25" t="s">
        <v>6849</v>
      </c>
      <c r="N1943" s="22"/>
      <c r="O1943" s="22" t="s">
        <v>6850</v>
      </c>
      <c r="P1943" s="22" t="str">
        <f>HYPERLINK("https://ceds.ed.gov/cedselementdetails.aspx?termid=22461")</f>
        <v>https://ceds.ed.gov/cedselementdetails.aspx?termid=22461</v>
      </c>
      <c r="Q1943" s="22">
        <v>61686</v>
      </c>
    </row>
    <row r="1944" spans="1:17" ht="172.8" x14ac:dyDescent="0.3">
      <c r="A1944" s="22" t="s">
        <v>7779</v>
      </c>
      <c r="B1944" s="22" t="s">
        <v>7827</v>
      </c>
      <c r="C1944" s="22" t="s">
        <v>7776</v>
      </c>
      <c r="D1944" s="22" t="s">
        <v>7710</v>
      </c>
      <c r="E1944" s="22" t="s">
        <v>6067</v>
      </c>
      <c r="F1944" s="24" t="s">
        <v>6068</v>
      </c>
      <c r="G1944" s="23" t="s">
        <v>32</v>
      </c>
      <c r="H1944" s="22"/>
      <c r="I1944" s="22"/>
      <c r="J1944" s="22" t="s">
        <v>132</v>
      </c>
      <c r="K1944" s="24"/>
      <c r="L1944" s="24" t="s">
        <v>7945</v>
      </c>
      <c r="M1944" s="25" t="s">
        <v>6069</v>
      </c>
      <c r="N1944" s="22"/>
      <c r="O1944" s="22" t="s">
        <v>6070</v>
      </c>
      <c r="P1944" s="22" t="str">
        <f>HYPERLINK("https://ceds.ed.gov/cedselementdetails.aspx?termid=22414")</f>
        <v>https://ceds.ed.gov/cedselementdetails.aspx?termid=22414</v>
      </c>
      <c r="Q1944" s="22">
        <v>61678</v>
      </c>
    </row>
    <row r="1945" spans="1:17" ht="28.8" x14ac:dyDescent="0.3">
      <c r="A1945" s="22" t="s">
        <v>7779</v>
      </c>
      <c r="B1945" s="22" t="s">
        <v>7827</v>
      </c>
      <c r="C1945" s="22" t="s">
        <v>7776</v>
      </c>
      <c r="D1945" s="22" t="s">
        <v>7710</v>
      </c>
      <c r="E1945" s="22" t="s">
        <v>6059</v>
      </c>
      <c r="F1945" s="24" t="s">
        <v>6060</v>
      </c>
      <c r="G1945" s="23" t="s">
        <v>32</v>
      </c>
      <c r="H1945" s="22"/>
      <c r="I1945" s="22"/>
      <c r="J1945" s="22" t="s">
        <v>85</v>
      </c>
      <c r="K1945" s="24"/>
      <c r="L1945" s="24"/>
      <c r="M1945" s="25" t="s">
        <v>6061</v>
      </c>
      <c r="N1945" s="22"/>
      <c r="O1945" s="22" t="s">
        <v>6062</v>
      </c>
      <c r="P1945" s="22" t="str">
        <f>HYPERLINK("https://ceds.ed.gov/cedselementdetails.aspx?termid=22413")</f>
        <v>https://ceds.ed.gov/cedselementdetails.aspx?termid=22413</v>
      </c>
      <c r="Q1945" s="22">
        <v>61580</v>
      </c>
    </row>
    <row r="1946" spans="1:17" ht="28.8" x14ac:dyDescent="0.3">
      <c r="A1946" s="22" t="s">
        <v>7779</v>
      </c>
      <c r="B1946" s="22" t="s">
        <v>7827</v>
      </c>
      <c r="C1946" s="22" t="s">
        <v>7776</v>
      </c>
      <c r="D1946" s="22" t="s">
        <v>7710</v>
      </c>
      <c r="E1946" s="22" t="s">
        <v>6099</v>
      </c>
      <c r="F1946" s="24" t="s">
        <v>6100</v>
      </c>
      <c r="G1946" s="23" t="s">
        <v>32</v>
      </c>
      <c r="H1946" s="22"/>
      <c r="I1946" s="22"/>
      <c r="J1946" s="22" t="s">
        <v>85</v>
      </c>
      <c r="K1946" s="24"/>
      <c r="L1946" s="24"/>
      <c r="M1946" s="25" t="s">
        <v>6101</v>
      </c>
      <c r="N1946" s="22"/>
      <c r="O1946" s="22" t="s">
        <v>6102</v>
      </c>
      <c r="P1946" s="22" t="str">
        <f>HYPERLINK("https://ceds.ed.gov/cedselementdetails.aspx?termid=22419")</f>
        <v>https://ceds.ed.gov/cedselementdetails.aspx?termid=22419</v>
      </c>
      <c r="Q1946" s="22">
        <v>61584</v>
      </c>
    </row>
    <row r="1947" spans="1:17" ht="43.2" x14ac:dyDescent="0.3">
      <c r="A1947" s="22" t="s">
        <v>7779</v>
      </c>
      <c r="B1947" s="22" t="s">
        <v>7827</v>
      </c>
      <c r="C1947" s="22" t="s">
        <v>7776</v>
      </c>
      <c r="D1947" s="22" t="s">
        <v>7710</v>
      </c>
      <c r="E1947" s="22" t="s">
        <v>6103</v>
      </c>
      <c r="F1947" s="24" t="s">
        <v>6104</v>
      </c>
      <c r="G1947" s="23" t="s">
        <v>32</v>
      </c>
      <c r="H1947" s="22"/>
      <c r="I1947" s="22"/>
      <c r="J1947" s="22" t="s">
        <v>85</v>
      </c>
      <c r="K1947" s="24"/>
      <c r="L1947" s="24"/>
      <c r="M1947" s="25" t="s">
        <v>6105</v>
      </c>
      <c r="N1947" s="22"/>
      <c r="O1947" s="22" t="s">
        <v>6106</v>
      </c>
      <c r="P1947" s="22" t="str">
        <f>HYPERLINK("https://ceds.ed.gov/cedselementdetails.aspx?termid=22420")</f>
        <v>https://ceds.ed.gov/cedselementdetails.aspx?termid=22420</v>
      </c>
      <c r="Q1947" s="22">
        <v>61585</v>
      </c>
    </row>
    <row r="1948" spans="1:17" ht="57.6" x14ac:dyDescent="0.3">
      <c r="A1948" s="22" t="s">
        <v>7779</v>
      </c>
      <c r="B1948" s="22" t="s">
        <v>7827</v>
      </c>
      <c r="C1948" s="22" t="s">
        <v>7776</v>
      </c>
      <c r="D1948" s="22" t="s">
        <v>7710</v>
      </c>
      <c r="E1948" s="22" t="s">
        <v>6126</v>
      </c>
      <c r="F1948" s="24" t="s">
        <v>6127</v>
      </c>
      <c r="G1948" s="26" t="s">
        <v>9102</v>
      </c>
      <c r="H1948" s="22"/>
      <c r="I1948" s="22"/>
      <c r="J1948" s="22"/>
      <c r="K1948" s="24"/>
      <c r="L1948" s="24"/>
      <c r="M1948" s="25" t="s">
        <v>6128</v>
      </c>
      <c r="N1948" s="22"/>
      <c r="O1948" s="22" t="s">
        <v>6129</v>
      </c>
      <c r="P1948" s="22" t="str">
        <f>HYPERLINK("https://ceds.ed.gov/cedselementdetails.aspx?termid=22428")</f>
        <v>https://ceds.ed.gov/cedselementdetails.aspx?termid=22428</v>
      </c>
      <c r="Q1948" s="22">
        <v>61590</v>
      </c>
    </row>
    <row r="1949" spans="1:17" ht="28.8" x14ac:dyDescent="0.3">
      <c r="A1949" s="22" t="s">
        <v>7779</v>
      </c>
      <c r="B1949" s="22" t="s">
        <v>7827</v>
      </c>
      <c r="C1949" s="22" t="s">
        <v>7776</v>
      </c>
      <c r="D1949" s="22" t="s">
        <v>7741</v>
      </c>
      <c r="E1949" s="22" t="s">
        <v>7947</v>
      </c>
      <c r="F1949" s="24" t="s">
        <v>7948</v>
      </c>
      <c r="G1949" s="23" t="s">
        <v>32</v>
      </c>
      <c r="H1949" s="22"/>
      <c r="I1949" s="22" t="s">
        <v>167</v>
      </c>
      <c r="J1949" s="22" t="s">
        <v>148</v>
      </c>
      <c r="K1949" s="24" t="s">
        <v>7949</v>
      </c>
      <c r="L1949" s="24"/>
      <c r="M1949" s="25" t="s">
        <v>8351</v>
      </c>
      <c r="N1949" s="22"/>
      <c r="O1949" s="22" t="s">
        <v>7950</v>
      </c>
      <c r="P1949" s="22" t="str">
        <f>HYPERLINK("https://ceds.ed.gov/cedselementdetails.aspx?termid=22972")</f>
        <v>https://ceds.ed.gov/cedselementdetails.aspx?termid=22972</v>
      </c>
      <c r="Q1949" s="22">
        <v>63911</v>
      </c>
    </row>
    <row r="1950" spans="1:17" ht="43.2" x14ac:dyDescent="0.3">
      <c r="A1950" s="22" t="s">
        <v>7779</v>
      </c>
      <c r="B1950" s="22" t="s">
        <v>7827</v>
      </c>
      <c r="C1950" s="22" t="s">
        <v>7776</v>
      </c>
      <c r="D1950" s="22" t="s">
        <v>7741</v>
      </c>
      <c r="E1950" s="22" t="s">
        <v>7951</v>
      </c>
      <c r="F1950" s="24" t="s">
        <v>7952</v>
      </c>
      <c r="G1950" s="26" t="s">
        <v>8376</v>
      </c>
      <c r="H1950" s="22"/>
      <c r="I1950" s="22" t="s">
        <v>167</v>
      </c>
      <c r="J1950" s="22" t="s">
        <v>2</v>
      </c>
      <c r="K1950" s="24" t="s">
        <v>7949</v>
      </c>
      <c r="L1950" s="24"/>
      <c r="M1950" s="25" t="s">
        <v>8352</v>
      </c>
      <c r="N1950" s="22"/>
      <c r="O1950" s="22" t="s">
        <v>7953</v>
      </c>
      <c r="P1950" s="22" t="str">
        <f>HYPERLINK("https://ceds.ed.gov/cedselementdetails.aspx?termid=22973")</f>
        <v>https://ceds.ed.gov/cedselementdetails.aspx?termid=22973</v>
      </c>
      <c r="Q1950" s="22">
        <v>63912</v>
      </c>
    </row>
    <row r="1951" spans="1:17" ht="43.2" x14ac:dyDescent="0.3">
      <c r="A1951" s="22" t="s">
        <v>7779</v>
      </c>
      <c r="B1951" s="22" t="s">
        <v>7827</v>
      </c>
      <c r="C1951" s="22" t="s">
        <v>7777</v>
      </c>
      <c r="D1951" s="22" t="s">
        <v>7710</v>
      </c>
      <c r="E1951" s="22" t="s">
        <v>6114</v>
      </c>
      <c r="F1951" s="24" t="s">
        <v>6115</v>
      </c>
      <c r="G1951" s="23" t="s">
        <v>32</v>
      </c>
      <c r="H1951" s="22"/>
      <c r="I1951" s="22"/>
      <c r="J1951" s="22" t="s">
        <v>157</v>
      </c>
      <c r="K1951" s="24"/>
      <c r="L1951" s="24"/>
      <c r="M1951" s="25" t="s">
        <v>6116</v>
      </c>
      <c r="N1951" s="22"/>
      <c r="O1951" s="22" t="s">
        <v>6117</v>
      </c>
      <c r="P1951" s="22" t="str">
        <f>HYPERLINK("https://ceds.ed.gov/cedselementdetails.aspx?termid=22424")</f>
        <v>https://ceds.ed.gov/cedselementdetails.aspx?termid=22424</v>
      </c>
      <c r="Q1951" s="22">
        <v>61604</v>
      </c>
    </row>
    <row r="1952" spans="1:17" ht="187.2" x14ac:dyDescent="0.3">
      <c r="A1952" s="22" t="s">
        <v>7779</v>
      </c>
      <c r="B1952" s="22" t="s">
        <v>7827</v>
      </c>
      <c r="C1952" s="22" t="s">
        <v>7777</v>
      </c>
      <c r="D1952" s="22" t="s">
        <v>7710</v>
      </c>
      <c r="E1952" s="22" t="s">
        <v>189</v>
      </c>
      <c r="F1952" s="24" t="s">
        <v>190</v>
      </c>
      <c r="G1952" s="23" t="s">
        <v>32</v>
      </c>
      <c r="H1952" s="24" t="s">
        <v>175</v>
      </c>
      <c r="I1952" s="22" t="s">
        <v>172</v>
      </c>
      <c r="J1952" s="22" t="s">
        <v>191</v>
      </c>
      <c r="K1952" s="24" t="s">
        <v>7946</v>
      </c>
      <c r="L1952" s="24"/>
      <c r="M1952" s="25" t="s">
        <v>192</v>
      </c>
      <c r="N1952" s="22"/>
      <c r="O1952" s="22" t="s">
        <v>193</v>
      </c>
      <c r="P1952" s="22" t="str">
        <f>HYPERLINK("https://ceds.ed.gov/cedselementdetails.aspx?termid=21269")</f>
        <v>https://ceds.ed.gov/cedselementdetails.aspx?termid=21269</v>
      </c>
      <c r="Q1952" s="22">
        <v>61596</v>
      </c>
    </row>
    <row r="1953" spans="1:17" ht="187.2" x14ac:dyDescent="0.3">
      <c r="A1953" s="22" t="s">
        <v>7779</v>
      </c>
      <c r="B1953" s="22" t="s">
        <v>7827</v>
      </c>
      <c r="C1953" s="22" t="s">
        <v>7777</v>
      </c>
      <c r="D1953" s="22" t="s">
        <v>7710</v>
      </c>
      <c r="E1953" s="22" t="s">
        <v>170</v>
      </c>
      <c r="F1953" s="24" t="s">
        <v>171</v>
      </c>
      <c r="G1953" s="23" t="s">
        <v>32</v>
      </c>
      <c r="H1953" s="24" t="s">
        <v>175</v>
      </c>
      <c r="I1953" s="22" t="s">
        <v>172</v>
      </c>
      <c r="J1953" s="22" t="s">
        <v>157</v>
      </c>
      <c r="K1953" s="24" t="s">
        <v>7946</v>
      </c>
      <c r="L1953" s="24"/>
      <c r="M1953" s="25" t="s">
        <v>173</v>
      </c>
      <c r="N1953" s="22"/>
      <c r="O1953" s="22" t="s">
        <v>174</v>
      </c>
      <c r="P1953" s="22" t="str">
        <f>HYPERLINK("https://ceds.ed.gov/cedselementdetails.aspx?termid=21019")</f>
        <v>https://ceds.ed.gov/cedselementdetails.aspx?termid=21019</v>
      </c>
      <c r="Q1953" s="22">
        <v>61597</v>
      </c>
    </row>
    <row r="1954" spans="1:17" ht="187.2" x14ac:dyDescent="0.3">
      <c r="A1954" s="22" t="s">
        <v>7779</v>
      </c>
      <c r="B1954" s="22" t="s">
        <v>7827</v>
      </c>
      <c r="C1954" s="22" t="s">
        <v>7777</v>
      </c>
      <c r="D1954" s="22" t="s">
        <v>7710</v>
      </c>
      <c r="E1954" s="22" t="s">
        <v>176</v>
      </c>
      <c r="F1954" s="24" t="s">
        <v>177</v>
      </c>
      <c r="G1954" s="23" t="s">
        <v>32</v>
      </c>
      <c r="H1954" s="24" t="s">
        <v>175</v>
      </c>
      <c r="I1954" s="22" t="s">
        <v>172</v>
      </c>
      <c r="J1954" s="22" t="s">
        <v>85</v>
      </c>
      <c r="K1954" s="24" t="s">
        <v>7946</v>
      </c>
      <c r="L1954" s="24"/>
      <c r="M1954" s="25" t="s">
        <v>178</v>
      </c>
      <c r="N1954" s="22"/>
      <c r="O1954" s="22" t="s">
        <v>179</v>
      </c>
      <c r="P1954" s="22" t="str">
        <f>HYPERLINK("https://ceds.ed.gov/cedselementdetails.aspx?termid=21040")</f>
        <v>https://ceds.ed.gov/cedselementdetails.aspx?termid=21040</v>
      </c>
      <c r="Q1954" s="22">
        <v>61598</v>
      </c>
    </row>
    <row r="1955" spans="1:17" ht="409.6" x14ac:dyDescent="0.3">
      <c r="A1955" s="22" t="s">
        <v>7779</v>
      </c>
      <c r="B1955" s="22" t="s">
        <v>7827</v>
      </c>
      <c r="C1955" s="22" t="s">
        <v>7777</v>
      </c>
      <c r="D1955" s="22" t="s">
        <v>7710</v>
      </c>
      <c r="E1955" s="22" t="s">
        <v>6941</v>
      </c>
      <c r="F1955" s="24" t="s">
        <v>6942</v>
      </c>
      <c r="G1955" s="26" t="s">
        <v>8533</v>
      </c>
      <c r="H1955" s="24" t="s">
        <v>6945</v>
      </c>
      <c r="I1955" s="22" t="s">
        <v>172</v>
      </c>
      <c r="J1955" s="22"/>
      <c r="K1955" s="24" t="s">
        <v>8327</v>
      </c>
      <c r="L1955" s="24"/>
      <c r="M1955" s="25" t="s">
        <v>6943</v>
      </c>
      <c r="N1955" s="22"/>
      <c r="O1955" s="22" t="s">
        <v>6944</v>
      </c>
      <c r="P1955" s="22" t="str">
        <f>HYPERLINK("https://ceds.ed.gov/cedselementdetails.aspx?termid=21267")</f>
        <v>https://ceds.ed.gov/cedselementdetails.aspx?termid=21267</v>
      </c>
      <c r="Q1955" s="22">
        <v>61599</v>
      </c>
    </row>
    <row r="1956" spans="1:17" ht="187.2" x14ac:dyDescent="0.3">
      <c r="A1956" s="22" t="s">
        <v>7779</v>
      </c>
      <c r="B1956" s="22" t="s">
        <v>7827</v>
      </c>
      <c r="C1956" s="22" t="s">
        <v>7777</v>
      </c>
      <c r="D1956" s="22" t="s">
        <v>7710</v>
      </c>
      <c r="E1956" s="22" t="s">
        <v>184</v>
      </c>
      <c r="F1956" s="24" t="s">
        <v>185</v>
      </c>
      <c r="G1956" s="23" t="s">
        <v>32</v>
      </c>
      <c r="H1956" s="24" t="s">
        <v>175</v>
      </c>
      <c r="I1956" s="22" t="s">
        <v>172</v>
      </c>
      <c r="J1956" s="22" t="s">
        <v>186</v>
      </c>
      <c r="K1956" s="24" t="s">
        <v>7946</v>
      </c>
      <c r="L1956" s="24"/>
      <c r="M1956" s="25" t="s">
        <v>187</v>
      </c>
      <c r="N1956" s="22"/>
      <c r="O1956" s="22" t="s">
        <v>188</v>
      </c>
      <c r="P1956" s="22" t="str">
        <f>HYPERLINK("https://ceds.ed.gov/cedselementdetails.aspx?termid=21214")</f>
        <v>https://ceds.ed.gov/cedselementdetails.aspx?termid=21214</v>
      </c>
      <c r="Q1956" s="22">
        <v>61600</v>
      </c>
    </row>
    <row r="1957" spans="1:17" ht="72" x14ac:dyDescent="0.3">
      <c r="A1957" s="22" t="s">
        <v>7779</v>
      </c>
      <c r="B1957" s="22" t="s">
        <v>7827</v>
      </c>
      <c r="C1957" s="22" t="s">
        <v>7777</v>
      </c>
      <c r="D1957" s="22" t="s">
        <v>7710</v>
      </c>
      <c r="E1957" s="22" t="s">
        <v>7159</v>
      </c>
      <c r="F1957" s="24" t="s">
        <v>7160</v>
      </c>
      <c r="G1957" s="23" t="s">
        <v>32</v>
      </c>
      <c r="H1957" s="24" t="s">
        <v>64</v>
      </c>
      <c r="I1957" s="22"/>
      <c r="J1957" s="22" t="s">
        <v>7161</v>
      </c>
      <c r="K1957" s="24"/>
      <c r="L1957" s="24"/>
      <c r="M1957" s="25" t="s">
        <v>7162</v>
      </c>
      <c r="N1957" s="22"/>
      <c r="O1957" s="22" t="s">
        <v>7163</v>
      </c>
      <c r="P1957" s="22" t="str">
        <f>HYPERLINK("https://ceds.ed.gov/cedselementdetails.aspx?termid=21279")</f>
        <v>https://ceds.ed.gov/cedselementdetails.aspx?termid=21279</v>
      </c>
      <c r="Q1957" s="22">
        <v>61602</v>
      </c>
    </row>
    <row r="1958" spans="1:17" ht="158.4" x14ac:dyDescent="0.3">
      <c r="A1958" s="22" t="s">
        <v>7779</v>
      </c>
      <c r="B1958" s="22" t="s">
        <v>7827</v>
      </c>
      <c r="C1958" s="22" t="s">
        <v>7777</v>
      </c>
      <c r="D1958" s="22" t="s">
        <v>7710</v>
      </c>
      <c r="E1958" s="22" t="s">
        <v>2536</v>
      </c>
      <c r="F1958" s="24" t="s">
        <v>2537</v>
      </c>
      <c r="G1958" s="23" t="s">
        <v>32</v>
      </c>
      <c r="H1958" s="22"/>
      <c r="I1958" s="22"/>
      <c r="J1958" s="22" t="s">
        <v>2538</v>
      </c>
      <c r="K1958" s="24"/>
      <c r="L1958" s="24"/>
      <c r="M1958" s="25" t="s">
        <v>2539</v>
      </c>
      <c r="N1958" s="22"/>
      <c r="O1958" s="22" t="s">
        <v>2540</v>
      </c>
      <c r="P1958" s="22" t="str">
        <f>HYPERLINK("https://ceds.ed.gov/cedselementdetails.aspx?termid=22176")</f>
        <v>https://ceds.ed.gov/cedselementdetails.aspx?termid=22176</v>
      </c>
      <c r="Q1958" s="22">
        <v>63334</v>
      </c>
    </row>
    <row r="1959" spans="1:17" ht="57.6" x14ac:dyDescent="0.3">
      <c r="A1959" s="22" t="s">
        <v>7779</v>
      </c>
      <c r="B1959" s="22" t="s">
        <v>7827</v>
      </c>
      <c r="C1959" s="22" t="s">
        <v>7777</v>
      </c>
      <c r="D1959" s="22" t="s">
        <v>7710</v>
      </c>
      <c r="E1959" s="22" t="s">
        <v>3228</v>
      </c>
      <c r="F1959" s="24" t="s">
        <v>3229</v>
      </c>
      <c r="G1959" s="26" t="s">
        <v>3039</v>
      </c>
      <c r="H1959" s="22"/>
      <c r="I1959" s="22" t="s">
        <v>172</v>
      </c>
      <c r="J1959" s="22"/>
      <c r="K1959" s="24" t="s">
        <v>7946</v>
      </c>
      <c r="L1959" s="24"/>
      <c r="M1959" s="25" t="s">
        <v>3230</v>
      </c>
      <c r="N1959" s="22"/>
      <c r="O1959" s="22" t="s">
        <v>3231</v>
      </c>
      <c r="P1959" s="22" t="str">
        <f>HYPERLINK("https://ceds.ed.gov/cedselementdetails.aspx?termid=22905")</f>
        <v>https://ceds.ed.gov/cedselementdetails.aspx?termid=22905</v>
      </c>
      <c r="Q1959" s="22">
        <v>63335</v>
      </c>
    </row>
    <row r="1960" spans="1:17" ht="57.6" x14ac:dyDescent="0.3">
      <c r="A1960" s="22" t="s">
        <v>7779</v>
      </c>
      <c r="B1960" s="22" t="s">
        <v>7827</v>
      </c>
      <c r="C1960" s="22" t="s">
        <v>7777</v>
      </c>
      <c r="D1960" s="22" t="s">
        <v>7710</v>
      </c>
      <c r="E1960" s="22" t="s">
        <v>7164</v>
      </c>
      <c r="F1960" s="24" t="s">
        <v>7165</v>
      </c>
      <c r="G1960" s="26" t="s">
        <v>9167</v>
      </c>
      <c r="H1960" s="22"/>
      <c r="I1960" s="22"/>
      <c r="J1960" s="22"/>
      <c r="K1960" s="24"/>
      <c r="L1960" s="24"/>
      <c r="M1960" s="25" t="s">
        <v>7166</v>
      </c>
      <c r="N1960" s="22"/>
      <c r="O1960" s="22" t="s">
        <v>7167</v>
      </c>
      <c r="P1960" s="22" t="str">
        <f>HYPERLINK("https://ceds.ed.gov/cedselementdetails.aspx?termid=22911")</f>
        <v>https://ceds.ed.gov/cedselementdetails.aspx?termid=22911</v>
      </c>
      <c r="Q1960" s="22">
        <v>63336</v>
      </c>
    </row>
    <row r="1961" spans="1:17" ht="28.8" x14ac:dyDescent="0.3">
      <c r="A1961" s="22" t="s">
        <v>7779</v>
      </c>
      <c r="B1961" s="22" t="s">
        <v>7827</v>
      </c>
      <c r="C1961" s="22" t="s">
        <v>7796</v>
      </c>
      <c r="D1961" s="22" t="s">
        <v>7710</v>
      </c>
      <c r="E1961" s="22" t="s">
        <v>1447</v>
      </c>
      <c r="F1961" s="24" t="s">
        <v>1448</v>
      </c>
      <c r="G1961" s="23" t="s">
        <v>32</v>
      </c>
      <c r="H1961" s="22"/>
      <c r="I1961" s="22" t="s">
        <v>172</v>
      </c>
      <c r="J1961" s="22" t="s">
        <v>118</v>
      </c>
      <c r="K1961" s="24" t="s">
        <v>7946</v>
      </c>
      <c r="L1961" s="24"/>
      <c r="M1961" s="25" t="s">
        <v>1449</v>
      </c>
      <c r="N1961" s="22"/>
      <c r="O1961" s="22" t="s">
        <v>1450</v>
      </c>
      <c r="P1961" s="22" t="str">
        <f>HYPERLINK("https://ceds.ed.gov/cedselementdetails.aspx?termid=22630")</f>
        <v>https://ceds.ed.gov/cedselementdetails.aspx?termid=22630</v>
      </c>
      <c r="Q1961" s="22">
        <v>62709</v>
      </c>
    </row>
    <row r="1962" spans="1:17" ht="86.4" x14ac:dyDescent="0.3">
      <c r="A1962" s="22" t="s">
        <v>7779</v>
      </c>
      <c r="B1962" s="22" t="s">
        <v>7827</v>
      </c>
      <c r="C1962" s="22" t="s">
        <v>7796</v>
      </c>
      <c r="D1962" s="22" t="s">
        <v>7710</v>
      </c>
      <c r="E1962" s="22" t="s">
        <v>1456</v>
      </c>
      <c r="F1962" s="24" t="s">
        <v>1457</v>
      </c>
      <c r="G1962" s="26" t="s">
        <v>8406</v>
      </c>
      <c r="H1962" s="22"/>
      <c r="I1962" s="22" t="s">
        <v>172</v>
      </c>
      <c r="J1962" s="22"/>
      <c r="K1962" s="24" t="s">
        <v>7946</v>
      </c>
      <c r="L1962" s="24"/>
      <c r="M1962" s="25" t="s">
        <v>1458</v>
      </c>
      <c r="N1962" s="22"/>
      <c r="O1962" s="22" t="s">
        <v>1459</v>
      </c>
      <c r="P1962" s="22" t="str">
        <f>HYPERLINK("https://ceds.ed.gov/cedselementdetails.aspx?termid=21076")</f>
        <v>https://ceds.ed.gov/cedselementdetails.aspx?termid=21076</v>
      </c>
      <c r="Q1962" s="22">
        <v>61465</v>
      </c>
    </row>
    <row r="1963" spans="1:17" ht="259.2" x14ac:dyDescent="0.3">
      <c r="A1963" s="22" t="s">
        <v>7779</v>
      </c>
      <c r="B1963" s="22" t="s">
        <v>7827</v>
      </c>
      <c r="C1963" s="22" t="s">
        <v>7796</v>
      </c>
      <c r="D1963" s="22" t="s">
        <v>7710</v>
      </c>
      <c r="E1963" s="22" t="s">
        <v>5290</v>
      </c>
      <c r="F1963" s="24" t="s">
        <v>5291</v>
      </c>
      <c r="G1963" s="26" t="s">
        <v>8470</v>
      </c>
      <c r="H1963" s="22"/>
      <c r="I1963" s="22" t="s">
        <v>172</v>
      </c>
      <c r="J1963" s="22"/>
      <c r="K1963" s="24" t="s">
        <v>7946</v>
      </c>
      <c r="L1963" s="24"/>
      <c r="M1963" s="25" t="s">
        <v>5292</v>
      </c>
      <c r="N1963" s="22"/>
      <c r="O1963" s="22" t="s">
        <v>5293</v>
      </c>
      <c r="P1963" s="22" t="str">
        <f>HYPERLINK("https://ceds.ed.gov/cedselementdetails.aspx?termid=21617")</f>
        <v>https://ceds.ed.gov/cedselementdetails.aspx?termid=21617</v>
      </c>
      <c r="Q1963" s="22">
        <v>59139</v>
      </c>
    </row>
    <row r="1964" spans="1:17" ht="409.6" x14ac:dyDescent="0.3">
      <c r="A1964" s="22" t="s">
        <v>7779</v>
      </c>
      <c r="B1964" s="22" t="s">
        <v>7827</v>
      </c>
      <c r="C1964" s="22" t="s">
        <v>7769</v>
      </c>
      <c r="D1964" s="22" t="s">
        <v>7710</v>
      </c>
      <c r="E1964" s="22" t="s">
        <v>4332</v>
      </c>
      <c r="F1964" s="24" t="s">
        <v>4333</v>
      </c>
      <c r="G1964" s="26" t="s">
        <v>8734</v>
      </c>
      <c r="H1964" s="24" t="s">
        <v>4336</v>
      </c>
      <c r="I1964" s="22"/>
      <c r="J1964" s="22"/>
      <c r="K1964" s="24"/>
      <c r="L1964" s="24"/>
      <c r="M1964" s="25" t="s">
        <v>4334</v>
      </c>
      <c r="N1964" s="22"/>
      <c r="O1964" s="22" t="s">
        <v>4335</v>
      </c>
      <c r="P1964" s="22" t="str">
        <f>HYPERLINK("https://ceds.ed.gov/cedselementdetails.aspx?termid=21141")</f>
        <v>https://ceds.ed.gov/cedselementdetails.aspx?termid=21141</v>
      </c>
      <c r="Q1964" s="22">
        <v>62747</v>
      </c>
    </row>
    <row r="1965" spans="1:17" ht="187.2" x14ac:dyDescent="0.3">
      <c r="A1965" s="22" t="s">
        <v>7779</v>
      </c>
      <c r="B1965" s="22" t="s">
        <v>7827</v>
      </c>
      <c r="C1965" s="22" t="s">
        <v>7769</v>
      </c>
      <c r="D1965" s="22" t="s">
        <v>7710</v>
      </c>
      <c r="E1965" s="22" t="s">
        <v>5525</v>
      </c>
      <c r="F1965" s="24" t="s">
        <v>5526</v>
      </c>
      <c r="G1965" s="23" t="s">
        <v>32</v>
      </c>
      <c r="H1965" s="24" t="s">
        <v>5529</v>
      </c>
      <c r="I1965" s="22" t="s">
        <v>172</v>
      </c>
      <c r="J1965" s="22" t="s">
        <v>157</v>
      </c>
      <c r="K1965" s="24" t="s">
        <v>7946</v>
      </c>
      <c r="L1965" s="24"/>
      <c r="M1965" s="25" t="s">
        <v>5527</v>
      </c>
      <c r="N1965" s="22"/>
      <c r="O1965" s="22" t="s">
        <v>5528</v>
      </c>
      <c r="P1965" s="22" t="str">
        <f>HYPERLINK("https://ceds.ed.gov/cedselementdetails.aspx?termid=21191")</f>
        <v>https://ceds.ed.gov/cedselementdetails.aspx?termid=21191</v>
      </c>
      <c r="Q1965" s="22">
        <v>62733</v>
      </c>
    </row>
    <row r="1966" spans="1:17" ht="86.4" x14ac:dyDescent="0.3">
      <c r="A1966" s="22" t="s">
        <v>7779</v>
      </c>
      <c r="B1966" s="22" t="s">
        <v>7827</v>
      </c>
      <c r="C1966" s="22" t="s">
        <v>7769</v>
      </c>
      <c r="D1966" s="22" t="s">
        <v>7710</v>
      </c>
      <c r="E1966" s="22" t="s">
        <v>8312</v>
      </c>
      <c r="F1966" s="24" t="s">
        <v>8313</v>
      </c>
      <c r="G1966" s="23" t="s">
        <v>32</v>
      </c>
      <c r="H1966" s="22"/>
      <c r="I1966" s="22" t="s">
        <v>172</v>
      </c>
      <c r="J1966" s="22" t="s">
        <v>85</v>
      </c>
      <c r="K1966" s="24" t="s">
        <v>8314</v>
      </c>
      <c r="L1966" s="24" t="s">
        <v>6772</v>
      </c>
      <c r="M1966" s="25" t="s">
        <v>6773</v>
      </c>
      <c r="N1966" s="22"/>
      <c r="O1966" s="22" t="s">
        <v>8315</v>
      </c>
      <c r="P1966" s="22" t="str">
        <f>HYPERLINK("https://ceds.ed.gov/cedselementdetails.aspx?termid=22459")</f>
        <v>https://ceds.ed.gov/cedselementdetails.aspx?termid=22459</v>
      </c>
      <c r="Q1966" s="22">
        <v>62751</v>
      </c>
    </row>
    <row r="1967" spans="1:17" ht="100.8" x14ac:dyDescent="0.3">
      <c r="A1967" s="22" t="s">
        <v>7779</v>
      </c>
      <c r="B1967" s="22" t="s">
        <v>7827</v>
      </c>
      <c r="C1967" s="22" t="s">
        <v>7769</v>
      </c>
      <c r="D1967" s="22" t="s">
        <v>7710</v>
      </c>
      <c r="E1967" s="22" t="s">
        <v>4328</v>
      </c>
      <c r="F1967" s="24" t="s">
        <v>4329</v>
      </c>
      <c r="G1967" s="26" t="s">
        <v>8921</v>
      </c>
      <c r="H1967" s="22" t="s">
        <v>207</v>
      </c>
      <c r="I1967" s="22"/>
      <c r="J1967" s="22"/>
      <c r="K1967" s="24"/>
      <c r="L1967" s="24"/>
      <c r="M1967" s="25" t="s">
        <v>4330</v>
      </c>
      <c r="N1967" s="22"/>
      <c r="O1967" s="22" t="s">
        <v>4331</v>
      </c>
      <c r="P1967" s="22" t="str">
        <f>HYPERLINK("https://ceds.ed.gov/cedselementdetails.aspx?termid=21817")</f>
        <v>https://ceds.ed.gov/cedselementdetails.aspx?termid=21817</v>
      </c>
      <c r="Q1967" s="22">
        <v>62749</v>
      </c>
    </row>
    <row r="1968" spans="1:17" ht="43.2" x14ac:dyDescent="0.3">
      <c r="A1968" s="22" t="s">
        <v>7779</v>
      </c>
      <c r="B1968" s="22" t="s">
        <v>7827</v>
      </c>
      <c r="C1968" s="22" t="s">
        <v>7769</v>
      </c>
      <c r="D1968" s="22" t="s">
        <v>7710</v>
      </c>
      <c r="E1968" s="22" t="s">
        <v>3082</v>
      </c>
      <c r="F1968" s="24" t="s">
        <v>3083</v>
      </c>
      <c r="G1968" s="23" t="s">
        <v>32</v>
      </c>
      <c r="H1968" s="24" t="s">
        <v>3077</v>
      </c>
      <c r="I1968" s="22"/>
      <c r="J1968" s="22" t="s">
        <v>1339</v>
      </c>
      <c r="K1968" s="24"/>
      <c r="L1968" s="24"/>
      <c r="M1968" s="25" t="s">
        <v>3084</v>
      </c>
      <c r="N1968" s="22"/>
      <c r="O1968" s="22" t="s">
        <v>3085</v>
      </c>
      <c r="P1968" s="22" t="str">
        <f>HYPERLINK("https://ceds.ed.gov/cedselementdetails.aspx?termid=21341")</f>
        <v>https://ceds.ed.gov/cedselementdetails.aspx?termid=21341</v>
      </c>
      <c r="Q1968" s="22">
        <v>62735</v>
      </c>
    </row>
    <row r="1969" spans="1:17" ht="273.60000000000002" x14ac:dyDescent="0.3">
      <c r="A1969" s="22" t="s">
        <v>7779</v>
      </c>
      <c r="B1969" s="22" t="s">
        <v>7827</v>
      </c>
      <c r="C1969" s="22" t="s">
        <v>7769</v>
      </c>
      <c r="D1969" s="22" t="s">
        <v>7710</v>
      </c>
      <c r="E1969" s="22" t="s">
        <v>3086</v>
      </c>
      <c r="F1969" s="24" t="s">
        <v>3087</v>
      </c>
      <c r="G1969" s="26" t="s">
        <v>8785</v>
      </c>
      <c r="H1969" s="24" t="s">
        <v>3077</v>
      </c>
      <c r="I1969" s="22"/>
      <c r="J1969" s="22"/>
      <c r="K1969" s="24"/>
      <c r="L1969" s="24"/>
      <c r="M1969" s="25" t="s">
        <v>3088</v>
      </c>
      <c r="N1969" s="22"/>
      <c r="O1969" s="22" t="s">
        <v>3089</v>
      </c>
      <c r="P1969" s="22" t="str">
        <f>HYPERLINK("https://ceds.ed.gov/cedselementdetails.aspx?termid=21342")</f>
        <v>https://ceds.ed.gov/cedselementdetails.aspx?termid=21342</v>
      </c>
      <c r="Q1969" s="22">
        <v>62737</v>
      </c>
    </row>
    <row r="1970" spans="1:17" ht="43.2" x14ac:dyDescent="0.3">
      <c r="A1970" s="22" t="s">
        <v>7779</v>
      </c>
      <c r="B1970" s="22" t="s">
        <v>7827</v>
      </c>
      <c r="C1970" s="22" t="s">
        <v>7769</v>
      </c>
      <c r="D1970" s="22" t="s">
        <v>7710</v>
      </c>
      <c r="E1970" s="22" t="s">
        <v>3073</v>
      </c>
      <c r="F1970" s="24" t="s">
        <v>3074</v>
      </c>
      <c r="G1970" s="23" t="s">
        <v>32</v>
      </c>
      <c r="H1970" s="24" t="s">
        <v>3077</v>
      </c>
      <c r="I1970" s="22"/>
      <c r="J1970" s="22" t="s">
        <v>118</v>
      </c>
      <c r="K1970" s="24"/>
      <c r="L1970" s="24"/>
      <c r="M1970" s="25" t="s">
        <v>3075</v>
      </c>
      <c r="N1970" s="22"/>
      <c r="O1970" s="22" t="s">
        <v>3076</v>
      </c>
      <c r="P1970" s="22" t="str">
        <f>HYPERLINK("https://ceds.ed.gov/cedselementdetails.aspx?termid=21343")</f>
        <v>https://ceds.ed.gov/cedselementdetails.aspx?termid=21343</v>
      </c>
      <c r="Q1970" s="22">
        <v>62739</v>
      </c>
    </row>
    <row r="1971" spans="1:17" ht="57.6" x14ac:dyDescent="0.3">
      <c r="A1971" s="22" t="s">
        <v>7779</v>
      </c>
      <c r="B1971" s="22" t="s">
        <v>7827</v>
      </c>
      <c r="C1971" s="22" t="s">
        <v>7769</v>
      </c>
      <c r="D1971" s="22" t="s">
        <v>7710</v>
      </c>
      <c r="E1971" s="22" t="s">
        <v>5644</v>
      </c>
      <c r="F1971" s="24" t="s">
        <v>5645</v>
      </c>
      <c r="G1971" s="23" t="s">
        <v>32</v>
      </c>
      <c r="H1971" s="22" t="s">
        <v>207</v>
      </c>
      <c r="I1971" s="22"/>
      <c r="J1971" s="22" t="s">
        <v>1518</v>
      </c>
      <c r="K1971" s="24"/>
      <c r="L1971" s="24"/>
      <c r="M1971" s="25" t="s">
        <v>5646</v>
      </c>
      <c r="N1971" s="22"/>
      <c r="O1971" s="22" t="s">
        <v>5647</v>
      </c>
      <c r="P1971" s="22" t="str">
        <f>HYPERLINK("https://ceds.ed.gov/cedselementdetails.aspx?termid=21815")</f>
        <v>https://ceds.ed.gov/cedselementdetails.aspx?termid=21815</v>
      </c>
      <c r="Q1971" s="22">
        <v>62741</v>
      </c>
    </row>
    <row r="1972" spans="1:17" ht="72" x14ac:dyDescent="0.3">
      <c r="A1972" s="22" t="s">
        <v>7779</v>
      </c>
      <c r="B1972" s="22" t="s">
        <v>7827</v>
      </c>
      <c r="C1972" s="22" t="s">
        <v>7769</v>
      </c>
      <c r="D1972" s="22" t="s">
        <v>7710</v>
      </c>
      <c r="E1972" s="22" t="s">
        <v>6878</v>
      </c>
      <c r="F1972" s="24" t="s">
        <v>6879</v>
      </c>
      <c r="G1972" s="23" t="s">
        <v>32</v>
      </c>
      <c r="H1972" s="22" t="s">
        <v>207</v>
      </c>
      <c r="I1972" s="22"/>
      <c r="J1972" s="22" t="s">
        <v>118</v>
      </c>
      <c r="K1972" s="24"/>
      <c r="L1972" s="24"/>
      <c r="M1972" s="25" t="s">
        <v>6880</v>
      </c>
      <c r="N1972" s="22"/>
      <c r="O1972" s="22" t="s">
        <v>6881</v>
      </c>
      <c r="P1972" s="22" t="str">
        <f>HYPERLINK("https://ceds.ed.gov/cedselementdetails.aspx?termid=21792")</f>
        <v>https://ceds.ed.gov/cedselementdetails.aspx?termid=21792</v>
      </c>
      <c r="Q1972" s="22">
        <v>62743</v>
      </c>
    </row>
    <row r="1973" spans="1:17" ht="72" x14ac:dyDescent="0.3">
      <c r="A1973" s="22" t="s">
        <v>7779</v>
      </c>
      <c r="B1973" s="22" t="s">
        <v>7827</v>
      </c>
      <c r="C1973" s="22" t="s">
        <v>7769</v>
      </c>
      <c r="D1973" s="22" t="s">
        <v>7710</v>
      </c>
      <c r="E1973" s="22" t="s">
        <v>6882</v>
      </c>
      <c r="F1973" s="24" t="s">
        <v>6883</v>
      </c>
      <c r="G1973" s="23" t="s">
        <v>32</v>
      </c>
      <c r="H1973" s="22" t="s">
        <v>207</v>
      </c>
      <c r="I1973" s="22"/>
      <c r="J1973" s="22" t="s">
        <v>118</v>
      </c>
      <c r="K1973" s="24"/>
      <c r="L1973" s="24"/>
      <c r="M1973" s="25" t="s">
        <v>6884</v>
      </c>
      <c r="N1973" s="22"/>
      <c r="O1973" s="22" t="s">
        <v>6885</v>
      </c>
      <c r="P1973" s="22" t="str">
        <f>HYPERLINK("https://ceds.ed.gov/cedselementdetails.aspx?termid=21793")</f>
        <v>https://ceds.ed.gov/cedselementdetails.aspx?termid=21793</v>
      </c>
      <c r="Q1973" s="22">
        <v>62745</v>
      </c>
    </row>
    <row r="1974" spans="1:17" ht="86.4" x14ac:dyDescent="0.3">
      <c r="A1974" s="22" t="s">
        <v>7779</v>
      </c>
      <c r="B1974" s="22" t="s">
        <v>7827</v>
      </c>
      <c r="C1974" s="22" t="s">
        <v>7769</v>
      </c>
      <c r="D1974" s="22" t="s">
        <v>7710</v>
      </c>
      <c r="E1974" s="22" t="s">
        <v>3453</v>
      </c>
      <c r="F1974" s="24" t="s">
        <v>3454</v>
      </c>
      <c r="G1974" s="26" t="s">
        <v>8839</v>
      </c>
      <c r="H1974" s="22"/>
      <c r="I1974" s="22"/>
      <c r="J1974" s="22"/>
      <c r="K1974" s="24"/>
      <c r="L1974" s="24"/>
      <c r="M1974" s="25" t="s">
        <v>3455</v>
      </c>
      <c r="N1974" s="22"/>
      <c r="O1974" s="22" t="s">
        <v>3456</v>
      </c>
      <c r="P1974" s="22" t="str">
        <f>HYPERLINK("https://ceds.ed.gov/cedselementdetails.aspx?termid=22586")</f>
        <v>https://ceds.ed.gov/cedselementdetails.aspx?termid=22586</v>
      </c>
      <c r="Q1974" s="22">
        <v>62753</v>
      </c>
    </row>
    <row r="1975" spans="1:17" ht="259.2" x14ac:dyDescent="0.3">
      <c r="A1975" s="22" t="s">
        <v>7779</v>
      </c>
      <c r="B1975" s="22" t="s">
        <v>7827</v>
      </c>
      <c r="C1975" s="22" t="s">
        <v>7788</v>
      </c>
      <c r="D1975" s="22" t="s">
        <v>7710</v>
      </c>
      <c r="E1975" s="22" t="s">
        <v>7147</v>
      </c>
      <c r="F1975" s="24" t="s">
        <v>7148</v>
      </c>
      <c r="G1975" s="26" t="s">
        <v>9162</v>
      </c>
      <c r="H1975" s="22"/>
      <c r="I1975" s="22"/>
      <c r="J1975" s="22"/>
      <c r="K1975" s="24"/>
      <c r="L1975" s="24" t="s">
        <v>8331</v>
      </c>
      <c r="M1975" s="25" t="s">
        <v>7149</v>
      </c>
      <c r="N1975" s="22"/>
      <c r="O1975" s="22" t="s">
        <v>7150</v>
      </c>
      <c r="P1975" s="22" t="str">
        <f>HYPERLINK("https://ceds.ed.gov/cedselementdetails.aspx?termid=22467")</f>
        <v>https://ceds.ed.gov/cedselementdetails.aspx?termid=22467</v>
      </c>
      <c r="Q1975" s="22">
        <v>61444</v>
      </c>
    </row>
    <row r="1976" spans="1:17" ht="115.2" x14ac:dyDescent="0.3">
      <c r="A1976" s="22" t="s">
        <v>7779</v>
      </c>
      <c r="B1976" s="22" t="s">
        <v>7827</v>
      </c>
      <c r="C1976" s="22" t="s">
        <v>7788</v>
      </c>
      <c r="D1976" s="22" t="s">
        <v>7710</v>
      </c>
      <c r="E1976" s="22" t="s">
        <v>7139</v>
      </c>
      <c r="F1976" s="24" t="s">
        <v>7140</v>
      </c>
      <c r="G1976" s="26" t="s">
        <v>22</v>
      </c>
      <c r="H1976" s="22"/>
      <c r="I1976" s="22" t="s">
        <v>172</v>
      </c>
      <c r="J1976" s="22"/>
      <c r="K1976" s="24" t="s">
        <v>7946</v>
      </c>
      <c r="L1976" s="24" t="s">
        <v>8331</v>
      </c>
      <c r="M1976" s="25" t="s">
        <v>7141</v>
      </c>
      <c r="N1976" s="22"/>
      <c r="O1976" s="22" t="s">
        <v>7142</v>
      </c>
      <c r="P1976" s="22" t="str">
        <f>HYPERLINK("https://ceds.ed.gov/cedselementdetails.aspx?termid=22465")</f>
        <v>https://ceds.ed.gov/cedselementdetails.aspx?termid=22465</v>
      </c>
      <c r="Q1976" s="22">
        <v>61436</v>
      </c>
    </row>
    <row r="1977" spans="1:17" ht="115.2" x14ac:dyDescent="0.3">
      <c r="A1977" s="22" t="s">
        <v>7779</v>
      </c>
      <c r="B1977" s="22" t="s">
        <v>7827</v>
      </c>
      <c r="C1977" s="22" t="s">
        <v>7788</v>
      </c>
      <c r="D1977" s="22" t="s">
        <v>7710</v>
      </c>
      <c r="E1977" s="22" t="s">
        <v>7143</v>
      </c>
      <c r="F1977" s="24" t="s">
        <v>7144</v>
      </c>
      <c r="G1977" s="26" t="s">
        <v>8550</v>
      </c>
      <c r="H1977" s="22"/>
      <c r="I1977" s="22" t="s">
        <v>172</v>
      </c>
      <c r="J1977" s="22"/>
      <c r="K1977" s="24" t="s">
        <v>7946</v>
      </c>
      <c r="L1977" s="24" t="s">
        <v>8331</v>
      </c>
      <c r="M1977" s="25" t="s">
        <v>7145</v>
      </c>
      <c r="N1977" s="22"/>
      <c r="O1977" s="22" t="s">
        <v>7146</v>
      </c>
      <c r="P1977" s="22" t="str">
        <f>HYPERLINK("https://ceds.ed.gov/cedselementdetails.aspx?termid=22466")</f>
        <v>https://ceds.ed.gov/cedselementdetails.aspx?termid=22466</v>
      </c>
      <c r="Q1977" s="22">
        <v>61439</v>
      </c>
    </row>
    <row r="1978" spans="1:17" ht="115.2" x14ac:dyDescent="0.3">
      <c r="A1978" s="22" t="s">
        <v>7779</v>
      </c>
      <c r="B1978" s="22" t="s">
        <v>7827</v>
      </c>
      <c r="C1978" s="22" t="s">
        <v>7754</v>
      </c>
      <c r="D1978" s="22" t="s">
        <v>7710</v>
      </c>
      <c r="E1978" s="22" t="s">
        <v>4923</v>
      </c>
      <c r="F1978" s="24" t="s">
        <v>4924</v>
      </c>
      <c r="G1978" s="23" t="s">
        <v>7423</v>
      </c>
      <c r="H1978" s="24" t="s">
        <v>4927</v>
      </c>
      <c r="I1978" s="22"/>
      <c r="J1978" s="22"/>
      <c r="K1978" s="24"/>
      <c r="L1978" s="24" t="s">
        <v>7994</v>
      </c>
      <c r="M1978" s="25" t="s">
        <v>4925</v>
      </c>
      <c r="N1978" s="22"/>
      <c r="O1978" s="22" t="s">
        <v>4926</v>
      </c>
      <c r="P1978" s="22" t="str">
        <f>HYPERLINK("https://ceds.ed.gov/cedselementdetails.aspx?termid=21317")</f>
        <v>https://ceds.ed.gov/cedselementdetails.aspx?termid=21317</v>
      </c>
      <c r="Q1978" s="22">
        <v>63327</v>
      </c>
    </row>
    <row r="1979" spans="1:17" ht="115.2" x14ac:dyDescent="0.3">
      <c r="A1979" s="22" t="s">
        <v>7779</v>
      </c>
      <c r="B1979" s="22" t="s">
        <v>7827</v>
      </c>
      <c r="C1979" s="22" t="s">
        <v>7754</v>
      </c>
      <c r="D1979" s="22" t="s">
        <v>7710</v>
      </c>
      <c r="E1979" s="22" t="s">
        <v>4928</v>
      </c>
      <c r="F1979" s="24" t="s">
        <v>4924</v>
      </c>
      <c r="G1979" s="23" t="s">
        <v>7423</v>
      </c>
      <c r="H1979" s="22"/>
      <c r="I1979" s="22" t="s">
        <v>172</v>
      </c>
      <c r="J1979" s="22"/>
      <c r="K1979" s="24" t="s">
        <v>8231</v>
      </c>
      <c r="L1979" s="24" t="s">
        <v>8232</v>
      </c>
      <c r="M1979" s="25" t="s">
        <v>4929</v>
      </c>
      <c r="N1979" s="22"/>
      <c r="O1979" s="22" t="s">
        <v>4930</v>
      </c>
      <c r="P1979" s="22" t="str">
        <f>HYPERLINK("https://ceds.ed.gov/cedselementdetails.aspx?termid=22618")</f>
        <v>https://ceds.ed.gov/cedselementdetails.aspx?termid=22618</v>
      </c>
      <c r="Q1979" s="22">
        <v>63328</v>
      </c>
    </row>
    <row r="1980" spans="1:17" ht="409.6" x14ac:dyDescent="0.3">
      <c r="A1980" s="22" t="s">
        <v>7779</v>
      </c>
      <c r="B1980" s="22" t="s">
        <v>7827</v>
      </c>
      <c r="C1980" s="22" t="s">
        <v>7754</v>
      </c>
      <c r="D1980" s="22" t="s">
        <v>7710</v>
      </c>
      <c r="E1980" s="22" t="s">
        <v>4931</v>
      </c>
      <c r="F1980" s="24" t="s">
        <v>4932</v>
      </c>
      <c r="G1980" s="26" t="s">
        <v>8988</v>
      </c>
      <c r="H1980" s="22"/>
      <c r="I1980" s="22"/>
      <c r="J1980" s="22"/>
      <c r="K1980" s="24"/>
      <c r="L1980" s="24" t="s">
        <v>8233</v>
      </c>
      <c r="M1980" s="25" t="s">
        <v>4933</v>
      </c>
      <c r="N1980" s="22"/>
      <c r="O1980" s="22" t="s">
        <v>4934</v>
      </c>
      <c r="P1980" s="22" t="str">
        <f>HYPERLINK("https://ceds.ed.gov/cedselementdetails.aspx?termid=22619")</f>
        <v>https://ceds.ed.gov/cedselementdetails.aspx?termid=22619</v>
      </c>
      <c r="Q1980" s="22">
        <v>63329</v>
      </c>
    </row>
    <row r="1981" spans="1:17" ht="129.6" x14ac:dyDescent="0.3">
      <c r="A1981" s="22" t="s">
        <v>7779</v>
      </c>
      <c r="B1981" s="22" t="s">
        <v>7827</v>
      </c>
      <c r="C1981" s="22" t="s">
        <v>7754</v>
      </c>
      <c r="D1981" s="22" t="s">
        <v>7710</v>
      </c>
      <c r="E1981" s="22" t="s">
        <v>4965</v>
      </c>
      <c r="F1981" s="24" t="s">
        <v>4966</v>
      </c>
      <c r="G1981" s="26" t="s">
        <v>8993</v>
      </c>
      <c r="H1981" s="24" t="s">
        <v>4927</v>
      </c>
      <c r="I1981" s="22"/>
      <c r="J1981" s="22"/>
      <c r="K1981" s="24"/>
      <c r="L1981" s="24"/>
      <c r="M1981" s="25" t="s">
        <v>4967</v>
      </c>
      <c r="N1981" s="22"/>
      <c r="O1981" s="22" t="s">
        <v>4968</v>
      </c>
      <c r="P1981" s="22" t="str">
        <f>HYPERLINK("https://ceds.ed.gov/cedselementdetails.aspx?termid=21316")</f>
        <v>https://ceds.ed.gov/cedselementdetails.aspx?termid=21316</v>
      </c>
      <c r="Q1981" s="22">
        <v>63330</v>
      </c>
    </row>
    <row r="1982" spans="1:17" ht="409.6" x14ac:dyDescent="0.3">
      <c r="A1982" s="22" t="s">
        <v>7779</v>
      </c>
      <c r="B1982" s="22" t="s">
        <v>7827</v>
      </c>
      <c r="C1982" s="22" t="s">
        <v>7766</v>
      </c>
      <c r="D1982" s="22" t="s">
        <v>7710</v>
      </c>
      <c r="E1982" s="22" t="s">
        <v>5851</v>
      </c>
      <c r="F1982" s="24" t="s">
        <v>5852</v>
      </c>
      <c r="G1982" s="26" t="s">
        <v>9062</v>
      </c>
      <c r="H1982" s="22" t="s">
        <v>1553</v>
      </c>
      <c r="I1982" s="22"/>
      <c r="J1982" s="22"/>
      <c r="K1982" s="24"/>
      <c r="L1982" s="24" t="s">
        <v>5853</v>
      </c>
      <c r="M1982" s="25" t="s">
        <v>5854</v>
      </c>
      <c r="N1982" s="22"/>
      <c r="O1982" s="22" t="s">
        <v>5855</v>
      </c>
      <c r="P1982" s="22" t="str">
        <f>HYPERLINK("https://ceds.ed.gov/cedselementdetails.aspx?termid=21415")</f>
        <v>https://ceds.ed.gov/cedselementdetails.aspx?termid=21415</v>
      </c>
      <c r="Q1982" s="22">
        <v>63337</v>
      </c>
    </row>
    <row r="1983" spans="1:17" ht="57.6" x14ac:dyDescent="0.3">
      <c r="A1983" s="22" t="s">
        <v>7779</v>
      </c>
      <c r="B1983" s="22" t="s">
        <v>7827</v>
      </c>
      <c r="C1983" s="22" t="s">
        <v>4</v>
      </c>
      <c r="D1983" s="22" t="s">
        <v>7710</v>
      </c>
      <c r="E1983" s="22" t="s">
        <v>6262</v>
      </c>
      <c r="F1983" s="24" t="s">
        <v>6263</v>
      </c>
      <c r="G1983" s="26" t="s">
        <v>22</v>
      </c>
      <c r="H1983" s="22"/>
      <c r="I1983" s="22"/>
      <c r="J1983" s="22"/>
      <c r="K1983" s="24"/>
      <c r="L1983" s="24"/>
      <c r="M1983" s="25" t="s">
        <v>6264</v>
      </c>
      <c r="N1983" s="22"/>
      <c r="O1983" s="22" t="s">
        <v>6265</v>
      </c>
      <c r="P1983" s="22" t="str">
        <f>HYPERLINK("https://ceds.ed.gov/cedselementdetails.aspx?termid=21760")</f>
        <v>https://ceds.ed.gov/cedselementdetails.aspx?termid=21760</v>
      </c>
      <c r="Q1983" s="22">
        <v>63338</v>
      </c>
    </row>
    <row r="1984" spans="1:17" ht="172.8" x14ac:dyDescent="0.3">
      <c r="A1984" s="22" t="s">
        <v>7779</v>
      </c>
      <c r="B1984" s="22" t="s">
        <v>7829</v>
      </c>
      <c r="C1984" s="22"/>
      <c r="D1984" s="22" t="s">
        <v>7710</v>
      </c>
      <c r="E1984" s="22" t="s">
        <v>2628</v>
      </c>
      <c r="F1984" s="24" t="s">
        <v>2629</v>
      </c>
      <c r="G1984" s="23" t="s">
        <v>32</v>
      </c>
      <c r="H1984" s="24" t="s">
        <v>2632</v>
      </c>
      <c r="I1984" s="22"/>
      <c r="J1984" s="22" t="s">
        <v>132</v>
      </c>
      <c r="K1984" s="24"/>
      <c r="L1984" s="24" t="s">
        <v>7945</v>
      </c>
      <c r="M1984" s="25" t="s">
        <v>2630</v>
      </c>
      <c r="N1984" s="22"/>
      <c r="O1984" s="22" t="s">
        <v>2631</v>
      </c>
      <c r="P1984" s="22" t="str">
        <f>HYPERLINK("https://ceds.ed.gov/cedselementdetails.aspx?termid=21055")</f>
        <v>https://ceds.ed.gov/cedselementdetails.aspx?termid=21055</v>
      </c>
      <c r="Q1984" s="22">
        <v>59925</v>
      </c>
    </row>
    <row r="1985" spans="1:17" ht="144" x14ac:dyDescent="0.3">
      <c r="A1985" s="22" t="s">
        <v>7779</v>
      </c>
      <c r="B1985" s="22" t="s">
        <v>7829</v>
      </c>
      <c r="C1985" s="22"/>
      <c r="D1985" s="22" t="s">
        <v>7710</v>
      </c>
      <c r="E1985" s="22" t="s">
        <v>2579</v>
      </c>
      <c r="F1985" s="24" t="s">
        <v>2580</v>
      </c>
      <c r="G1985" s="26" t="s">
        <v>8420</v>
      </c>
      <c r="H1985" s="24" t="s">
        <v>1521</v>
      </c>
      <c r="I1985" s="22" t="s">
        <v>172</v>
      </c>
      <c r="J1985" s="22"/>
      <c r="K1985" s="24" t="s">
        <v>7946</v>
      </c>
      <c r="L1985" s="24"/>
      <c r="M1985" s="25" t="s">
        <v>2582</v>
      </c>
      <c r="N1985" s="22"/>
      <c r="O1985" s="22" t="s">
        <v>2583</v>
      </c>
      <c r="P1985" s="22" t="str">
        <f>HYPERLINK("https://ceds.ed.gov/cedselementdetails.aspx?termid=21056")</f>
        <v>https://ceds.ed.gov/cedselementdetails.aspx?termid=21056</v>
      </c>
      <c r="Q1985" s="22">
        <v>59926</v>
      </c>
    </row>
    <row r="1986" spans="1:17" ht="201.6" x14ac:dyDescent="0.3">
      <c r="A1986" s="22" t="s">
        <v>7779</v>
      </c>
      <c r="B1986" s="22" t="s">
        <v>7829</v>
      </c>
      <c r="C1986" s="22"/>
      <c r="D1986" s="22" t="s">
        <v>7710</v>
      </c>
      <c r="E1986" s="22" t="s">
        <v>2746</v>
      </c>
      <c r="F1986" s="24" t="s">
        <v>2747</v>
      </c>
      <c r="G1986" s="23" t="s">
        <v>32</v>
      </c>
      <c r="H1986" s="24" t="s">
        <v>1521</v>
      </c>
      <c r="I1986" s="22"/>
      <c r="J1986" s="22" t="s">
        <v>157</v>
      </c>
      <c r="K1986" s="24"/>
      <c r="L1986" s="24"/>
      <c r="M1986" s="25" t="s">
        <v>2748</v>
      </c>
      <c r="N1986" s="22"/>
      <c r="O1986" s="22" t="s">
        <v>2749</v>
      </c>
      <c r="P1986" s="22" t="str">
        <f>HYPERLINK("https://ceds.ed.gov/cedselementdetails.aspx?termid=21067")</f>
        <v>https://ceds.ed.gov/cedselementdetails.aspx?termid=21067</v>
      </c>
      <c r="Q1986" s="22">
        <v>59929</v>
      </c>
    </row>
    <row r="1987" spans="1:17" ht="43.2" x14ac:dyDescent="0.3">
      <c r="A1987" s="22" t="s">
        <v>7779</v>
      </c>
      <c r="B1987" s="22" t="s">
        <v>7829</v>
      </c>
      <c r="C1987" s="22"/>
      <c r="D1987" s="22" t="s">
        <v>7710</v>
      </c>
      <c r="E1987" s="22" t="s">
        <v>2600</v>
      </c>
      <c r="F1987" s="24" t="s">
        <v>2601</v>
      </c>
      <c r="G1987" s="23" t="s">
        <v>32</v>
      </c>
      <c r="H1987" s="22"/>
      <c r="I1987" s="22"/>
      <c r="J1987" s="22" t="s">
        <v>157</v>
      </c>
      <c r="K1987" s="24"/>
      <c r="L1987" s="24"/>
      <c r="M1987" s="25" t="s">
        <v>2602</v>
      </c>
      <c r="N1987" s="22"/>
      <c r="O1987" s="22" t="s">
        <v>2603</v>
      </c>
      <c r="P1987" s="22" t="str">
        <f>HYPERLINK("https://ceds.ed.gov/cedselementdetails.aspx?termid=21508")</f>
        <v>https://ceds.ed.gov/cedselementdetails.aspx?termid=21508</v>
      </c>
      <c r="Q1987" s="22">
        <v>59937</v>
      </c>
    </row>
    <row r="1988" spans="1:17" ht="28.8" x14ac:dyDescent="0.3">
      <c r="A1988" s="22" t="s">
        <v>7779</v>
      </c>
      <c r="B1988" s="22" t="s">
        <v>7829</v>
      </c>
      <c r="C1988" s="22"/>
      <c r="D1988" s="22" t="s">
        <v>7710</v>
      </c>
      <c r="E1988" s="22" t="s">
        <v>2595</v>
      </c>
      <c r="F1988" s="24" t="s">
        <v>2596</v>
      </c>
      <c r="G1988" s="23" t="s">
        <v>32</v>
      </c>
      <c r="H1988" s="22"/>
      <c r="I1988" s="22"/>
      <c r="J1988" s="22" t="s">
        <v>157</v>
      </c>
      <c r="K1988" s="24"/>
      <c r="L1988" s="24"/>
      <c r="M1988" s="25" t="s">
        <v>2598</v>
      </c>
      <c r="N1988" s="22"/>
      <c r="O1988" s="22" t="s">
        <v>2599</v>
      </c>
      <c r="P1988" s="22" t="str">
        <f>HYPERLINK("https://ceds.ed.gov/cedselementdetails.aspx?termid=22525")</f>
        <v>https://ceds.ed.gov/cedselementdetails.aspx?termid=22525</v>
      </c>
      <c r="Q1988" s="22">
        <v>61834</v>
      </c>
    </row>
    <row r="1989" spans="1:17" ht="144" x14ac:dyDescent="0.3">
      <c r="A1989" s="22" t="s">
        <v>7779</v>
      </c>
      <c r="B1989" s="22" t="s">
        <v>7829</v>
      </c>
      <c r="C1989" s="22"/>
      <c r="D1989" s="22" t="s">
        <v>7710</v>
      </c>
      <c r="E1989" s="22" t="s">
        <v>2592</v>
      </c>
      <c r="F1989" s="24" t="s">
        <v>8058</v>
      </c>
      <c r="G1989" s="26" t="s">
        <v>8750</v>
      </c>
      <c r="H1989" s="22" t="s">
        <v>58</v>
      </c>
      <c r="I1989" s="22"/>
      <c r="J1989" s="22"/>
      <c r="K1989" s="24"/>
      <c r="L1989" s="24"/>
      <c r="M1989" s="25" t="s">
        <v>2593</v>
      </c>
      <c r="N1989" s="22"/>
      <c r="O1989" s="22" t="s">
        <v>2594</v>
      </c>
      <c r="P1989" s="22" t="str">
        <f>HYPERLINK("https://ceds.ed.gov/cedselementdetails.aspx?termid=21057")</f>
        <v>https://ceds.ed.gov/cedselementdetails.aspx?termid=21057</v>
      </c>
      <c r="Q1989" s="22">
        <v>59718</v>
      </c>
    </row>
    <row r="1990" spans="1:17" ht="100.8" x14ac:dyDescent="0.3">
      <c r="A1990" s="22" t="s">
        <v>7779</v>
      </c>
      <c r="B1990" s="22" t="s">
        <v>7829</v>
      </c>
      <c r="C1990" s="22"/>
      <c r="D1990" s="22" t="s">
        <v>7710</v>
      </c>
      <c r="E1990" s="22" t="s">
        <v>2975</v>
      </c>
      <c r="F1990" s="24" t="s">
        <v>2976</v>
      </c>
      <c r="G1990" s="23" t="s">
        <v>32</v>
      </c>
      <c r="H1990" s="22" t="s">
        <v>58</v>
      </c>
      <c r="I1990" s="22"/>
      <c r="J1990" s="22" t="s">
        <v>1518</v>
      </c>
      <c r="K1990" s="24"/>
      <c r="L1990" s="24" t="s">
        <v>8072</v>
      </c>
      <c r="M1990" s="25" t="s">
        <v>2978</v>
      </c>
      <c r="N1990" s="22"/>
      <c r="O1990" s="22" t="s">
        <v>2979</v>
      </c>
      <c r="P1990" s="22" t="str">
        <f>HYPERLINK("https://ceds.ed.gov/cedselementdetails.aspx?termid=21058")</f>
        <v>https://ceds.ed.gov/cedselementdetails.aspx?termid=21058</v>
      </c>
      <c r="Q1990" s="22">
        <v>59719</v>
      </c>
    </row>
    <row r="1991" spans="1:17" ht="158.4" x14ac:dyDescent="0.3">
      <c r="A1991" s="22" t="s">
        <v>7779</v>
      </c>
      <c r="B1991" s="22" t="s">
        <v>7829</v>
      </c>
      <c r="C1991" s="22"/>
      <c r="D1991" s="22" t="s">
        <v>7710</v>
      </c>
      <c r="E1991" s="22" t="s">
        <v>160</v>
      </c>
      <c r="F1991" s="24" t="s">
        <v>161</v>
      </c>
      <c r="G1991" s="26" t="s">
        <v>8573</v>
      </c>
      <c r="H1991" s="22"/>
      <c r="I1991" s="22"/>
      <c r="J1991" s="22"/>
      <c r="K1991" s="24"/>
      <c r="L1991" s="24"/>
      <c r="M1991" s="25" t="s">
        <v>163</v>
      </c>
      <c r="N1991" s="22"/>
      <c r="O1991" s="22" t="s">
        <v>164</v>
      </c>
      <c r="P1991" s="22" t="str">
        <f>HYPERLINK("https://ceds.ed.gov/cedselementdetails.aspx?termid=21589")</f>
        <v>https://ceds.ed.gov/cedselementdetails.aspx?termid=21589</v>
      </c>
      <c r="Q1991" s="22">
        <v>59939</v>
      </c>
    </row>
    <row r="1992" spans="1:17" ht="129.6" x14ac:dyDescent="0.3">
      <c r="A1992" s="22" t="s">
        <v>7779</v>
      </c>
      <c r="B1992" s="22" t="s">
        <v>7829</v>
      </c>
      <c r="C1992" s="22"/>
      <c r="D1992" s="22" t="s">
        <v>7710</v>
      </c>
      <c r="E1992" s="22" t="s">
        <v>1515</v>
      </c>
      <c r="F1992" s="24" t="s">
        <v>1516</v>
      </c>
      <c r="G1992" s="23" t="s">
        <v>32</v>
      </c>
      <c r="H1992" s="24" t="s">
        <v>1521</v>
      </c>
      <c r="I1992" s="22"/>
      <c r="J1992" s="22" t="s">
        <v>1518</v>
      </c>
      <c r="K1992" s="24"/>
      <c r="L1992" s="24"/>
      <c r="M1992" s="25" t="s">
        <v>1519</v>
      </c>
      <c r="N1992" s="22"/>
      <c r="O1992" s="22" t="s">
        <v>1520</v>
      </c>
      <c r="P1992" s="22" t="str">
        <f>HYPERLINK("https://ceds.ed.gov/cedselementdetails.aspx?termid=21030")</f>
        <v>https://ceds.ed.gov/cedselementdetails.aspx?termid=21030</v>
      </c>
      <c r="Q1992" s="22">
        <v>59924</v>
      </c>
    </row>
    <row r="1993" spans="1:17" ht="100.8" x14ac:dyDescent="0.3">
      <c r="A1993" s="22" t="s">
        <v>7779</v>
      </c>
      <c r="B1993" s="22" t="s">
        <v>7829</v>
      </c>
      <c r="C1993" s="22"/>
      <c r="D1993" s="22" t="s">
        <v>7710</v>
      </c>
      <c r="E1993" s="22" t="s">
        <v>2618</v>
      </c>
      <c r="F1993" s="24" t="s">
        <v>2619</v>
      </c>
      <c r="G1993" s="26" t="s">
        <v>8752</v>
      </c>
      <c r="H1993" s="24" t="s">
        <v>1521</v>
      </c>
      <c r="I1993" s="22"/>
      <c r="J1993" s="22"/>
      <c r="K1993" s="24"/>
      <c r="L1993" s="24"/>
      <c r="M1993" s="25" t="s">
        <v>2621</v>
      </c>
      <c r="N1993" s="22" t="s">
        <v>2622</v>
      </c>
      <c r="O1993" s="22" t="s">
        <v>2623</v>
      </c>
      <c r="P1993" s="22" t="str">
        <f>HYPERLINK("https://ceds.ed.gov/cedselementdetails.aspx?termid=21060")</f>
        <v>https://ceds.ed.gov/cedselementdetails.aspx?termid=21060</v>
      </c>
      <c r="Q1993" s="22">
        <v>59927</v>
      </c>
    </row>
    <row r="1994" spans="1:17" ht="302.39999999999998" x14ac:dyDescent="0.3">
      <c r="A1994" s="22" t="s">
        <v>7779</v>
      </c>
      <c r="B1994" s="22" t="s">
        <v>7829</v>
      </c>
      <c r="C1994" s="22"/>
      <c r="D1994" s="22" t="s">
        <v>7710</v>
      </c>
      <c r="E1994" s="22" t="s">
        <v>2650</v>
      </c>
      <c r="F1994" s="24" t="s">
        <v>2651</v>
      </c>
      <c r="G1994" s="26" t="s">
        <v>8757</v>
      </c>
      <c r="H1994" s="24" t="s">
        <v>2632</v>
      </c>
      <c r="I1994" s="22"/>
      <c r="J1994" s="22"/>
      <c r="K1994" s="24"/>
      <c r="L1994" s="24"/>
      <c r="M1994" s="25" t="s">
        <v>2652</v>
      </c>
      <c r="N1994" s="22"/>
      <c r="O1994" s="22" t="s">
        <v>2653</v>
      </c>
      <c r="P1994" s="22" t="str">
        <f>HYPERLINK("https://ceds.ed.gov/cedselementdetails.aspx?termid=21061")</f>
        <v>https://ceds.ed.gov/cedselementdetails.aspx?termid=21061</v>
      </c>
      <c r="Q1994" s="22">
        <v>59928</v>
      </c>
    </row>
    <row r="1995" spans="1:17" ht="409.6" x14ac:dyDescent="0.3">
      <c r="A1995" s="22" t="s">
        <v>7779</v>
      </c>
      <c r="B1995" s="22" t="s">
        <v>7829</v>
      </c>
      <c r="C1995" s="22"/>
      <c r="D1995" s="22" t="s">
        <v>7710</v>
      </c>
      <c r="E1995" s="22" t="s">
        <v>2566</v>
      </c>
      <c r="F1995" s="24" t="s">
        <v>2567</v>
      </c>
      <c r="G1995" s="26" t="s">
        <v>8747</v>
      </c>
      <c r="H1995" s="22"/>
      <c r="I1995" s="22"/>
      <c r="J1995" s="22"/>
      <c r="K1995" s="24"/>
      <c r="L1995" s="24" t="s">
        <v>8057</v>
      </c>
      <c r="M1995" s="25" t="s">
        <v>2569</v>
      </c>
      <c r="N1995" s="22"/>
      <c r="O1995" s="22" t="s">
        <v>2570</v>
      </c>
      <c r="P1995" s="22" t="str">
        <f>HYPERLINK("https://ceds.ed.gov/cedselementdetails.aspx?termid=22267")</f>
        <v>https://ceds.ed.gov/cedselementdetails.aspx?termid=22267</v>
      </c>
      <c r="Q1995" s="22">
        <v>61096</v>
      </c>
    </row>
    <row r="1996" spans="1:17" ht="100.8" x14ac:dyDescent="0.3">
      <c r="A1996" s="22" t="s">
        <v>7779</v>
      </c>
      <c r="B1996" s="22" t="s">
        <v>7829</v>
      </c>
      <c r="C1996" s="22"/>
      <c r="D1996" s="22" t="s">
        <v>7710</v>
      </c>
      <c r="E1996" s="22" t="s">
        <v>4297</v>
      </c>
      <c r="F1996" s="24" t="s">
        <v>4298</v>
      </c>
      <c r="G1996" s="26" t="s">
        <v>22</v>
      </c>
      <c r="H1996" s="24" t="s">
        <v>1521</v>
      </c>
      <c r="I1996" s="22"/>
      <c r="J1996" s="22"/>
      <c r="K1996" s="24"/>
      <c r="L1996" s="24"/>
      <c r="M1996" s="25" t="s">
        <v>4300</v>
      </c>
      <c r="N1996" s="22"/>
      <c r="O1996" s="22" t="s">
        <v>4301</v>
      </c>
      <c r="P1996" s="22" t="str">
        <f>HYPERLINK("https://ceds.ed.gov/cedselementdetails.aspx?termid=21137")</f>
        <v>https://ceds.ed.gov/cedselementdetails.aspx?termid=21137</v>
      </c>
      <c r="Q1996" s="22">
        <v>59931</v>
      </c>
    </row>
    <row r="1997" spans="1:17" ht="28.8" x14ac:dyDescent="0.3">
      <c r="A1997" s="22" t="s">
        <v>7779</v>
      </c>
      <c r="B1997" s="22" t="s">
        <v>7829</v>
      </c>
      <c r="C1997" s="22"/>
      <c r="D1997" s="22" t="s">
        <v>7710</v>
      </c>
      <c r="E1997" s="22" t="s">
        <v>2678</v>
      </c>
      <c r="F1997" s="24" t="s">
        <v>2679</v>
      </c>
      <c r="G1997" s="23" t="s">
        <v>32</v>
      </c>
      <c r="H1997" s="22"/>
      <c r="I1997" s="22"/>
      <c r="J1997" s="22" t="s">
        <v>1699</v>
      </c>
      <c r="K1997" s="24"/>
      <c r="L1997" s="24"/>
      <c r="M1997" s="25" t="s">
        <v>2680</v>
      </c>
      <c r="N1997" s="22"/>
      <c r="O1997" s="22" t="s">
        <v>2681</v>
      </c>
      <c r="P1997" s="22" t="str">
        <f>HYPERLINK("https://ceds.ed.gov/cedselementdetails.aspx?termid=22648")</f>
        <v>https://ceds.ed.gov/cedselementdetails.aspx?termid=22648</v>
      </c>
      <c r="Q1997" s="22">
        <v>62882</v>
      </c>
    </row>
    <row r="1998" spans="1:17" ht="72" x14ac:dyDescent="0.3">
      <c r="A1998" s="22" t="s">
        <v>7779</v>
      </c>
      <c r="B1998" s="22" t="s">
        <v>7829</v>
      </c>
      <c r="C1998" s="22"/>
      <c r="D1998" s="22" t="s">
        <v>7710</v>
      </c>
      <c r="E1998" s="22" t="s">
        <v>4944</v>
      </c>
      <c r="F1998" s="24" t="s">
        <v>4945</v>
      </c>
      <c r="G1998" s="26" t="s">
        <v>8989</v>
      </c>
      <c r="H1998" s="22"/>
      <c r="I1998" s="22"/>
      <c r="J1998" s="22"/>
      <c r="K1998" s="24"/>
      <c r="L1998" s="24"/>
      <c r="M1998" s="25" t="s">
        <v>4947</v>
      </c>
      <c r="N1998" s="22"/>
      <c r="O1998" s="22" t="s">
        <v>4948</v>
      </c>
      <c r="P1998" s="22" t="str">
        <f>HYPERLINK("https://ceds.ed.gov/cedselementdetails.aspx?termid=22355")</f>
        <v>https://ceds.ed.gov/cedselementdetails.aspx?termid=22355</v>
      </c>
      <c r="Q1998" s="22">
        <v>61234</v>
      </c>
    </row>
    <row r="1999" spans="1:17" ht="43.2" x14ac:dyDescent="0.3">
      <c r="A1999" s="22" t="s">
        <v>7779</v>
      </c>
      <c r="B1999" s="22" t="s">
        <v>7829</v>
      </c>
      <c r="C1999" s="22"/>
      <c r="D1999" s="22" t="s">
        <v>7710</v>
      </c>
      <c r="E1999" s="22" t="s">
        <v>2502</v>
      </c>
      <c r="F1999" s="24" t="s">
        <v>2503</v>
      </c>
      <c r="G1999" s="26" t="s">
        <v>22</v>
      </c>
      <c r="H1999" s="22"/>
      <c r="I1999" s="22"/>
      <c r="J1999" s="22"/>
      <c r="K1999" s="24"/>
      <c r="L1999" s="24"/>
      <c r="M1999" s="25" t="s">
        <v>2505</v>
      </c>
      <c r="N1999" s="22"/>
      <c r="O1999" s="22" t="s">
        <v>2506</v>
      </c>
      <c r="P1999" s="22" t="str">
        <f>HYPERLINK("https://ceds.ed.gov/cedselementdetails.aspx?termid=21509")</f>
        <v>https://ceds.ed.gov/cedselementdetails.aspx?termid=21509</v>
      </c>
      <c r="Q1999" s="22">
        <v>59938</v>
      </c>
    </row>
    <row r="2000" spans="1:17" ht="100.8" x14ac:dyDescent="0.3">
      <c r="A2000" s="22" t="s">
        <v>7779</v>
      </c>
      <c r="B2000" s="22" t="s">
        <v>7829</v>
      </c>
      <c r="C2000" s="22"/>
      <c r="D2000" s="22" t="s">
        <v>7710</v>
      </c>
      <c r="E2000" s="22" t="s">
        <v>3033</v>
      </c>
      <c r="F2000" s="24" t="s">
        <v>3034</v>
      </c>
      <c r="G2000" s="26" t="s">
        <v>8781</v>
      </c>
      <c r="H2000" s="22"/>
      <c r="I2000" s="22"/>
      <c r="J2000" s="22"/>
      <c r="K2000" s="24"/>
      <c r="L2000" s="24"/>
      <c r="M2000" s="25" t="s">
        <v>3035</v>
      </c>
      <c r="N2000" s="22"/>
      <c r="O2000" s="22" t="s">
        <v>3036</v>
      </c>
      <c r="P2000" s="22" t="str">
        <f>HYPERLINK("https://ceds.ed.gov/cedselementdetails.aspx?termid=21688")</f>
        <v>https://ceds.ed.gov/cedselementdetails.aspx?termid=21688</v>
      </c>
      <c r="Q2000" s="22">
        <v>59940</v>
      </c>
    </row>
    <row r="2001" spans="1:17" ht="43.2" x14ac:dyDescent="0.3">
      <c r="A2001" s="22" t="s">
        <v>7779</v>
      </c>
      <c r="B2001" s="22" t="s">
        <v>7829</v>
      </c>
      <c r="C2001" s="22"/>
      <c r="D2001" s="22" t="s">
        <v>7710</v>
      </c>
      <c r="E2001" s="22" t="s">
        <v>2562</v>
      </c>
      <c r="F2001" s="24" t="s">
        <v>2563</v>
      </c>
      <c r="G2001" s="26" t="s">
        <v>22</v>
      </c>
      <c r="H2001" s="22"/>
      <c r="I2001" s="22"/>
      <c r="J2001" s="22"/>
      <c r="K2001" s="24"/>
      <c r="L2001" s="24"/>
      <c r="M2001" s="25" t="s">
        <v>2564</v>
      </c>
      <c r="N2001" s="22"/>
      <c r="O2001" s="22" t="s">
        <v>2565</v>
      </c>
      <c r="P2001" s="22" t="str">
        <f>HYPERLINK("https://ceds.ed.gov/cedselementdetails.aspx?termid=21013")</f>
        <v>https://ceds.ed.gov/cedselementdetails.aspx?termid=21013</v>
      </c>
      <c r="Q2001" s="22">
        <v>59923</v>
      </c>
    </row>
    <row r="2002" spans="1:17" ht="409.6" x14ac:dyDescent="0.3">
      <c r="A2002" s="22" t="s">
        <v>7779</v>
      </c>
      <c r="B2002" s="22" t="s">
        <v>7829</v>
      </c>
      <c r="C2002" s="22"/>
      <c r="D2002" s="22" t="s">
        <v>7710</v>
      </c>
      <c r="E2002" s="22" t="s">
        <v>305</v>
      </c>
      <c r="F2002" s="24" t="s">
        <v>7956</v>
      </c>
      <c r="G2002" s="26" t="s">
        <v>8595</v>
      </c>
      <c r="H2002" s="22"/>
      <c r="I2002" s="22"/>
      <c r="J2002" s="22" t="s">
        <v>157</v>
      </c>
      <c r="K2002" s="24"/>
      <c r="L2002" s="24"/>
      <c r="M2002" s="25" t="s">
        <v>307</v>
      </c>
      <c r="N2002" s="22" t="s">
        <v>308</v>
      </c>
      <c r="O2002" s="22" t="s">
        <v>309</v>
      </c>
      <c r="P2002" s="22" t="str">
        <f>HYPERLINK("https://ceds.ed.gov/cedselementdetails.aspx?termid=22244")</f>
        <v>https://ceds.ed.gov/cedselementdetails.aspx?termid=22244</v>
      </c>
      <c r="Q2002" s="22">
        <v>61566</v>
      </c>
    </row>
    <row r="2003" spans="1:17" ht="144" x14ac:dyDescent="0.3">
      <c r="A2003" s="22" t="s">
        <v>7779</v>
      </c>
      <c r="B2003" s="22" t="s">
        <v>7829</v>
      </c>
      <c r="C2003" s="22"/>
      <c r="D2003" s="22" t="s">
        <v>7710</v>
      </c>
      <c r="E2003" s="22" t="s">
        <v>1559</v>
      </c>
      <c r="F2003" s="24" t="s">
        <v>1560</v>
      </c>
      <c r="G2003" s="26" t="s">
        <v>8407</v>
      </c>
      <c r="H2003" s="22"/>
      <c r="I2003" s="22" t="s">
        <v>172</v>
      </c>
      <c r="J2003" s="22"/>
      <c r="K2003" s="24" t="s">
        <v>7946</v>
      </c>
      <c r="L2003" s="24" t="s">
        <v>1561</v>
      </c>
      <c r="M2003" s="25" t="s">
        <v>1562</v>
      </c>
      <c r="N2003" s="22"/>
      <c r="O2003" s="22" t="s">
        <v>1563</v>
      </c>
      <c r="P2003" s="22" t="str">
        <f>HYPERLINK("https://ceds.ed.gov/cedselementdetails.aspx?termid=22253")</f>
        <v>https://ceds.ed.gov/cedselementdetails.aspx?termid=22253</v>
      </c>
      <c r="Q2003" s="22">
        <v>61072</v>
      </c>
    </row>
    <row r="2004" spans="1:17" ht="244.8" x14ac:dyDescent="0.3">
      <c r="A2004" s="22" t="s">
        <v>7779</v>
      </c>
      <c r="B2004" s="22" t="s">
        <v>7829</v>
      </c>
      <c r="C2004" s="22"/>
      <c r="D2004" s="22" t="s">
        <v>7710</v>
      </c>
      <c r="E2004" s="22" t="s">
        <v>1925</v>
      </c>
      <c r="F2004" s="24" t="s">
        <v>1926</v>
      </c>
      <c r="G2004" s="26" t="s">
        <v>8710</v>
      </c>
      <c r="H2004" s="22"/>
      <c r="I2004" s="22"/>
      <c r="J2004" s="22"/>
      <c r="K2004" s="24"/>
      <c r="L2004" s="24" t="s">
        <v>8034</v>
      </c>
      <c r="M2004" s="25" t="s">
        <v>1927</v>
      </c>
      <c r="N2004" s="22"/>
      <c r="O2004" s="22" t="s">
        <v>1928</v>
      </c>
      <c r="P2004" s="22" t="str">
        <f>HYPERLINK("https://ceds.ed.gov/cedselementdetails.aspx?termid=22254")</f>
        <v>https://ceds.ed.gov/cedselementdetails.aspx?termid=22254</v>
      </c>
      <c r="Q2004" s="22">
        <v>61074</v>
      </c>
    </row>
    <row r="2005" spans="1:17" ht="187.2" x14ac:dyDescent="0.3">
      <c r="A2005" s="22" t="s">
        <v>7779</v>
      </c>
      <c r="B2005" s="22" t="s">
        <v>7829</v>
      </c>
      <c r="C2005" s="22"/>
      <c r="D2005" s="22" t="s">
        <v>7710</v>
      </c>
      <c r="E2005" s="22" t="s">
        <v>7394</v>
      </c>
      <c r="F2005" s="24" t="s">
        <v>7395</v>
      </c>
      <c r="G2005" s="26" t="s">
        <v>9190</v>
      </c>
      <c r="H2005" s="22"/>
      <c r="I2005" s="22"/>
      <c r="J2005" s="22"/>
      <c r="K2005" s="24"/>
      <c r="L2005" s="24"/>
      <c r="M2005" s="25" t="s">
        <v>7397</v>
      </c>
      <c r="N2005" s="22"/>
      <c r="O2005" s="22" t="s">
        <v>7398</v>
      </c>
      <c r="P2005" s="22" t="str">
        <f>HYPERLINK("https://ceds.ed.gov/cedselementdetails.aspx?termid=22471")</f>
        <v>https://ceds.ed.gov/cedselementdetails.aspx?termid=22471</v>
      </c>
      <c r="Q2005" s="22">
        <v>61456</v>
      </c>
    </row>
    <row r="2006" spans="1:17" ht="43.2" x14ac:dyDescent="0.3">
      <c r="A2006" s="22" t="s">
        <v>7779</v>
      </c>
      <c r="B2006" s="22" t="s">
        <v>7829</v>
      </c>
      <c r="C2006" s="22"/>
      <c r="D2006" s="22" t="s">
        <v>7710</v>
      </c>
      <c r="E2006" s="22" t="s">
        <v>2575</v>
      </c>
      <c r="F2006" s="24" t="s">
        <v>2576</v>
      </c>
      <c r="G2006" s="23" t="s">
        <v>32</v>
      </c>
      <c r="H2006" s="22"/>
      <c r="I2006" s="22"/>
      <c r="J2006" s="22" t="s">
        <v>113</v>
      </c>
      <c r="K2006" s="24"/>
      <c r="L2006" s="24"/>
      <c r="M2006" s="25" t="s">
        <v>2577</v>
      </c>
      <c r="N2006" s="22"/>
      <c r="O2006" s="22" t="s">
        <v>2578</v>
      </c>
      <c r="P2006" s="22" t="str">
        <f>HYPERLINK("https://ceds.ed.gov/cedselementdetails.aspx?termid=22268")</f>
        <v>https://ceds.ed.gov/cedselementdetails.aspx?termid=22268</v>
      </c>
      <c r="Q2006" s="22">
        <v>61098</v>
      </c>
    </row>
    <row r="2007" spans="1:17" ht="57.6" x14ac:dyDescent="0.3">
      <c r="A2007" s="22" t="s">
        <v>7779</v>
      </c>
      <c r="B2007" s="22" t="s">
        <v>7829</v>
      </c>
      <c r="C2007" s="22"/>
      <c r="D2007" s="22" t="s">
        <v>7710</v>
      </c>
      <c r="E2007" s="22" t="s">
        <v>20</v>
      </c>
      <c r="F2007" s="24" t="s">
        <v>21</v>
      </c>
      <c r="G2007" s="26" t="s">
        <v>22</v>
      </c>
      <c r="H2007" s="22" t="s">
        <v>25</v>
      </c>
      <c r="I2007" s="22"/>
      <c r="J2007" s="22"/>
      <c r="K2007" s="24"/>
      <c r="L2007" s="24"/>
      <c r="M2007" s="25" t="s">
        <v>23</v>
      </c>
      <c r="N2007" s="22"/>
      <c r="O2007" s="22" t="s">
        <v>24</v>
      </c>
      <c r="P2007" s="22" t="str">
        <f>HYPERLINK("https://ceds.ed.gov/cedselementdetails.aspx?termid=21000")</f>
        <v>https://ceds.ed.gov/cedselementdetails.aspx?termid=21000</v>
      </c>
      <c r="Q2007" s="22">
        <v>61666</v>
      </c>
    </row>
    <row r="2008" spans="1:17" ht="115.2" x14ac:dyDescent="0.3">
      <c r="A2008" s="22" t="s">
        <v>7779</v>
      </c>
      <c r="B2008" s="22" t="s">
        <v>7829</v>
      </c>
      <c r="C2008" s="22"/>
      <c r="D2008" s="22" t="s">
        <v>7710</v>
      </c>
      <c r="E2008" s="22" t="s">
        <v>4788</v>
      </c>
      <c r="F2008" s="24" t="s">
        <v>4789</v>
      </c>
      <c r="G2008" s="23" t="s">
        <v>7423</v>
      </c>
      <c r="H2008" s="22" t="s">
        <v>214</v>
      </c>
      <c r="I2008" s="22"/>
      <c r="J2008" s="22"/>
      <c r="K2008" s="24"/>
      <c r="L2008" s="24" t="s">
        <v>7994</v>
      </c>
      <c r="M2008" s="25" t="s">
        <v>4790</v>
      </c>
      <c r="N2008" s="22"/>
      <c r="O2008" s="22" t="s">
        <v>4791</v>
      </c>
      <c r="P2008" s="22" t="str">
        <f>HYPERLINK("https://ceds.ed.gov/cedselementdetails.aspx?termid=21438")</f>
        <v>https://ceds.ed.gov/cedselementdetails.aspx?termid=21438</v>
      </c>
      <c r="Q2008" s="22">
        <v>59936</v>
      </c>
    </row>
    <row r="2009" spans="1:17" ht="43.2" x14ac:dyDescent="0.3">
      <c r="A2009" s="22" t="s">
        <v>7779</v>
      </c>
      <c r="B2009" s="22" t="s">
        <v>7829</v>
      </c>
      <c r="C2009" s="22"/>
      <c r="D2009" s="22" t="s">
        <v>7710</v>
      </c>
      <c r="E2009" s="22" t="s">
        <v>2645</v>
      </c>
      <c r="F2009" s="24" t="s">
        <v>2646</v>
      </c>
      <c r="G2009" s="26" t="s">
        <v>8756</v>
      </c>
      <c r="H2009" s="22"/>
      <c r="I2009" s="22"/>
      <c r="J2009" s="22"/>
      <c r="K2009" s="24"/>
      <c r="L2009" s="24" t="s">
        <v>2647</v>
      </c>
      <c r="M2009" s="25" t="s">
        <v>2648</v>
      </c>
      <c r="N2009" s="22"/>
      <c r="O2009" s="22" t="s">
        <v>2649</v>
      </c>
      <c r="P2009" s="22" t="str">
        <f>HYPERLINK("https://ceds.ed.gov/cedselementdetails.aspx?termid=22277")</f>
        <v>https://ceds.ed.gov/cedselementdetails.aspx?termid=22277</v>
      </c>
      <c r="Q2009" s="22">
        <v>61112</v>
      </c>
    </row>
    <row r="2010" spans="1:17" ht="43.2" x14ac:dyDescent="0.3">
      <c r="A2010" s="22" t="s">
        <v>7779</v>
      </c>
      <c r="B2010" s="22" t="s">
        <v>7829</v>
      </c>
      <c r="C2010" s="22"/>
      <c r="D2010" s="22" t="s">
        <v>7710</v>
      </c>
      <c r="E2010" s="22" t="s">
        <v>3903</v>
      </c>
      <c r="F2010" s="24" t="s">
        <v>3904</v>
      </c>
      <c r="G2010" s="26" t="s">
        <v>22</v>
      </c>
      <c r="H2010" s="22"/>
      <c r="I2010" s="22"/>
      <c r="J2010" s="22"/>
      <c r="K2010" s="24"/>
      <c r="L2010" s="24"/>
      <c r="M2010" s="25" t="s">
        <v>3905</v>
      </c>
      <c r="N2010" s="22"/>
      <c r="O2010" s="22" t="s">
        <v>3906</v>
      </c>
      <c r="P2010" s="22" t="str">
        <f>HYPERLINK("https://ceds.ed.gov/cedselementdetails.aspx?termid=22311")</f>
        <v>https://ceds.ed.gov/cedselementdetails.aspx?termid=22311</v>
      </c>
      <c r="Q2010" s="22">
        <v>61159</v>
      </c>
    </row>
    <row r="2011" spans="1:17" ht="43.2" x14ac:dyDescent="0.3">
      <c r="A2011" s="22" t="s">
        <v>7779</v>
      </c>
      <c r="B2011" s="22" t="s">
        <v>7829</v>
      </c>
      <c r="C2011" s="22"/>
      <c r="D2011" s="22" t="s">
        <v>7710</v>
      </c>
      <c r="E2011" s="22" t="s">
        <v>5534</v>
      </c>
      <c r="F2011" s="24" t="s">
        <v>5535</v>
      </c>
      <c r="G2011" s="26" t="s">
        <v>22</v>
      </c>
      <c r="H2011" s="22"/>
      <c r="I2011" s="22"/>
      <c r="J2011" s="22"/>
      <c r="K2011" s="24"/>
      <c r="L2011" s="24"/>
      <c r="M2011" s="25" t="s">
        <v>5536</v>
      </c>
      <c r="N2011" s="22" t="s">
        <v>5537</v>
      </c>
      <c r="O2011" s="22" t="s">
        <v>5538</v>
      </c>
      <c r="P2011" s="22" t="str">
        <f>HYPERLINK("https://ceds.ed.gov/cedselementdetails.aspx?termid=22382")</f>
        <v>https://ceds.ed.gov/cedselementdetails.aspx?termid=22382</v>
      </c>
      <c r="Q2011" s="22">
        <v>61293</v>
      </c>
    </row>
    <row r="2012" spans="1:17" ht="115.2" x14ac:dyDescent="0.3">
      <c r="A2012" s="22" t="s">
        <v>7779</v>
      </c>
      <c r="B2012" s="22" t="s">
        <v>7829</v>
      </c>
      <c r="C2012" s="22"/>
      <c r="D2012" s="22" t="s">
        <v>7710</v>
      </c>
      <c r="E2012" s="22" t="s">
        <v>6590</v>
      </c>
      <c r="F2012" s="24" t="s">
        <v>6591</v>
      </c>
      <c r="G2012" s="23" t="s">
        <v>7423</v>
      </c>
      <c r="H2012" s="22"/>
      <c r="I2012" s="22" t="s">
        <v>172</v>
      </c>
      <c r="J2012" s="22"/>
      <c r="K2012" s="24" t="s">
        <v>8305</v>
      </c>
      <c r="L2012" s="24" t="s">
        <v>8306</v>
      </c>
      <c r="M2012" s="25" t="s">
        <v>6592</v>
      </c>
      <c r="N2012" s="22" t="s">
        <v>6593</v>
      </c>
      <c r="O2012" s="22" t="s">
        <v>6594</v>
      </c>
      <c r="P2012" s="22" t="str">
        <f>HYPERLINK("https://ceds.ed.gov/cedselementdetails.aspx?termid=22490")</f>
        <v>https://ceds.ed.gov/cedselementdetails.aspx?termid=22490</v>
      </c>
      <c r="Q2012" s="22">
        <v>61670</v>
      </c>
    </row>
    <row r="2013" spans="1:17" ht="100.8" x14ac:dyDescent="0.3">
      <c r="A2013" s="22" t="s">
        <v>7779</v>
      </c>
      <c r="B2013" s="22" t="s">
        <v>7829</v>
      </c>
      <c r="C2013" s="22"/>
      <c r="D2013" s="22" t="s">
        <v>7710</v>
      </c>
      <c r="E2013" s="22" t="s">
        <v>6595</v>
      </c>
      <c r="F2013" s="24" t="s">
        <v>8307</v>
      </c>
      <c r="G2013" s="26" t="s">
        <v>8517</v>
      </c>
      <c r="H2013" s="22"/>
      <c r="I2013" s="22" t="s">
        <v>172</v>
      </c>
      <c r="J2013" s="22"/>
      <c r="K2013" s="24" t="s">
        <v>7946</v>
      </c>
      <c r="L2013" s="24"/>
      <c r="M2013" s="25" t="s">
        <v>6596</v>
      </c>
      <c r="N2013" s="22" t="s">
        <v>6597</v>
      </c>
      <c r="O2013" s="22" t="s">
        <v>6598</v>
      </c>
      <c r="P2013" s="22" t="str">
        <f>HYPERLINK("https://ceds.ed.gov/cedselementdetails.aspx?termid=22488")</f>
        <v>https://ceds.ed.gov/cedselementdetails.aspx?termid=22488</v>
      </c>
      <c r="Q2013" s="22">
        <v>61668</v>
      </c>
    </row>
    <row r="2014" spans="1:17" ht="345.6" x14ac:dyDescent="0.3">
      <c r="A2014" s="22" t="s">
        <v>7779</v>
      </c>
      <c r="B2014" s="22" t="s">
        <v>7829</v>
      </c>
      <c r="C2014" s="22"/>
      <c r="D2014" s="22" t="s">
        <v>7710</v>
      </c>
      <c r="E2014" s="22" t="s">
        <v>6599</v>
      </c>
      <c r="F2014" s="24" t="s">
        <v>6600</v>
      </c>
      <c r="G2014" s="26" t="s">
        <v>8518</v>
      </c>
      <c r="H2014" s="22"/>
      <c r="I2014" s="22" t="s">
        <v>172</v>
      </c>
      <c r="J2014" s="22"/>
      <c r="K2014" s="24" t="s">
        <v>7946</v>
      </c>
      <c r="L2014" s="24" t="s">
        <v>8308</v>
      </c>
      <c r="M2014" s="25" t="s">
        <v>6601</v>
      </c>
      <c r="N2014" s="22" t="s">
        <v>6602</v>
      </c>
      <c r="O2014" s="22" t="s">
        <v>6603</v>
      </c>
      <c r="P2014" s="22" t="str">
        <f>HYPERLINK("https://ceds.ed.gov/cedselementdetails.aspx?termid=22491")</f>
        <v>https://ceds.ed.gov/cedselementdetails.aspx?termid=22491</v>
      </c>
      <c r="Q2014" s="22">
        <v>61671</v>
      </c>
    </row>
    <row r="2015" spans="1:17" ht="100.8" x14ac:dyDescent="0.3">
      <c r="A2015" s="22" t="s">
        <v>7779</v>
      </c>
      <c r="B2015" s="22" t="s">
        <v>7829</v>
      </c>
      <c r="C2015" s="22"/>
      <c r="D2015" s="22" t="s">
        <v>7710</v>
      </c>
      <c r="E2015" s="22" t="s">
        <v>6604</v>
      </c>
      <c r="F2015" s="24" t="s">
        <v>6605</v>
      </c>
      <c r="G2015" s="23" t="s">
        <v>32</v>
      </c>
      <c r="H2015" s="22"/>
      <c r="I2015" s="22"/>
      <c r="J2015" s="22" t="s">
        <v>6607</v>
      </c>
      <c r="K2015" s="24"/>
      <c r="L2015" s="24" t="s">
        <v>8309</v>
      </c>
      <c r="M2015" s="25" t="s">
        <v>6608</v>
      </c>
      <c r="N2015" s="22" t="s">
        <v>6609</v>
      </c>
      <c r="O2015" s="22" t="s">
        <v>6610</v>
      </c>
      <c r="P2015" s="22" t="str">
        <f>HYPERLINK("https://ceds.ed.gov/cedselementdetails.aspx?termid=22452")</f>
        <v>https://ceds.ed.gov/cedselementdetails.aspx?termid=22452</v>
      </c>
      <c r="Q2015" s="22">
        <v>61409</v>
      </c>
    </row>
    <row r="2016" spans="1:17" ht="100.8" x14ac:dyDescent="0.3">
      <c r="A2016" s="22" t="s">
        <v>7779</v>
      </c>
      <c r="B2016" s="22" t="s">
        <v>7829</v>
      </c>
      <c r="C2016" s="22"/>
      <c r="D2016" s="22" t="s">
        <v>7710</v>
      </c>
      <c r="E2016" s="22" t="s">
        <v>6611</v>
      </c>
      <c r="F2016" s="24" t="s">
        <v>6612</v>
      </c>
      <c r="G2016" s="23" t="s">
        <v>32</v>
      </c>
      <c r="H2016" s="24" t="s">
        <v>1521</v>
      </c>
      <c r="I2016" s="22" t="s">
        <v>172</v>
      </c>
      <c r="J2016" s="22" t="s">
        <v>2743</v>
      </c>
      <c r="K2016" s="24" t="s">
        <v>7946</v>
      </c>
      <c r="L2016" s="24" t="s">
        <v>6613</v>
      </c>
      <c r="M2016" s="25" t="s">
        <v>6614</v>
      </c>
      <c r="N2016" s="22" t="s">
        <v>6615</v>
      </c>
      <c r="O2016" s="22" t="s">
        <v>6616</v>
      </c>
      <c r="P2016" s="22" t="str">
        <f>HYPERLINK("https://ceds.ed.gov/cedselementdetails.aspx?termid=21250")</f>
        <v>https://ceds.ed.gov/cedselementdetails.aspx?termid=21250</v>
      </c>
      <c r="Q2016" s="22">
        <v>59935</v>
      </c>
    </row>
    <row r="2017" spans="1:17" ht="72" x14ac:dyDescent="0.3">
      <c r="A2017" s="22" t="s">
        <v>7779</v>
      </c>
      <c r="B2017" s="22" t="s">
        <v>7829</v>
      </c>
      <c r="C2017" s="22"/>
      <c r="D2017" s="22" t="s">
        <v>7710</v>
      </c>
      <c r="E2017" s="22" t="s">
        <v>2613</v>
      </c>
      <c r="F2017" s="24" t="s">
        <v>2614</v>
      </c>
      <c r="G2017" s="23" t="s">
        <v>32</v>
      </c>
      <c r="H2017" s="22"/>
      <c r="I2017" s="22"/>
      <c r="J2017" s="22" t="s">
        <v>85</v>
      </c>
      <c r="K2017" s="24"/>
      <c r="L2017" s="24" t="s">
        <v>2615</v>
      </c>
      <c r="M2017" s="25" t="s">
        <v>2616</v>
      </c>
      <c r="N2017" s="22"/>
      <c r="O2017" s="22" t="s">
        <v>2617</v>
      </c>
      <c r="P2017" s="22" t="str">
        <f>HYPERLINK("https://ceds.ed.gov/cedselementdetails.aspx?termid=22272")</f>
        <v>https://ceds.ed.gov/cedselementdetails.aspx?termid=22272</v>
      </c>
      <c r="Q2017" s="22">
        <v>61104</v>
      </c>
    </row>
    <row r="2018" spans="1:17" ht="57.6" x14ac:dyDescent="0.3">
      <c r="A2018" s="22" t="s">
        <v>7779</v>
      </c>
      <c r="B2018" s="22" t="s">
        <v>7829</v>
      </c>
      <c r="C2018" s="22"/>
      <c r="D2018" s="22" t="s">
        <v>7710</v>
      </c>
      <c r="E2018" s="22" t="s">
        <v>7304</v>
      </c>
      <c r="F2018" s="24" t="s">
        <v>7305</v>
      </c>
      <c r="G2018" s="26" t="s">
        <v>22</v>
      </c>
      <c r="H2018" s="22"/>
      <c r="I2018" s="22"/>
      <c r="J2018" s="22"/>
      <c r="K2018" s="24"/>
      <c r="L2018" s="24" t="s">
        <v>7306</v>
      </c>
      <c r="M2018" s="25" t="s">
        <v>7307</v>
      </c>
      <c r="N2018" s="22"/>
      <c r="O2018" s="22" t="s">
        <v>7308</v>
      </c>
      <c r="P2018" s="22" t="str">
        <f>HYPERLINK("https://ceds.ed.gov/cedselementdetails.aspx?termid=22554")</f>
        <v>https://ceds.ed.gov/cedselementdetails.aspx?termid=22554</v>
      </c>
      <c r="Q2018" s="22">
        <v>61932</v>
      </c>
    </row>
    <row r="2019" spans="1:17" ht="57.6" x14ac:dyDescent="0.3">
      <c r="A2019" s="22" t="s">
        <v>7779</v>
      </c>
      <c r="B2019" s="22" t="s">
        <v>7829</v>
      </c>
      <c r="C2019" s="22"/>
      <c r="D2019" s="22" t="s">
        <v>7710</v>
      </c>
      <c r="E2019" s="22" t="s">
        <v>2742</v>
      </c>
      <c r="F2019" s="24" t="s">
        <v>8066</v>
      </c>
      <c r="G2019" s="23" t="s">
        <v>32</v>
      </c>
      <c r="H2019" s="22" t="s">
        <v>58</v>
      </c>
      <c r="I2019" s="22"/>
      <c r="J2019" s="22" t="s">
        <v>2743</v>
      </c>
      <c r="K2019" s="24"/>
      <c r="L2019" s="24"/>
      <c r="M2019" s="25" t="s">
        <v>2744</v>
      </c>
      <c r="N2019" s="22"/>
      <c r="O2019" s="22" t="s">
        <v>2745</v>
      </c>
      <c r="P2019" s="22" t="str">
        <f>HYPERLINK("https://ceds.ed.gov/cedselementdetails.aspx?termid=21066")</f>
        <v>https://ceds.ed.gov/cedselementdetails.aspx?termid=21066</v>
      </c>
      <c r="Q2019" s="22">
        <v>63531</v>
      </c>
    </row>
    <row r="2020" spans="1:17" ht="43.2" x14ac:dyDescent="0.3">
      <c r="A2020" s="22" t="s">
        <v>7779</v>
      </c>
      <c r="B2020" s="22" t="s">
        <v>7829</v>
      </c>
      <c r="C2020" s="22"/>
      <c r="D2020" s="22" t="s">
        <v>7741</v>
      </c>
      <c r="E2020" s="22" t="s">
        <v>8059</v>
      </c>
      <c r="F2020" s="24" t="s">
        <v>8060</v>
      </c>
      <c r="G2020" s="26" t="s">
        <v>22</v>
      </c>
      <c r="H2020" s="22"/>
      <c r="I2020" s="22" t="s">
        <v>167</v>
      </c>
      <c r="J2020" s="22" t="s">
        <v>2</v>
      </c>
      <c r="K2020" s="24" t="s">
        <v>7949</v>
      </c>
      <c r="L2020" s="24" t="s">
        <v>8061</v>
      </c>
      <c r="M2020" s="25" t="s">
        <v>8354</v>
      </c>
      <c r="N2020" s="22"/>
      <c r="O2020" s="22" t="s">
        <v>8062</v>
      </c>
      <c r="P2020" s="22" t="str">
        <f>HYPERLINK("https://ceds.ed.gov/cedselementdetails.aspx?termid=22975")</f>
        <v>https://ceds.ed.gov/cedselementdetails.aspx?termid=22975</v>
      </c>
      <c r="Q2020" s="22">
        <v>63889</v>
      </c>
    </row>
    <row r="2021" spans="1:17" ht="100.8" x14ac:dyDescent="0.3">
      <c r="A2021" s="22" t="s">
        <v>7779</v>
      </c>
      <c r="B2021" s="22" t="s">
        <v>7829</v>
      </c>
      <c r="C2021" s="22"/>
      <c r="D2021" s="22" t="s">
        <v>7741</v>
      </c>
      <c r="E2021" s="22" t="s">
        <v>8221</v>
      </c>
      <c r="F2021" s="24" t="s">
        <v>8222</v>
      </c>
      <c r="G2021" s="26" t="s">
        <v>22</v>
      </c>
      <c r="H2021" s="22"/>
      <c r="I2021" s="22" t="s">
        <v>167</v>
      </c>
      <c r="J2021" s="22" t="s">
        <v>2</v>
      </c>
      <c r="K2021" s="24" t="s">
        <v>7949</v>
      </c>
      <c r="L2021" s="24"/>
      <c r="M2021" s="25" t="s">
        <v>8368</v>
      </c>
      <c r="N2021" s="22"/>
      <c r="O2021" s="22" t="s">
        <v>8223</v>
      </c>
      <c r="P2021" s="22" t="str">
        <f>HYPERLINK("https://ceds.ed.gov/cedselementdetails.aspx?termid=22989")</f>
        <v>https://ceds.ed.gov/cedselementdetails.aspx?termid=22989</v>
      </c>
      <c r="Q2021" s="22">
        <v>63890</v>
      </c>
    </row>
    <row r="2022" spans="1:17" ht="100.8" x14ac:dyDescent="0.3">
      <c r="A2022" s="22" t="s">
        <v>7779</v>
      </c>
      <c r="B2022" s="22" t="s">
        <v>7829</v>
      </c>
      <c r="C2022" s="22"/>
      <c r="D2022" s="22" t="s">
        <v>7741</v>
      </c>
      <c r="E2022" s="22" t="s">
        <v>8286</v>
      </c>
      <c r="F2022" s="24" t="s">
        <v>8287</v>
      </c>
      <c r="G2022" s="26" t="s">
        <v>22</v>
      </c>
      <c r="H2022" s="22"/>
      <c r="I2022" s="22" t="s">
        <v>167</v>
      </c>
      <c r="J2022" s="22" t="s">
        <v>2</v>
      </c>
      <c r="K2022" s="24" t="s">
        <v>7949</v>
      </c>
      <c r="L2022" s="24"/>
      <c r="M2022" s="25" t="s">
        <v>8370</v>
      </c>
      <c r="N2022" s="22"/>
      <c r="O2022" s="22" t="s">
        <v>8288</v>
      </c>
      <c r="P2022" s="22" t="str">
        <f>HYPERLINK("https://ceds.ed.gov/cedselementdetails.aspx?termid=22991")</f>
        <v>https://ceds.ed.gov/cedselementdetails.aspx?termid=22991</v>
      </c>
      <c r="Q2022" s="22">
        <v>63891</v>
      </c>
    </row>
    <row r="2023" spans="1:17" ht="72" x14ac:dyDescent="0.3">
      <c r="A2023" s="22" t="s">
        <v>7779</v>
      </c>
      <c r="B2023" s="22" t="s">
        <v>7829</v>
      </c>
      <c r="C2023" s="22"/>
      <c r="D2023" s="22" t="s">
        <v>7741</v>
      </c>
      <c r="E2023" s="22" t="s">
        <v>8289</v>
      </c>
      <c r="F2023" s="24" t="s">
        <v>8290</v>
      </c>
      <c r="G2023" s="26" t="s">
        <v>8381</v>
      </c>
      <c r="H2023" s="22"/>
      <c r="I2023" s="22" t="s">
        <v>167</v>
      </c>
      <c r="J2023" s="22" t="s">
        <v>2</v>
      </c>
      <c r="K2023" s="24" t="s">
        <v>7949</v>
      </c>
      <c r="L2023" s="24" t="s">
        <v>8291</v>
      </c>
      <c r="M2023" s="25" t="s">
        <v>8371</v>
      </c>
      <c r="N2023" s="22"/>
      <c r="O2023" s="22" t="s">
        <v>8292</v>
      </c>
      <c r="P2023" s="22" t="str">
        <f>HYPERLINK("https://ceds.ed.gov/cedselementdetails.aspx?termid=22992")</f>
        <v>https://ceds.ed.gov/cedselementdetails.aspx?termid=22992</v>
      </c>
      <c r="Q2023" s="22">
        <v>63892</v>
      </c>
    </row>
    <row r="2024" spans="1:17" ht="172.8" x14ac:dyDescent="0.3">
      <c r="A2024" s="22" t="s">
        <v>7779</v>
      </c>
      <c r="B2024" s="22" t="s">
        <v>7830</v>
      </c>
      <c r="C2024" s="22"/>
      <c r="D2024" s="22" t="s">
        <v>7710</v>
      </c>
      <c r="E2024" s="22" t="s">
        <v>2716</v>
      </c>
      <c r="F2024" s="24" t="s">
        <v>2717</v>
      </c>
      <c r="G2024" s="23" t="s">
        <v>32</v>
      </c>
      <c r="H2024" s="22"/>
      <c r="I2024" s="22"/>
      <c r="J2024" s="22" t="s">
        <v>132</v>
      </c>
      <c r="K2024" s="24"/>
      <c r="L2024" s="24" t="s">
        <v>7945</v>
      </c>
      <c r="M2024" s="25" t="s">
        <v>2718</v>
      </c>
      <c r="N2024" s="22"/>
      <c r="O2024" s="22" t="s">
        <v>2719</v>
      </c>
      <c r="P2024" s="22" t="str">
        <f>HYPERLINK("https://ceds.ed.gov/cedselementdetails.aspx?termid=21979")</f>
        <v>https://ceds.ed.gov/cedselementdetails.aspx?termid=21979</v>
      </c>
      <c r="Q2024" s="22">
        <v>59430</v>
      </c>
    </row>
    <row r="2025" spans="1:17" ht="100.8" x14ac:dyDescent="0.3">
      <c r="A2025" s="22" t="s">
        <v>7779</v>
      </c>
      <c r="B2025" s="22" t="s">
        <v>7830</v>
      </c>
      <c r="C2025" s="22"/>
      <c r="D2025" s="22" t="s">
        <v>7710</v>
      </c>
      <c r="E2025" s="22" t="s">
        <v>6721</v>
      </c>
      <c r="F2025" s="24" t="s">
        <v>6722</v>
      </c>
      <c r="G2025" s="23" t="s">
        <v>32</v>
      </c>
      <c r="H2025" s="24" t="s">
        <v>1521</v>
      </c>
      <c r="I2025" s="22"/>
      <c r="J2025" s="22" t="s">
        <v>118</v>
      </c>
      <c r="K2025" s="24"/>
      <c r="L2025" s="24"/>
      <c r="M2025" s="25" t="s">
        <v>6723</v>
      </c>
      <c r="N2025" s="22"/>
      <c r="O2025" s="22" t="s">
        <v>6724</v>
      </c>
      <c r="P2025" s="22" t="str">
        <f>HYPERLINK("https://ceds.ed.gov/cedselementdetails.aspx?termid=21251")</f>
        <v>https://ceds.ed.gov/cedselementdetails.aspx?termid=21251</v>
      </c>
      <c r="Q2025" s="22">
        <v>59014</v>
      </c>
    </row>
    <row r="2026" spans="1:17" ht="100.8" x14ac:dyDescent="0.3">
      <c r="A2026" s="22" t="s">
        <v>7779</v>
      </c>
      <c r="B2026" s="22" t="s">
        <v>7830</v>
      </c>
      <c r="C2026" s="22"/>
      <c r="D2026" s="22" t="s">
        <v>7710</v>
      </c>
      <c r="E2026" s="22" t="s">
        <v>6738</v>
      </c>
      <c r="F2026" s="24" t="s">
        <v>6739</v>
      </c>
      <c r="G2026" s="23" t="s">
        <v>32</v>
      </c>
      <c r="H2026" s="24" t="s">
        <v>1521</v>
      </c>
      <c r="I2026" s="22"/>
      <c r="J2026" s="22" t="s">
        <v>118</v>
      </c>
      <c r="K2026" s="24"/>
      <c r="L2026" s="24" t="s">
        <v>143</v>
      </c>
      <c r="M2026" s="25" t="s">
        <v>6740</v>
      </c>
      <c r="N2026" s="22"/>
      <c r="O2026" s="22" t="s">
        <v>6741</v>
      </c>
      <c r="P2026" s="22" t="str">
        <f>HYPERLINK("https://ceds.ed.gov/cedselementdetails.aspx?termid=21253")</f>
        <v>https://ceds.ed.gov/cedselementdetails.aspx?termid=21253</v>
      </c>
      <c r="Q2026" s="22">
        <v>59016</v>
      </c>
    </row>
    <row r="2027" spans="1:17" ht="28.8" x14ac:dyDescent="0.3">
      <c r="A2027" s="22" t="s">
        <v>7779</v>
      </c>
      <c r="B2027" s="22" t="s">
        <v>7830</v>
      </c>
      <c r="C2027" s="22"/>
      <c r="D2027" s="22" t="s">
        <v>7710</v>
      </c>
      <c r="E2027" s="22" t="s">
        <v>6733</v>
      </c>
      <c r="F2027" s="24" t="s">
        <v>6734</v>
      </c>
      <c r="G2027" s="23" t="s">
        <v>32</v>
      </c>
      <c r="H2027" s="24" t="s">
        <v>1965</v>
      </c>
      <c r="I2027" s="22"/>
      <c r="J2027" s="22" t="s">
        <v>3145</v>
      </c>
      <c r="K2027" s="24"/>
      <c r="L2027" s="24"/>
      <c r="M2027" s="25" t="s">
        <v>6736</v>
      </c>
      <c r="N2027" s="22"/>
      <c r="O2027" s="22" t="s">
        <v>6737</v>
      </c>
      <c r="P2027" s="22" t="str">
        <f>HYPERLINK("https://ceds.ed.gov/cedselementdetails.aspx?termid=21252")</f>
        <v>https://ceds.ed.gov/cedselementdetails.aspx?termid=21252</v>
      </c>
      <c r="Q2027" s="22">
        <v>59015</v>
      </c>
    </row>
    <row r="2028" spans="1:17" ht="172.8" x14ac:dyDescent="0.3">
      <c r="A2028" s="22" t="s">
        <v>7779</v>
      </c>
      <c r="B2028" s="22" t="s">
        <v>7830</v>
      </c>
      <c r="C2028" s="22"/>
      <c r="D2028" s="22" t="s">
        <v>7710</v>
      </c>
      <c r="E2028" s="22" t="s">
        <v>6758</v>
      </c>
      <c r="F2028" s="24" t="s">
        <v>6759</v>
      </c>
      <c r="G2028" s="26" t="s">
        <v>9141</v>
      </c>
      <c r="H2028" s="24" t="s">
        <v>1521</v>
      </c>
      <c r="I2028" s="22"/>
      <c r="J2028" s="22"/>
      <c r="K2028" s="24"/>
      <c r="L2028" s="24"/>
      <c r="M2028" s="25" t="s">
        <v>6761</v>
      </c>
      <c r="N2028" s="22"/>
      <c r="O2028" s="22" t="s">
        <v>6762</v>
      </c>
      <c r="P2028" s="22" t="str">
        <f>HYPERLINK("https://ceds.ed.gov/cedselementdetails.aspx?termid=21254")</f>
        <v>https://ceds.ed.gov/cedselementdetails.aspx?termid=21254</v>
      </c>
      <c r="Q2028" s="22">
        <v>59017</v>
      </c>
    </row>
    <row r="2029" spans="1:17" ht="43.2" x14ac:dyDescent="0.3">
      <c r="A2029" s="22" t="s">
        <v>7779</v>
      </c>
      <c r="B2029" s="22" t="s">
        <v>7830</v>
      </c>
      <c r="C2029" s="22"/>
      <c r="D2029" s="22" t="s">
        <v>7710</v>
      </c>
      <c r="E2029" s="22" t="s">
        <v>6725</v>
      </c>
      <c r="F2029" s="24" t="s">
        <v>6726</v>
      </c>
      <c r="G2029" s="23" t="s">
        <v>32</v>
      </c>
      <c r="H2029" s="22"/>
      <c r="I2029" s="22"/>
      <c r="J2029" s="22" t="s">
        <v>85</v>
      </c>
      <c r="K2029" s="24"/>
      <c r="L2029" s="24"/>
      <c r="M2029" s="25" t="s">
        <v>6727</v>
      </c>
      <c r="N2029" s="22"/>
      <c r="O2029" s="22" t="s">
        <v>6728</v>
      </c>
      <c r="P2029" s="22" t="str">
        <f>HYPERLINK("https://ceds.ed.gov/cedselementdetails.aspx?termid=22236")</f>
        <v>https://ceds.ed.gov/cedselementdetails.aspx?termid=22236</v>
      </c>
      <c r="Q2029" s="22">
        <v>62245</v>
      </c>
    </row>
    <row r="2030" spans="1:17" x14ac:dyDescent="0.3">
      <c r="A2030" s="22" t="s">
        <v>7779</v>
      </c>
      <c r="B2030" s="22" t="s">
        <v>7830</v>
      </c>
      <c r="C2030" s="22"/>
      <c r="D2030" s="22" t="s">
        <v>7710</v>
      </c>
      <c r="E2030" s="22" t="s">
        <v>6729</v>
      </c>
      <c r="F2030" s="24" t="s">
        <v>6730</v>
      </c>
      <c r="G2030" s="23" t="s">
        <v>32</v>
      </c>
      <c r="H2030" s="22"/>
      <c r="I2030" s="22"/>
      <c r="J2030" s="22" t="s">
        <v>328</v>
      </c>
      <c r="K2030" s="24"/>
      <c r="L2030" s="24"/>
      <c r="M2030" s="25" t="s">
        <v>6731</v>
      </c>
      <c r="N2030" s="22"/>
      <c r="O2030" s="22" t="s">
        <v>6732</v>
      </c>
      <c r="P2030" s="22" t="str">
        <f>HYPERLINK("https://ceds.ed.gov/cedselementdetails.aspx?termid=22237")</f>
        <v>https://ceds.ed.gov/cedselementdetails.aspx?termid=22237</v>
      </c>
      <c r="Q2030" s="22">
        <v>62246</v>
      </c>
    </row>
    <row r="2031" spans="1:17" ht="409.6" x14ac:dyDescent="0.3">
      <c r="A2031" s="22" t="s">
        <v>7779</v>
      </c>
      <c r="B2031" s="22" t="s">
        <v>7830</v>
      </c>
      <c r="C2031" s="22"/>
      <c r="D2031" s="22" t="s">
        <v>7710</v>
      </c>
      <c r="E2031" s="22" t="s">
        <v>305</v>
      </c>
      <c r="F2031" s="24" t="s">
        <v>7956</v>
      </c>
      <c r="G2031" s="26" t="s">
        <v>8595</v>
      </c>
      <c r="H2031" s="22"/>
      <c r="I2031" s="22"/>
      <c r="J2031" s="22" t="s">
        <v>157</v>
      </c>
      <c r="K2031" s="24"/>
      <c r="L2031" s="24"/>
      <c r="M2031" s="25" t="s">
        <v>307</v>
      </c>
      <c r="N2031" s="22" t="s">
        <v>308</v>
      </c>
      <c r="O2031" s="22" t="s">
        <v>309</v>
      </c>
      <c r="P2031" s="22" t="str">
        <f>HYPERLINK("https://ceds.ed.gov/cedselementdetails.aspx?termid=22244")</f>
        <v>https://ceds.ed.gov/cedselementdetails.aspx?termid=22244</v>
      </c>
      <c r="Q2031" s="22">
        <v>61567</v>
      </c>
    </row>
    <row r="2032" spans="1:17" ht="43.2" x14ac:dyDescent="0.3">
      <c r="A2032" s="22" t="s">
        <v>7779</v>
      </c>
      <c r="B2032" s="22" t="s">
        <v>7830</v>
      </c>
      <c r="C2032" s="22"/>
      <c r="D2032" s="22" t="s">
        <v>7710</v>
      </c>
      <c r="E2032" s="22" t="s">
        <v>2600</v>
      </c>
      <c r="F2032" s="24" t="s">
        <v>2601</v>
      </c>
      <c r="G2032" s="23" t="s">
        <v>32</v>
      </c>
      <c r="H2032" s="22"/>
      <c r="I2032" s="22"/>
      <c r="J2032" s="22" t="s">
        <v>157</v>
      </c>
      <c r="K2032" s="24"/>
      <c r="L2032" s="24"/>
      <c r="M2032" s="25" t="s">
        <v>2602</v>
      </c>
      <c r="N2032" s="22"/>
      <c r="O2032" s="22" t="s">
        <v>2603</v>
      </c>
      <c r="P2032" s="22" t="str">
        <f>HYPERLINK("https://ceds.ed.gov/cedselementdetails.aspx?termid=21508")</f>
        <v>https://ceds.ed.gov/cedselementdetails.aspx?termid=21508</v>
      </c>
      <c r="Q2032" s="22">
        <v>61102</v>
      </c>
    </row>
    <row r="2033" spans="1:17" ht="409.6" x14ac:dyDescent="0.3">
      <c r="A2033" s="22" t="s">
        <v>7779</v>
      </c>
      <c r="B2033" s="22" t="s">
        <v>7830</v>
      </c>
      <c r="C2033" s="22"/>
      <c r="D2033" s="22" t="s">
        <v>7710</v>
      </c>
      <c r="E2033" s="22" t="s">
        <v>2566</v>
      </c>
      <c r="F2033" s="24" t="s">
        <v>2567</v>
      </c>
      <c r="G2033" s="26" t="s">
        <v>8747</v>
      </c>
      <c r="H2033" s="22"/>
      <c r="I2033" s="22"/>
      <c r="J2033" s="22"/>
      <c r="K2033" s="24"/>
      <c r="L2033" s="24" t="s">
        <v>8057</v>
      </c>
      <c r="M2033" s="25" t="s">
        <v>2569</v>
      </c>
      <c r="N2033" s="22"/>
      <c r="O2033" s="22" t="s">
        <v>2570</v>
      </c>
      <c r="P2033" s="22" t="str">
        <f>HYPERLINK("https://ceds.ed.gov/cedselementdetails.aspx?termid=22267")</f>
        <v>https://ceds.ed.gov/cedselementdetails.aspx?termid=22267</v>
      </c>
      <c r="Q2033" s="22">
        <v>61097</v>
      </c>
    </row>
    <row r="2034" spans="1:17" ht="244.8" x14ac:dyDescent="0.3">
      <c r="A2034" s="22" t="s">
        <v>7779</v>
      </c>
      <c r="B2034" s="22" t="s">
        <v>7830</v>
      </c>
      <c r="C2034" s="22"/>
      <c r="D2034" s="22" t="s">
        <v>7710</v>
      </c>
      <c r="E2034" s="22" t="s">
        <v>1925</v>
      </c>
      <c r="F2034" s="24" t="s">
        <v>1926</v>
      </c>
      <c r="G2034" s="26" t="s">
        <v>8710</v>
      </c>
      <c r="H2034" s="22"/>
      <c r="I2034" s="22"/>
      <c r="J2034" s="22"/>
      <c r="K2034" s="24"/>
      <c r="L2034" s="24" t="s">
        <v>8034</v>
      </c>
      <c r="M2034" s="25" t="s">
        <v>1927</v>
      </c>
      <c r="N2034" s="22"/>
      <c r="O2034" s="22" t="s">
        <v>1928</v>
      </c>
      <c r="P2034" s="22" t="str">
        <f>HYPERLINK("https://ceds.ed.gov/cedselementdetails.aspx?termid=22254")</f>
        <v>https://ceds.ed.gov/cedselementdetails.aspx?termid=22254</v>
      </c>
      <c r="Q2034" s="22">
        <v>61075</v>
      </c>
    </row>
    <row r="2035" spans="1:17" ht="43.2" x14ac:dyDescent="0.3">
      <c r="A2035" s="22" t="s">
        <v>7779</v>
      </c>
      <c r="B2035" s="22" t="s">
        <v>7830</v>
      </c>
      <c r="C2035" s="22"/>
      <c r="D2035" s="22" t="s">
        <v>7710</v>
      </c>
      <c r="E2035" s="22" t="s">
        <v>2562</v>
      </c>
      <c r="F2035" s="24" t="s">
        <v>2563</v>
      </c>
      <c r="G2035" s="26" t="s">
        <v>22</v>
      </c>
      <c r="H2035" s="22"/>
      <c r="I2035" s="22"/>
      <c r="J2035" s="22"/>
      <c r="K2035" s="24"/>
      <c r="L2035" s="24"/>
      <c r="M2035" s="25" t="s">
        <v>2564</v>
      </c>
      <c r="N2035" s="22"/>
      <c r="O2035" s="22" t="s">
        <v>2565</v>
      </c>
      <c r="P2035" s="22" t="str">
        <f>HYPERLINK("https://ceds.ed.gov/cedselementdetails.aspx?termid=21013")</f>
        <v>https://ceds.ed.gov/cedselementdetails.aspx?termid=21013</v>
      </c>
      <c r="Q2035" s="22">
        <v>59941</v>
      </c>
    </row>
    <row r="2036" spans="1:17" ht="43.2" x14ac:dyDescent="0.3">
      <c r="A2036" s="22" t="s">
        <v>7779</v>
      </c>
      <c r="B2036" s="22" t="s">
        <v>7830</v>
      </c>
      <c r="C2036" s="22"/>
      <c r="D2036" s="22" t="s">
        <v>7710</v>
      </c>
      <c r="E2036" s="22" t="s">
        <v>6746</v>
      </c>
      <c r="F2036" s="24" t="s">
        <v>6747</v>
      </c>
      <c r="G2036" s="26" t="s">
        <v>22</v>
      </c>
      <c r="H2036" s="22"/>
      <c r="I2036" s="22"/>
      <c r="J2036" s="22"/>
      <c r="K2036" s="24"/>
      <c r="L2036" s="24"/>
      <c r="M2036" s="25" t="s">
        <v>6748</v>
      </c>
      <c r="N2036" s="22"/>
      <c r="O2036" s="22" t="s">
        <v>6749</v>
      </c>
      <c r="P2036" s="22" t="str">
        <f>HYPERLINK("https://ceds.ed.gov/cedselementdetails.aspx?termid=22238")</f>
        <v>https://ceds.ed.gov/cedselementdetails.aspx?termid=22238</v>
      </c>
      <c r="Q2036" s="22">
        <v>62247</v>
      </c>
    </row>
    <row r="2037" spans="1:17" ht="43.2" x14ac:dyDescent="0.3">
      <c r="A2037" s="22" t="s">
        <v>7779</v>
      </c>
      <c r="B2037" s="22" t="s">
        <v>7830</v>
      </c>
      <c r="C2037" s="22"/>
      <c r="D2037" s="22" t="s">
        <v>7710</v>
      </c>
      <c r="E2037" s="22" t="s">
        <v>6750</v>
      </c>
      <c r="F2037" s="24" t="s">
        <v>6751</v>
      </c>
      <c r="G2037" s="26" t="s">
        <v>22</v>
      </c>
      <c r="H2037" s="22"/>
      <c r="I2037" s="22"/>
      <c r="J2037" s="22"/>
      <c r="K2037" s="24"/>
      <c r="L2037" s="24"/>
      <c r="M2037" s="25" t="s">
        <v>6752</v>
      </c>
      <c r="N2037" s="22"/>
      <c r="O2037" s="22" t="s">
        <v>6753</v>
      </c>
      <c r="P2037" s="22" t="str">
        <f>HYPERLINK("https://ceds.ed.gov/cedselementdetails.aspx?termid=22239")</f>
        <v>https://ceds.ed.gov/cedselementdetails.aspx?termid=22239</v>
      </c>
      <c r="Q2037" s="22">
        <v>62248</v>
      </c>
    </row>
    <row r="2038" spans="1:17" ht="43.2" x14ac:dyDescent="0.3">
      <c r="A2038" s="22" t="s">
        <v>7779</v>
      </c>
      <c r="B2038" s="22" t="s">
        <v>7830</v>
      </c>
      <c r="C2038" s="22"/>
      <c r="D2038" s="22" t="s">
        <v>7710</v>
      </c>
      <c r="E2038" s="22" t="s">
        <v>6716</v>
      </c>
      <c r="F2038" s="24" t="s">
        <v>6717</v>
      </c>
      <c r="G2038" s="26" t="s">
        <v>22</v>
      </c>
      <c r="H2038" s="22"/>
      <c r="I2038" s="22"/>
      <c r="J2038" s="22"/>
      <c r="K2038" s="24"/>
      <c r="L2038" s="24"/>
      <c r="M2038" s="25" t="s">
        <v>6719</v>
      </c>
      <c r="N2038" s="22"/>
      <c r="O2038" s="22" t="s">
        <v>6720</v>
      </c>
      <c r="P2038" s="22" t="str">
        <f>HYPERLINK("https://ceds.ed.gov/cedselementdetails.aspx?termid=22240")</f>
        <v>https://ceds.ed.gov/cedselementdetails.aspx?termid=22240</v>
      </c>
      <c r="Q2038" s="22">
        <v>62249</v>
      </c>
    </row>
    <row r="2039" spans="1:17" ht="129.6" x14ac:dyDescent="0.3">
      <c r="A2039" s="22" t="s">
        <v>7779</v>
      </c>
      <c r="B2039" s="22" t="s">
        <v>7830</v>
      </c>
      <c r="C2039" s="22"/>
      <c r="D2039" s="22" t="s">
        <v>7710</v>
      </c>
      <c r="E2039" s="22" t="s">
        <v>2737</v>
      </c>
      <c r="F2039" s="24" t="s">
        <v>2738</v>
      </c>
      <c r="G2039" s="23" t="s">
        <v>32</v>
      </c>
      <c r="H2039" s="22" t="s">
        <v>2741</v>
      </c>
      <c r="I2039" s="22"/>
      <c r="J2039" s="22" t="s">
        <v>317</v>
      </c>
      <c r="K2039" s="24"/>
      <c r="L2039" s="24"/>
      <c r="M2039" s="25" t="s">
        <v>2739</v>
      </c>
      <c r="N2039" s="22"/>
      <c r="O2039" s="22" t="s">
        <v>2740</v>
      </c>
      <c r="P2039" s="22" t="str">
        <f>HYPERLINK("https://ceds.ed.gov/cedselementdetails.aspx?termid=21101")</f>
        <v>https://ceds.ed.gov/cedselementdetails.aspx?termid=21101</v>
      </c>
      <c r="Q2039" s="22">
        <v>59951</v>
      </c>
    </row>
    <row r="2040" spans="1:17" ht="28.8" x14ac:dyDescent="0.3">
      <c r="A2040" s="22" t="s">
        <v>7779</v>
      </c>
      <c r="B2040" s="22" t="s">
        <v>7830</v>
      </c>
      <c r="C2040" s="22"/>
      <c r="D2040" s="22" t="s">
        <v>7710</v>
      </c>
      <c r="E2040" s="22" t="s">
        <v>2059</v>
      </c>
      <c r="F2040" s="24" t="s">
        <v>2060</v>
      </c>
      <c r="G2040" s="23" t="s">
        <v>32</v>
      </c>
      <c r="H2040" s="24" t="s">
        <v>2063</v>
      </c>
      <c r="I2040" s="22"/>
      <c r="J2040" s="22" t="s">
        <v>430</v>
      </c>
      <c r="K2040" s="24"/>
      <c r="L2040" s="24"/>
      <c r="M2040" s="25" t="s">
        <v>2061</v>
      </c>
      <c r="N2040" s="22"/>
      <c r="O2040" s="22" t="s">
        <v>2062</v>
      </c>
      <c r="P2040" s="22" t="str">
        <f>HYPERLINK("https://ceds.ed.gov/cedselementdetails.aspx?termid=21510")</f>
        <v>https://ceds.ed.gov/cedselementdetails.aspx?termid=21510</v>
      </c>
      <c r="Q2040" s="22">
        <v>59021</v>
      </c>
    </row>
    <row r="2041" spans="1:17" ht="28.8" x14ac:dyDescent="0.3">
      <c r="A2041" s="22" t="s">
        <v>7779</v>
      </c>
      <c r="B2041" s="22" t="s">
        <v>7830</v>
      </c>
      <c r="C2041" s="22"/>
      <c r="D2041" s="22" t="s">
        <v>7710</v>
      </c>
      <c r="E2041" s="22" t="s">
        <v>2064</v>
      </c>
      <c r="F2041" s="24" t="s">
        <v>2065</v>
      </c>
      <c r="G2041" s="23" t="s">
        <v>32</v>
      </c>
      <c r="H2041" s="24" t="s">
        <v>2063</v>
      </c>
      <c r="I2041" s="22"/>
      <c r="J2041" s="22" t="s">
        <v>430</v>
      </c>
      <c r="K2041" s="24"/>
      <c r="L2041" s="24"/>
      <c r="M2041" s="25" t="s">
        <v>2066</v>
      </c>
      <c r="N2041" s="22"/>
      <c r="O2041" s="22" t="s">
        <v>2067</v>
      </c>
      <c r="P2041" s="22" t="str">
        <f>HYPERLINK("https://ceds.ed.gov/cedselementdetails.aspx?termid=21511")</f>
        <v>https://ceds.ed.gov/cedselementdetails.aspx?termid=21511</v>
      </c>
      <c r="Q2041" s="22">
        <v>59022</v>
      </c>
    </row>
    <row r="2042" spans="1:17" ht="57.6" x14ac:dyDescent="0.3">
      <c r="A2042" s="22" t="s">
        <v>7779</v>
      </c>
      <c r="B2042" s="22" t="s">
        <v>7830</v>
      </c>
      <c r="C2042" s="22"/>
      <c r="D2042" s="22" t="s">
        <v>7710</v>
      </c>
      <c r="E2042" s="22" t="s">
        <v>2068</v>
      </c>
      <c r="F2042" s="24" t="s">
        <v>2069</v>
      </c>
      <c r="G2042" s="23" t="s">
        <v>32</v>
      </c>
      <c r="H2042" s="22"/>
      <c r="I2042" s="22"/>
      <c r="J2042" s="22" t="s">
        <v>157</v>
      </c>
      <c r="K2042" s="24"/>
      <c r="L2042" s="24"/>
      <c r="M2042" s="25" t="s">
        <v>2071</v>
      </c>
      <c r="N2042" s="22"/>
      <c r="O2042" s="22" t="s">
        <v>2072</v>
      </c>
      <c r="P2042" s="22" t="str">
        <f>HYPERLINK("https://ceds.ed.gov/cedselementdetails.aspx?termid=21512")</f>
        <v>https://ceds.ed.gov/cedselementdetails.aspx?termid=21512</v>
      </c>
      <c r="Q2042" s="22">
        <v>59023</v>
      </c>
    </row>
    <row r="2043" spans="1:17" ht="72" x14ac:dyDescent="0.3">
      <c r="A2043" s="22" t="s">
        <v>7779</v>
      </c>
      <c r="B2043" s="22" t="s">
        <v>7830</v>
      </c>
      <c r="C2043" s="22"/>
      <c r="D2043" s="22" t="s">
        <v>7710</v>
      </c>
      <c r="E2043" s="22" t="s">
        <v>2073</v>
      </c>
      <c r="F2043" s="24" t="s">
        <v>2074</v>
      </c>
      <c r="G2043" s="23" t="s">
        <v>32</v>
      </c>
      <c r="H2043" s="22"/>
      <c r="I2043" s="22"/>
      <c r="J2043" s="22" t="s">
        <v>85</v>
      </c>
      <c r="K2043" s="24"/>
      <c r="L2043" s="24"/>
      <c r="M2043" s="25" t="s">
        <v>2075</v>
      </c>
      <c r="N2043" s="22"/>
      <c r="O2043" s="22" t="s">
        <v>2076</v>
      </c>
      <c r="P2043" s="22" t="str">
        <f>HYPERLINK("https://ceds.ed.gov/cedselementdetails.aspx?termid=21513")</f>
        <v>https://ceds.ed.gov/cedselementdetails.aspx?termid=21513</v>
      </c>
      <c r="Q2043" s="22">
        <v>59024</v>
      </c>
    </row>
    <row r="2044" spans="1:17" ht="172.8" x14ac:dyDescent="0.3">
      <c r="A2044" s="22" t="s">
        <v>7779</v>
      </c>
      <c r="B2044" s="22" t="s">
        <v>7830</v>
      </c>
      <c r="C2044" s="22"/>
      <c r="D2044" s="22" t="s">
        <v>7710</v>
      </c>
      <c r="E2044" s="22" t="s">
        <v>7184</v>
      </c>
      <c r="F2044" s="24" t="s">
        <v>7185</v>
      </c>
      <c r="G2044" s="23" t="s">
        <v>32</v>
      </c>
      <c r="H2044" s="22"/>
      <c r="I2044" s="22"/>
      <c r="J2044" s="22" t="s">
        <v>132</v>
      </c>
      <c r="K2044" s="24"/>
      <c r="L2044" s="24" t="s">
        <v>7945</v>
      </c>
      <c r="M2044" s="25" t="s">
        <v>7186</v>
      </c>
      <c r="N2044" s="22"/>
      <c r="O2044" s="22" t="s">
        <v>7187</v>
      </c>
      <c r="P2044" s="22" t="str">
        <f>HYPERLINK("https://ceds.ed.gov/cedselementdetails.aspx?termid=21514")</f>
        <v>https://ceds.ed.gov/cedselementdetails.aspx?termid=21514</v>
      </c>
      <c r="Q2044" s="22">
        <v>59025</v>
      </c>
    </row>
    <row r="2045" spans="1:17" ht="28.8" x14ac:dyDescent="0.3">
      <c r="A2045" s="22" t="s">
        <v>7779</v>
      </c>
      <c r="B2045" s="22" t="s">
        <v>7830</v>
      </c>
      <c r="C2045" s="22"/>
      <c r="D2045" s="22" t="s">
        <v>7710</v>
      </c>
      <c r="E2045" s="22" t="s">
        <v>2724</v>
      </c>
      <c r="F2045" s="24" t="s">
        <v>2725</v>
      </c>
      <c r="G2045" s="23" t="s">
        <v>32</v>
      </c>
      <c r="H2045" s="22"/>
      <c r="I2045" s="22"/>
      <c r="J2045" s="22" t="s">
        <v>317</v>
      </c>
      <c r="K2045" s="24"/>
      <c r="L2045" s="24"/>
      <c r="M2045" s="25" t="s">
        <v>2726</v>
      </c>
      <c r="N2045" s="22"/>
      <c r="O2045" s="22" t="s">
        <v>2727</v>
      </c>
      <c r="P2045" s="22" t="str">
        <f>HYPERLINK("https://ceds.ed.gov/cedselementdetails.aspx?termid=22636")</f>
        <v>https://ceds.ed.gov/cedselementdetails.aspx?termid=22636</v>
      </c>
      <c r="Q2045" s="22">
        <v>62350</v>
      </c>
    </row>
    <row r="2046" spans="1:17" ht="115.2" x14ac:dyDescent="0.3">
      <c r="A2046" s="22" t="s">
        <v>7779</v>
      </c>
      <c r="B2046" s="22" t="s">
        <v>7830</v>
      </c>
      <c r="C2046" s="22"/>
      <c r="D2046" s="22" t="s">
        <v>7710</v>
      </c>
      <c r="E2046" s="22" t="s">
        <v>4788</v>
      </c>
      <c r="F2046" s="24" t="s">
        <v>4789</v>
      </c>
      <c r="G2046" s="23" t="s">
        <v>7423</v>
      </c>
      <c r="H2046" s="22" t="s">
        <v>214</v>
      </c>
      <c r="I2046" s="22"/>
      <c r="J2046" s="22"/>
      <c r="K2046" s="24"/>
      <c r="L2046" s="24" t="s">
        <v>7994</v>
      </c>
      <c r="M2046" s="25" t="s">
        <v>4790</v>
      </c>
      <c r="N2046" s="22"/>
      <c r="O2046" s="22" t="s">
        <v>4791</v>
      </c>
      <c r="P2046" s="22" t="str">
        <f>HYPERLINK("https://ceds.ed.gov/cedselementdetails.aspx?termid=21438")</f>
        <v>https://ceds.ed.gov/cedselementdetails.aspx?termid=21438</v>
      </c>
      <c r="Q2046" s="22">
        <v>59019</v>
      </c>
    </row>
    <row r="2047" spans="1:17" ht="172.8" x14ac:dyDescent="0.3">
      <c r="A2047" s="22" t="s">
        <v>7779</v>
      </c>
      <c r="B2047" s="22" t="s">
        <v>7830</v>
      </c>
      <c r="C2047" s="22"/>
      <c r="D2047" s="22" t="s">
        <v>7710</v>
      </c>
      <c r="E2047" s="22" t="s">
        <v>2100</v>
      </c>
      <c r="F2047" s="24" t="s">
        <v>2101</v>
      </c>
      <c r="G2047" s="23" t="s">
        <v>32</v>
      </c>
      <c r="H2047" s="22"/>
      <c r="I2047" s="22"/>
      <c r="J2047" s="22" t="s">
        <v>132</v>
      </c>
      <c r="K2047" s="24"/>
      <c r="L2047" s="24" t="s">
        <v>7945</v>
      </c>
      <c r="M2047" s="25" t="s">
        <v>2102</v>
      </c>
      <c r="N2047" s="22"/>
      <c r="O2047" s="22" t="s">
        <v>2103</v>
      </c>
      <c r="P2047" s="22" t="str">
        <f>HYPERLINK("https://ceds.ed.gov/cedselementdetails.aspx?termid=21507")</f>
        <v>https://ceds.ed.gov/cedselementdetails.aspx?termid=21507</v>
      </c>
      <c r="Q2047" s="22">
        <v>59020</v>
      </c>
    </row>
    <row r="2048" spans="1:17" ht="158.4" x14ac:dyDescent="0.3">
      <c r="A2048" s="22" t="s">
        <v>7779</v>
      </c>
      <c r="B2048" s="22" t="s">
        <v>7830</v>
      </c>
      <c r="C2048" s="22"/>
      <c r="D2048" s="22" t="s">
        <v>7710</v>
      </c>
      <c r="E2048" s="22" t="s">
        <v>6361</v>
      </c>
      <c r="F2048" s="24" t="s">
        <v>6362</v>
      </c>
      <c r="G2048" s="26" t="s">
        <v>8510</v>
      </c>
      <c r="H2048" s="22"/>
      <c r="I2048" s="22" t="s">
        <v>172</v>
      </c>
      <c r="J2048" s="22"/>
      <c r="K2048" s="24" t="s">
        <v>8050</v>
      </c>
      <c r="L2048" s="24"/>
      <c r="M2048" s="25" t="s">
        <v>6363</v>
      </c>
      <c r="N2048" s="22"/>
      <c r="O2048" s="22" t="s">
        <v>6364</v>
      </c>
      <c r="P2048" s="22" t="str">
        <f>HYPERLINK("https://ceds.ed.gov/cedselementdetails.aspx?termid=21515")</f>
        <v>https://ceds.ed.gov/cedselementdetails.aspx?termid=21515</v>
      </c>
      <c r="Q2048" s="22">
        <v>59026</v>
      </c>
    </row>
    <row r="2049" spans="1:17" ht="244.8" x14ac:dyDescent="0.3">
      <c r="A2049" s="22" t="s">
        <v>7779</v>
      </c>
      <c r="B2049" s="22" t="s">
        <v>7830</v>
      </c>
      <c r="C2049" s="22"/>
      <c r="D2049" s="22" t="s">
        <v>7710</v>
      </c>
      <c r="E2049" s="22" t="s">
        <v>2104</v>
      </c>
      <c r="F2049" s="24" t="s">
        <v>2105</v>
      </c>
      <c r="G2049" s="26" t="s">
        <v>8411</v>
      </c>
      <c r="H2049" s="22"/>
      <c r="I2049" s="22" t="s">
        <v>172</v>
      </c>
      <c r="J2049" s="22"/>
      <c r="K2049" s="24" t="s">
        <v>7946</v>
      </c>
      <c r="L2049" s="24"/>
      <c r="M2049" s="25" t="s">
        <v>2106</v>
      </c>
      <c r="N2049" s="22"/>
      <c r="O2049" s="22" t="s">
        <v>2107</v>
      </c>
      <c r="P2049" s="22" t="str">
        <f>HYPERLINK("https://ceds.ed.gov/cedselementdetails.aspx?termid=21615")</f>
        <v>https://ceds.ed.gov/cedselementdetails.aspx?termid=21615</v>
      </c>
      <c r="Q2049" s="22">
        <v>62127</v>
      </c>
    </row>
    <row r="2050" spans="1:17" ht="115.2" x14ac:dyDescent="0.3">
      <c r="A2050" s="22" t="s">
        <v>7779</v>
      </c>
      <c r="B2050" s="22" t="s">
        <v>7830</v>
      </c>
      <c r="C2050" s="22"/>
      <c r="D2050" s="22" t="s">
        <v>7710</v>
      </c>
      <c r="E2050" s="22" t="s">
        <v>7335</v>
      </c>
      <c r="F2050" s="24" t="s">
        <v>8347</v>
      </c>
      <c r="G2050" s="26" t="s">
        <v>22</v>
      </c>
      <c r="H2050" s="22"/>
      <c r="I2050" s="22" t="s">
        <v>172</v>
      </c>
      <c r="J2050" s="22"/>
      <c r="K2050" s="24" t="s">
        <v>8348</v>
      </c>
      <c r="L2050" s="24"/>
      <c r="M2050" s="25" t="s">
        <v>7336</v>
      </c>
      <c r="N2050" s="22"/>
      <c r="O2050" s="22" t="s">
        <v>7337</v>
      </c>
      <c r="P2050" s="22" t="str">
        <f>HYPERLINK("https://ceds.ed.gov/cedselementdetails.aspx?termid=22167")</f>
        <v>https://ceds.ed.gov/cedselementdetails.aspx?termid=22167</v>
      </c>
      <c r="Q2050" s="22">
        <v>59576</v>
      </c>
    </row>
    <row r="2051" spans="1:17" ht="129.6" x14ac:dyDescent="0.3">
      <c r="A2051" s="22" t="s">
        <v>7779</v>
      </c>
      <c r="B2051" s="22" t="s">
        <v>7830</v>
      </c>
      <c r="C2051" s="22"/>
      <c r="D2051" s="22" t="s">
        <v>7710</v>
      </c>
      <c r="E2051" s="22" t="s">
        <v>2720</v>
      </c>
      <c r="F2051" s="24" t="s">
        <v>2721</v>
      </c>
      <c r="G2051" s="26" t="s">
        <v>8762</v>
      </c>
      <c r="H2051" s="22"/>
      <c r="I2051" s="22"/>
      <c r="J2051" s="22"/>
      <c r="K2051" s="24"/>
      <c r="L2051" s="24"/>
      <c r="M2051" s="25" t="s">
        <v>2722</v>
      </c>
      <c r="N2051" s="22"/>
      <c r="O2051" s="22" t="s">
        <v>2723</v>
      </c>
      <c r="P2051" s="22" t="str">
        <f>HYPERLINK("https://ceds.ed.gov/cedselementdetails.aspx?termid=22168")</f>
        <v>https://ceds.ed.gov/cedselementdetails.aspx?termid=22168</v>
      </c>
      <c r="Q2051" s="22">
        <v>59578</v>
      </c>
    </row>
    <row r="2052" spans="1:17" ht="144" x14ac:dyDescent="0.3">
      <c r="A2052" s="22" t="s">
        <v>7779</v>
      </c>
      <c r="B2052" s="22" t="s">
        <v>7830</v>
      </c>
      <c r="C2052" s="22"/>
      <c r="D2052" s="22" t="s">
        <v>7710</v>
      </c>
      <c r="E2052" s="22" t="s">
        <v>1559</v>
      </c>
      <c r="F2052" s="24" t="s">
        <v>1560</v>
      </c>
      <c r="G2052" s="26" t="s">
        <v>8407</v>
      </c>
      <c r="H2052" s="22"/>
      <c r="I2052" s="22" t="s">
        <v>172</v>
      </c>
      <c r="J2052" s="22"/>
      <c r="K2052" s="24" t="s">
        <v>7946</v>
      </c>
      <c r="L2052" s="24" t="s">
        <v>1561</v>
      </c>
      <c r="M2052" s="25" t="s">
        <v>1562</v>
      </c>
      <c r="N2052" s="22"/>
      <c r="O2052" s="22" t="s">
        <v>1563</v>
      </c>
      <c r="P2052" s="22" t="str">
        <f>HYPERLINK("https://ceds.ed.gov/cedselementdetails.aspx?termid=22253")</f>
        <v>https://ceds.ed.gov/cedselementdetails.aspx?termid=22253</v>
      </c>
      <c r="Q2052" s="22">
        <v>61073</v>
      </c>
    </row>
    <row r="2053" spans="1:17" ht="43.2" x14ac:dyDescent="0.3">
      <c r="A2053" s="22" t="s">
        <v>7779</v>
      </c>
      <c r="B2053" s="22" t="s">
        <v>7830</v>
      </c>
      <c r="C2053" s="22"/>
      <c r="D2053" s="22" t="s">
        <v>7710</v>
      </c>
      <c r="E2053" s="22" t="s">
        <v>2645</v>
      </c>
      <c r="F2053" s="24" t="s">
        <v>2646</v>
      </c>
      <c r="G2053" s="26" t="s">
        <v>8756</v>
      </c>
      <c r="H2053" s="22"/>
      <c r="I2053" s="22"/>
      <c r="J2053" s="22"/>
      <c r="K2053" s="24"/>
      <c r="L2053" s="24" t="s">
        <v>2647</v>
      </c>
      <c r="M2053" s="25" t="s">
        <v>2648</v>
      </c>
      <c r="N2053" s="22"/>
      <c r="O2053" s="22" t="s">
        <v>2649</v>
      </c>
      <c r="P2053" s="22" t="str">
        <f>HYPERLINK("https://ceds.ed.gov/cedselementdetails.aspx?termid=22277")</f>
        <v>https://ceds.ed.gov/cedselementdetails.aspx?termid=22277</v>
      </c>
      <c r="Q2053" s="22">
        <v>61113</v>
      </c>
    </row>
    <row r="2054" spans="1:17" ht="57.6" x14ac:dyDescent="0.3">
      <c r="A2054" s="22" t="s">
        <v>7779</v>
      </c>
      <c r="B2054" s="22" t="s">
        <v>7830</v>
      </c>
      <c r="C2054" s="22"/>
      <c r="D2054" s="22" t="s">
        <v>7710</v>
      </c>
      <c r="E2054" s="22" t="s">
        <v>2732</v>
      </c>
      <c r="F2054" s="24" t="s">
        <v>2733</v>
      </c>
      <c r="G2054" s="26" t="s">
        <v>8763</v>
      </c>
      <c r="H2054" s="24" t="s">
        <v>2736</v>
      </c>
      <c r="I2054" s="22"/>
      <c r="J2054" s="22"/>
      <c r="K2054" s="24"/>
      <c r="L2054" s="24"/>
      <c r="M2054" s="25" t="s">
        <v>2734</v>
      </c>
      <c r="N2054" s="22"/>
      <c r="O2054" s="22" t="s">
        <v>2735</v>
      </c>
      <c r="P2054" s="22" t="str">
        <f>HYPERLINK("https://ceds.ed.gov/cedselementdetails.aspx?termid=21258")</f>
        <v>https://ceds.ed.gov/cedselementdetails.aspx?termid=21258</v>
      </c>
      <c r="Q2054" s="22">
        <v>59018</v>
      </c>
    </row>
    <row r="2055" spans="1:17" ht="57.6" x14ac:dyDescent="0.3">
      <c r="A2055" s="22" t="s">
        <v>7779</v>
      </c>
      <c r="B2055" s="22" t="s">
        <v>7830</v>
      </c>
      <c r="C2055" s="22"/>
      <c r="D2055" s="22" t="s">
        <v>7710</v>
      </c>
      <c r="E2055" s="22" t="s">
        <v>20</v>
      </c>
      <c r="F2055" s="24" t="s">
        <v>21</v>
      </c>
      <c r="G2055" s="26" t="s">
        <v>22</v>
      </c>
      <c r="H2055" s="22" t="s">
        <v>25</v>
      </c>
      <c r="I2055" s="22"/>
      <c r="J2055" s="22"/>
      <c r="K2055" s="24"/>
      <c r="L2055" s="24"/>
      <c r="M2055" s="25" t="s">
        <v>23</v>
      </c>
      <c r="N2055" s="22"/>
      <c r="O2055" s="22" t="s">
        <v>24</v>
      </c>
      <c r="P2055" s="22" t="str">
        <f>HYPERLINK("https://ceds.ed.gov/cedselementdetails.aspx?termid=21000")</f>
        <v>https://ceds.ed.gov/cedselementdetails.aspx?termid=21000</v>
      </c>
      <c r="Q2055" s="22">
        <v>61667</v>
      </c>
    </row>
    <row r="2056" spans="1:17" ht="100.8" x14ac:dyDescent="0.3">
      <c r="A2056" s="22" t="s">
        <v>7779</v>
      </c>
      <c r="B2056" s="22" t="s">
        <v>7830</v>
      </c>
      <c r="C2056" s="22"/>
      <c r="D2056" s="22" t="s">
        <v>7710</v>
      </c>
      <c r="E2056" s="22" t="s">
        <v>2618</v>
      </c>
      <c r="F2056" s="24" t="s">
        <v>2619</v>
      </c>
      <c r="G2056" s="26" t="s">
        <v>8752</v>
      </c>
      <c r="H2056" s="24" t="s">
        <v>1521</v>
      </c>
      <c r="I2056" s="22"/>
      <c r="J2056" s="22"/>
      <c r="K2056" s="24"/>
      <c r="L2056" s="24"/>
      <c r="M2056" s="25" t="s">
        <v>2621</v>
      </c>
      <c r="N2056" s="22" t="s">
        <v>2622</v>
      </c>
      <c r="O2056" s="22" t="s">
        <v>2623</v>
      </c>
      <c r="P2056" s="22" t="str">
        <f>HYPERLINK("https://ceds.ed.gov/cedselementdetails.aspx?termid=21060")</f>
        <v>https://ceds.ed.gov/cedselementdetails.aspx?termid=21060</v>
      </c>
      <c r="Q2056" s="22">
        <v>59945</v>
      </c>
    </row>
    <row r="2057" spans="1:17" ht="158.4" x14ac:dyDescent="0.3">
      <c r="A2057" s="22" t="s">
        <v>7779</v>
      </c>
      <c r="B2057" s="22" t="s">
        <v>7830</v>
      </c>
      <c r="C2057" s="22"/>
      <c r="D2057" s="22" t="s">
        <v>7710</v>
      </c>
      <c r="E2057" s="22" t="s">
        <v>160</v>
      </c>
      <c r="F2057" s="24" t="s">
        <v>161</v>
      </c>
      <c r="G2057" s="26" t="s">
        <v>8573</v>
      </c>
      <c r="H2057" s="22"/>
      <c r="I2057" s="22"/>
      <c r="J2057" s="22"/>
      <c r="K2057" s="24"/>
      <c r="L2057" s="24"/>
      <c r="M2057" s="25" t="s">
        <v>163</v>
      </c>
      <c r="N2057" s="22"/>
      <c r="O2057" s="22" t="s">
        <v>164</v>
      </c>
      <c r="P2057" s="22" t="str">
        <f>HYPERLINK("https://ceds.ed.gov/cedselementdetails.aspx?termid=21589")</f>
        <v>https://ceds.ed.gov/cedselementdetails.aspx?termid=21589</v>
      </c>
      <c r="Q2057" s="22">
        <v>61045</v>
      </c>
    </row>
    <row r="2058" spans="1:17" ht="43.2" x14ac:dyDescent="0.3">
      <c r="A2058" s="22" t="s">
        <v>7779</v>
      </c>
      <c r="B2058" s="22" t="s">
        <v>7830</v>
      </c>
      <c r="C2058" s="22"/>
      <c r="D2058" s="22" t="s">
        <v>7710</v>
      </c>
      <c r="E2058" s="22" t="s">
        <v>2575</v>
      </c>
      <c r="F2058" s="24" t="s">
        <v>2576</v>
      </c>
      <c r="G2058" s="23" t="s">
        <v>32</v>
      </c>
      <c r="H2058" s="22"/>
      <c r="I2058" s="22"/>
      <c r="J2058" s="22" t="s">
        <v>113</v>
      </c>
      <c r="K2058" s="24"/>
      <c r="L2058" s="24"/>
      <c r="M2058" s="25" t="s">
        <v>2577</v>
      </c>
      <c r="N2058" s="22"/>
      <c r="O2058" s="22" t="s">
        <v>2578</v>
      </c>
      <c r="P2058" s="22" t="str">
        <f>HYPERLINK("https://ceds.ed.gov/cedselementdetails.aspx?termid=22268")</f>
        <v>https://ceds.ed.gov/cedselementdetails.aspx?termid=22268</v>
      </c>
      <c r="Q2058" s="22">
        <v>61099</v>
      </c>
    </row>
    <row r="2059" spans="1:17" ht="43.2" x14ac:dyDescent="0.3">
      <c r="A2059" s="22" t="s">
        <v>7779</v>
      </c>
      <c r="B2059" s="22" t="s">
        <v>7830</v>
      </c>
      <c r="C2059" s="22"/>
      <c r="D2059" s="22" t="s">
        <v>7710</v>
      </c>
      <c r="E2059" s="22" t="s">
        <v>3903</v>
      </c>
      <c r="F2059" s="24" t="s">
        <v>3904</v>
      </c>
      <c r="G2059" s="26" t="s">
        <v>22</v>
      </c>
      <c r="H2059" s="22"/>
      <c r="I2059" s="22"/>
      <c r="J2059" s="22"/>
      <c r="K2059" s="24"/>
      <c r="L2059" s="24"/>
      <c r="M2059" s="25" t="s">
        <v>3905</v>
      </c>
      <c r="N2059" s="22"/>
      <c r="O2059" s="22" t="s">
        <v>3906</v>
      </c>
      <c r="P2059" s="22" t="str">
        <f>HYPERLINK("https://ceds.ed.gov/cedselementdetails.aspx?termid=22311")</f>
        <v>https://ceds.ed.gov/cedselementdetails.aspx?termid=22311</v>
      </c>
      <c r="Q2059" s="22">
        <v>61160</v>
      </c>
    </row>
    <row r="2060" spans="1:17" ht="43.2" x14ac:dyDescent="0.3">
      <c r="A2060" s="22" t="s">
        <v>7779</v>
      </c>
      <c r="B2060" s="22" t="s">
        <v>7830</v>
      </c>
      <c r="C2060" s="22"/>
      <c r="D2060" s="22" t="s">
        <v>7710</v>
      </c>
      <c r="E2060" s="22" t="s">
        <v>5534</v>
      </c>
      <c r="F2060" s="24" t="s">
        <v>5535</v>
      </c>
      <c r="G2060" s="26" t="s">
        <v>22</v>
      </c>
      <c r="H2060" s="22"/>
      <c r="I2060" s="22"/>
      <c r="J2060" s="22"/>
      <c r="K2060" s="24"/>
      <c r="L2060" s="24"/>
      <c r="M2060" s="25" t="s">
        <v>5536</v>
      </c>
      <c r="N2060" s="22" t="s">
        <v>5537</v>
      </c>
      <c r="O2060" s="22" t="s">
        <v>5538</v>
      </c>
      <c r="P2060" s="22" t="str">
        <f>HYPERLINK("https://ceds.ed.gov/cedselementdetails.aspx?termid=22382")</f>
        <v>https://ceds.ed.gov/cedselementdetails.aspx?termid=22382</v>
      </c>
      <c r="Q2060" s="22">
        <v>61294</v>
      </c>
    </row>
    <row r="2061" spans="1:17" ht="72" x14ac:dyDescent="0.3">
      <c r="A2061" s="22" t="s">
        <v>7779</v>
      </c>
      <c r="B2061" s="22" t="s">
        <v>7830</v>
      </c>
      <c r="C2061" s="22"/>
      <c r="D2061" s="22" t="s">
        <v>7710</v>
      </c>
      <c r="E2061" s="22" t="s">
        <v>2613</v>
      </c>
      <c r="F2061" s="24" t="s">
        <v>2614</v>
      </c>
      <c r="G2061" s="23" t="s">
        <v>32</v>
      </c>
      <c r="H2061" s="22"/>
      <c r="I2061" s="22"/>
      <c r="J2061" s="22" t="s">
        <v>85</v>
      </c>
      <c r="K2061" s="24"/>
      <c r="L2061" s="24" t="s">
        <v>2615</v>
      </c>
      <c r="M2061" s="25" t="s">
        <v>2616</v>
      </c>
      <c r="N2061" s="22"/>
      <c r="O2061" s="22" t="s">
        <v>2617</v>
      </c>
      <c r="P2061" s="22" t="str">
        <f>HYPERLINK("https://ceds.ed.gov/cedselementdetails.aspx?termid=22272")</f>
        <v>https://ceds.ed.gov/cedselementdetails.aspx?termid=22272</v>
      </c>
      <c r="Q2061" s="22">
        <v>61105</v>
      </c>
    </row>
    <row r="2062" spans="1:17" ht="57.6" x14ac:dyDescent="0.3">
      <c r="A2062" s="22" t="s">
        <v>7779</v>
      </c>
      <c r="B2062" s="22" t="s">
        <v>7830</v>
      </c>
      <c r="C2062" s="22"/>
      <c r="D2062" s="22" t="s">
        <v>7710</v>
      </c>
      <c r="E2062" s="22" t="s">
        <v>7304</v>
      </c>
      <c r="F2062" s="24" t="s">
        <v>7305</v>
      </c>
      <c r="G2062" s="26" t="s">
        <v>22</v>
      </c>
      <c r="H2062" s="22"/>
      <c r="I2062" s="22"/>
      <c r="J2062" s="22"/>
      <c r="K2062" s="24"/>
      <c r="L2062" s="24" t="s">
        <v>7306</v>
      </c>
      <c r="M2062" s="25" t="s">
        <v>7307</v>
      </c>
      <c r="N2062" s="22"/>
      <c r="O2062" s="22" t="s">
        <v>7308</v>
      </c>
      <c r="P2062" s="22" t="str">
        <f>HYPERLINK("https://ceds.ed.gov/cedselementdetails.aspx?termid=22554")</f>
        <v>https://ceds.ed.gov/cedselementdetails.aspx?termid=22554</v>
      </c>
      <c r="Q2062" s="22">
        <v>61931</v>
      </c>
    </row>
    <row r="2063" spans="1:17" ht="302.39999999999998" x14ac:dyDescent="0.3">
      <c r="A2063" s="22" t="s">
        <v>7779</v>
      </c>
      <c r="B2063" s="22" t="s">
        <v>7830</v>
      </c>
      <c r="C2063" s="22"/>
      <c r="D2063" s="22" t="s">
        <v>7710</v>
      </c>
      <c r="E2063" s="22" t="s">
        <v>2654</v>
      </c>
      <c r="F2063" s="24" t="s">
        <v>2655</v>
      </c>
      <c r="G2063" s="26" t="s">
        <v>8422</v>
      </c>
      <c r="H2063" s="22"/>
      <c r="I2063" s="22" t="s">
        <v>172</v>
      </c>
      <c r="J2063" s="22"/>
      <c r="K2063" s="24" t="s">
        <v>7946</v>
      </c>
      <c r="L2063" s="24"/>
      <c r="M2063" s="25" t="s">
        <v>2657</v>
      </c>
      <c r="N2063" s="22"/>
      <c r="O2063" s="22" t="s">
        <v>2658</v>
      </c>
      <c r="P2063" s="22" t="str">
        <f>HYPERLINK("https://ceds.ed.gov/cedselementdetails.aspx?termid=22278")</f>
        <v>https://ceds.ed.gov/cedselementdetails.aspx?termid=22278</v>
      </c>
      <c r="Q2063" s="22">
        <v>63002</v>
      </c>
    </row>
    <row r="2064" spans="1:17" ht="28.8" x14ac:dyDescent="0.3">
      <c r="A2064" s="22" t="s">
        <v>7779</v>
      </c>
      <c r="B2064" s="22" t="s">
        <v>7830</v>
      </c>
      <c r="C2064" s="22"/>
      <c r="D2064" s="22" t="s">
        <v>7741</v>
      </c>
      <c r="E2064" s="22" t="s">
        <v>7947</v>
      </c>
      <c r="F2064" s="24" t="s">
        <v>7948</v>
      </c>
      <c r="G2064" s="23" t="s">
        <v>32</v>
      </c>
      <c r="H2064" s="22"/>
      <c r="I2064" s="22" t="s">
        <v>167</v>
      </c>
      <c r="J2064" s="22" t="s">
        <v>148</v>
      </c>
      <c r="K2064" s="24" t="s">
        <v>7949</v>
      </c>
      <c r="L2064" s="24"/>
      <c r="M2064" s="25" t="s">
        <v>8351</v>
      </c>
      <c r="N2064" s="22"/>
      <c r="O2064" s="22" t="s">
        <v>7950</v>
      </c>
      <c r="P2064" s="22" t="str">
        <f>HYPERLINK("https://ceds.ed.gov/cedselementdetails.aspx?termid=22972")</f>
        <v>https://ceds.ed.gov/cedselementdetails.aspx?termid=22972</v>
      </c>
      <c r="Q2064" s="22">
        <v>63880</v>
      </c>
    </row>
    <row r="2065" spans="1:17" ht="43.2" x14ac:dyDescent="0.3">
      <c r="A2065" s="22" t="s">
        <v>7779</v>
      </c>
      <c r="B2065" s="22" t="s">
        <v>7830</v>
      </c>
      <c r="C2065" s="22"/>
      <c r="D2065" s="22" t="s">
        <v>7741</v>
      </c>
      <c r="E2065" s="22" t="s">
        <v>7951</v>
      </c>
      <c r="F2065" s="24" t="s">
        <v>7952</v>
      </c>
      <c r="G2065" s="26" t="s">
        <v>8376</v>
      </c>
      <c r="H2065" s="22"/>
      <c r="I2065" s="22" t="s">
        <v>167</v>
      </c>
      <c r="J2065" s="22" t="s">
        <v>2</v>
      </c>
      <c r="K2065" s="24" t="s">
        <v>7949</v>
      </c>
      <c r="L2065" s="24"/>
      <c r="M2065" s="25" t="s">
        <v>8352</v>
      </c>
      <c r="N2065" s="22"/>
      <c r="O2065" s="22" t="s">
        <v>7953</v>
      </c>
      <c r="P2065" s="22" t="str">
        <f>HYPERLINK("https://ceds.ed.gov/cedselementdetails.aspx?termid=22973")</f>
        <v>https://ceds.ed.gov/cedselementdetails.aspx?termid=22973</v>
      </c>
      <c r="Q2065" s="22">
        <v>63881</v>
      </c>
    </row>
    <row r="2066" spans="1:17" ht="100.8" x14ac:dyDescent="0.3">
      <c r="A2066" s="22" t="s">
        <v>7779</v>
      </c>
      <c r="B2066" s="22" t="s">
        <v>7830</v>
      </c>
      <c r="C2066" s="22"/>
      <c r="D2066" s="22" t="s">
        <v>7741</v>
      </c>
      <c r="E2066" s="22" t="s">
        <v>8221</v>
      </c>
      <c r="F2066" s="24" t="s">
        <v>8222</v>
      </c>
      <c r="G2066" s="26" t="s">
        <v>22</v>
      </c>
      <c r="H2066" s="22"/>
      <c r="I2066" s="22" t="s">
        <v>167</v>
      </c>
      <c r="J2066" s="22" t="s">
        <v>2</v>
      </c>
      <c r="K2066" s="24" t="s">
        <v>7949</v>
      </c>
      <c r="L2066" s="24"/>
      <c r="M2066" s="25" t="s">
        <v>8368</v>
      </c>
      <c r="N2066" s="22"/>
      <c r="O2066" s="22" t="s">
        <v>8223</v>
      </c>
      <c r="P2066" s="22" t="str">
        <f>HYPERLINK("https://ceds.ed.gov/cedselementdetails.aspx?termid=22989")</f>
        <v>https://ceds.ed.gov/cedselementdetails.aspx?termid=22989</v>
      </c>
      <c r="Q2066" s="22">
        <v>63882</v>
      </c>
    </row>
    <row r="2067" spans="1:17" ht="100.8" x14ac:dyDescent="0.3">
      <c r="A2067" s="22" t="s">
        <v>7779</v>
      </c>
      <c r="B2067" s="22" t="s">
        <v>7830</v>
      </c>
      <c r="C2067" s="22"/>
      <c r="D2067" s="22" t="s">
        <v>7741</v>
      </c>
      <c r="E2067" s="22" t="s">
        <v>8286</v>
      </c>
      <c r="F2067" s="24" t="s">
        <v>8287</v>
      </c>
      <c r="G2067" s="26" t="s">
        <v>22</v>
      </c>
      <c r="H2067" s="22"/>
      <c r="I2067" s="22" t="s">
        <v>167</v>
      </c>
      <c r="J2067" s="22" t="s">
        <v>2</v>
      </c>
      <c r="K2067" s="24" t="s">
        <v>7949</v>
      </c>
      <c r="L2067" s="24"/>
      <c r="M2067" s="25" t="s">
        <v>8370</v>
      </c>
      <c r="N2067" s="22"/>
      <c r="O2067" s="22" t="s">
        <v>8288</v>
      </c>
      <c r="P2067" s="22" t="str">
        <f>HYPERLINK("https://ceds.ed.gov/cedselementdetails.aspx?termid=22991")</f>
        <v>https://ceds.ed.gov/cedselementdetails.aspx?termid=22991</v>
      </c>
      <c r="Q2067" s="22">
        <v>63883</v>
      </c>
    </row>
    <row r="2068" spans="1:17" ht="72" x14ac:dyDescent="0.3">
      <c r="A2068" s="22" t="s">
        <v>7779</v>
      </c>
      <c r="B2068" s="22" t="s">
        <v>7830</v>
      </c>
      <c r="C2068" s="22"/>
      <c r="D2068" s="22" t="s">
        <v>7741</v>
      </c>
      <c r="E2068" s="22" t="s">
        <v>8289</v>
      </c>
      <c r="F2068" s="24" t="s">
        <v>8290</v>
      </c>
      <c r="G2068" s="26" t="s">
        <v>8381</v>
      </c>
      <c r="H2068" s="22"/>
      <c r="I2068" s="22" t="s">
        <v>167</v>
      </c>
      <c r="J2068" s="22" t="s">
        <v>2</v>
      </c>
      <c r="K2068" s="24" t="s">
        <v>7949</v>
      </c>
      <c r="L2068" s="24" t="s">
        <v>8291</v>
      </c>
      <c r="M2068" s="25" t="s">
        <v>8371</v>
      </c>
      <c r="N2068" s="22"/>
      <c r="O2068" s="22" t="s">
        <v>8292</v>
      </c>
      <c r="P2068" s="22" t="str">
        <f>HYPERLINK("https://ceds.ed.gov/cedselementdetails.aspx?termid=22992")</f>
        <v>https://ceds.ed.gov/cedselementdetails.aspx?termid=22992</v>
      </c>
      <c r="Q2068" s="22">
        <v>63884</v>
      </c>
    </row>
    <row r="2069" spans="1:17" ht="172.8" x14ac:dyDescent="0.3">
      <c r="A2069" s="22" t="s">
        <v>7779</v>
      </c>
      <c r="B2069" s="22" t="s">
        <v>7830</v>
      </c>
      <c r="C2069" s="22" t="s">
        <v>7831</v>
      </c>
      <c r="D2069" s="22" t="s">
        <v>7710</v>
      </c>
      <c r="E2069" s="22" t="s">
        <v>2628</v>
      </c>
      <c r="F2069" s="24" t="s">
        <v>2629</v>
      </c>
      <c r="G2069" s="23" t="s">
        <v>32</v>
      </c>
      <c r="H2069" s="24" t="s">
        <v>2632</v>
      </c>
      <c r="I2069" s="22"/>
      <c r="J2069" s="22" t="s">
        <v>132</v>
      </c>
      <c r="K2069" s="24"/>
      <c r="L2069" s="24" t="s">
        <v>7945</v>
      </c>
      <c r="M2069" s="25" t="s">
        <v>2630</v>
      </c>
      <c r="N2069" s="22"/>
      <c r="O2069" s="22" t="s">
        <v>2631</v>
      </c>
      <c r="P2069" s="22" t="str">
        <f>HYPERLINK("https://ceds.ed.gov/cedselementdetails.aspx?termid=21055")</f>
        <v>https://ceds.ed.gov/cedselementdetails.aspx?termid=21055</v>
      </c>
      <c r="Q2069" s="22">
        <v>59943</v>
      </c>
    </row>
    <row r="2070" spans="1:17" ht="144" x14ac:dyDescent="0.3">
      <c r="A2070" s="22" t="s">
        <v>7779</v>
      </c>
      <c r="B2070" s="22" t="s">
        <v>7830</v>
      </c>
      <c r="C2070" s="22" t="s">
        <v>7831</v>
      </c>
      <c r="D2070" s="22" t="s">
        <v>7710</v>
      </c>
      <c r="E2070" s="22" t="s">
        <v>2579</v>
      </c>
      <c r="F2070" s="24" t="s">
        <v>2580</v>
      </c>
      <c r="G2070" s="26" t="s">
        <v>8420</v>
      </c>
      <c r="H2070" s="24" t="s">
        <v>1521</v>
      </c>
      <c r="I2070" s="22" t="s">
        <v>172</v>
      </c>
      <c r="J2070" s="22"/>
      <c r="K2070" s="24" t="s">
        <v>7946</v>
      </c>
      <c r="L2070" s="24"/>
      <c r="M2070" s="25" t="s">
        <v>2582</v>
      </c>
      <c r="N2070" s="22"/>
      <c r="O2070" s="22" t="s">
        <v>2583</v>
      </c>
      <c r="P2070" s="22" t="str">
        <f>HYPERLINK("https://ceds.ed.gov/cedselementdetails.aspx?termid=21056")</f>
        <v>https://ceds.ed.gov/cedselementdetails.aspx?termid=21056</v>
      </c>
      <c r="Q2070" s="22">
        <v>59944</v>
      </c>
    </row>
    <row r="2071" spans="1:17" ht="201.6" x14ac:dyDescent="0.3">
      <c r="A2071" s="22" t="s">
        <v>7779</v>
      </c>
      <c r="B2071" s="22" t="s">
        <v>7830</v>
      </c>
      <c r="C2071" s="22" t="s">
        <v>7831</v>
      </c>
      <c r="D2071" s="22" t="s">
        <v>7710</v>
      </c>
      <c r="E2071" s="22" t="s">
        <v>2746</v>
      </c>
      <c r="F2071" s="24" t="s">
        <v>2747</v>
      </c>
      <c r="G2071" s="23" t="s">
        <v>32</v>
      </c>
      <c r="H2071" s="24" t="s">
        <v>1521</v>
      </c>
      <c r="I2071" s="22"/>
      <c r="J2071" s="22" t="s">
        <v>157</v>
      </c>
      <c r="K2071" s="24"/>
      <c r="L2071" s="24"/>
      <c r="M2071" s="25" t="s">
        <v>2748</v>
      </c>
      <c r="N2071" s="22"/>
      <c r="O2071" s="22" t="s">
        <v>2749</v>
      </c>
      <c r="P2071" s="22" t="str">
        <f>HYPERLINK("https://ceds.ed.gov/cedselementdetails.aspx?termid=21067")</f>
        <v>https://ceds.ed.gov/cedselementdetails.aspx?termid=21067</v>
      </c>
      <c r="Q2071" s="22">
        <v>59947</v>
      </c>
    </row>
    <row r="2072" spans="1:17" ht="100.8" x14ac:dyDescent="0.3">
      <c r="A2072" s="22" t="s">
        <v>7779</v>
      </c>
      <c r="B2072" s="22" t="s">
        <v>7830</v>
      </c>
      <c r="C2072" s="22" t="s">
        <v>7831</v>
      </c>
      <c r="D2072" s="22" t="s">
        <v>7710</v>
      </c>
      <c r="E2072" s="22" t="s">
        <v>6611</v>
      </c>
      <c r="F2072" s="24" t="s">
        <v>6612</v>
      </c>
      <c r="G2072" s="23" t="s">
        <v>32</v>
      </c>
      <c r="H2072" s="24" t="s">
        <v>1521</v>
      </c>
      <c r="I2072" s="22" t="s">
        <v>172</v>
      </c>
      <c r="J2072" s="22" t="s">
        <v>2743</v>
      </c>
      <c r="K2072" s="24" t="s">
        <v>7946</v>
      </c>
      <c r="L2072" s="24" t="s">
        <v>6613</v>
      </c>
      <c r="M2072" s="25" t="s">
        <v>6614</v>
      </c>
      <c r="N2072" s="22" t="s">
        <v>6615</v>
      </c>
      <c r="O2072" s="22" t="s">
        <v>6616</v>
      </c>
      <c r="P2072" s="22" t="str">
        <f>HYPERLINK("https://ceds.ed.gov/cedselementdetails.aspx?termid=21250")</f>
        <v>https://ceds.ed.gov/cedselementdetails.aspx?termid=21250</v>
      </c>
      <c r="Q2072" s="22">
        <v>59013</v>
      </c>
    </row>
    <row r="2073" spans="1:17" ht="28.8" x14ac:dyDescent="0.3">
      <c r="A2073" s="22" t="s">
        <v>7779</v>
      </c>
      <c r="B2073" s="22" t="s">
        <v>7830</v>
      </c>
      <c r="C2073" s="22" t="s">
        <v>7831</v>
      </c>
      <c r="D2073" s="22" t="s">
        <v>7710</v>
      </c>
      <c r="E2073" s="22" t="s">
        <v>2678</v>
      </c>
      <c r="F2073" s="24" t="s">
        <v>2679</v>
      </c>
      <c r="G2073" s="23" t="s">
        <v>32</v>
      </c>
      <c r="H2073" s="22"/>
      <c r="I2073" s="22"/>
      <c r="J2073" s="22" t="s">
        <v>1699</v>
      </c>
      <c r="K2073" s="24"/>
      <c r="L2073" s="24"/>
      <c r="M2073" s="25" t="s">
        <v>2680</v>
      </c>
      <c r="N2073" s="22"/>
      <c r="O2073" s="22" t="s">
        <v>2681</v>
      </c>
      <c r="P2073" s="22" t="str">
        <f>HYPERLINK("https://ceds.ed.gov/cedselementdetails.aspx?termid=22648")</f>
        <v>https://ceds.ed.gov/cedselementdetails.aspx?termid=22648</v>
      </c>
      <c r="Q2073" s="22">
        <v>62881</v>
      </c>
    </row>
    <row r="2074" spans="1:17" ht="302.39999999999998" x14ac:dyDescent="0.3">
      <c r="A2074" s="22" t="s">
        <v>7779</v>
      </c>
      <c r="B2074" s="22" t="s">
        <v>7830</v>
      </c>
      <c r="C2074" s="22" t="s">
        <v>7831</v>
      </c>
      <c r="D2074" s="22" t="s">
        <v>7710</v>
      </c>
      <c r="E2074" s="22" t="s">
        <v>2650</v>
      </c>
      <c r="F2074" s="24" t="s">
        <v>2651</v>
      </c>
      <c r="G2074" s="26" t="s">
        <v>8757</v>
      </c>
      <c r="H2074" s="24" t="s">
        <v>2632</v>
      </c>
      <c r="I2074" s="22"/>
      <c r="J2074" s="22"/>
      <c r="K2074" s="24"/>
      <c r="L2074" s="24"/>
      <c r="M2074" s="25" t="s">
        <v>2652</v>
      </c>
      <c r="N2074" s="22"/>
      <c r="O2074" s="22" t="s">
        <v>2653</v>
      </c>
      <c r="P2074" s="22" t="str">
        <f>HYPERLINK("https://ceds.ed.gov/cedselementdetails.aspx?termid=21061")</f>
        <v>https://ceds.ed.gov/cedselementdetails.aspx?termid=21061</v>
      </c>
      <c r="Q2074" s="22">
        <v>59946</v>
      </c>
    </row>
    <row r="2075" spans="1:17" ht="302.39999999999998" x14ac:dyDescent="0.3">
      <c r="A2075" s="22" t="s">
        <v>7779</v>
      </c>
      <c r="B2075" s="22" t="s">
        <v>7830</v>
      </c>
      <c r="C2075" s="22" t="s">
        <v>7831</v>
      </c>
      <c r="D2075" s="22" t="s">
        <v>7710</v>
      </c>
      <c r="E2075" s="22" t="s">
        <v>2970</v>
      </c>
      <c r="F2075" s="24" t="s">
        <v>2971</v>
      </c>
      <c r="G2075" s="26" t="s">
        <v>8777</v>
      </c>
      <c r="H2075" s="24" t="s">
        <v>64</v>
      </c>
      <c r="I2075" s="22"/>
      <c r="J2075" s="22"/>
      <c r="K2075" s="24"/>
      <c r="L2075" s="24"/>
      <c r="M2075" s="25" t="s">
        <v>2973</v>
      </c>
      <c r="N2075" s="22"/>
      <c r="O2075" s="22" t="s">
        <v>2974</v>
      </c>
      <c r="P2075" s="22" t="str">
        <f>HYPERLINK("https://ceds.ed.gov/cedselementdetails.aspx?termid=21072")</f>
        <v>https://ceds.ed.gov/cedselementdetails.aspx?termid=21072</v>
      </c>
      <c r="Q2075" s="22">
        <v>59948</v>
      </c>
    </row>
    <row r="2076" spans="1:17" ht="129.6" x14ac:dyDescent="0.3">
      <c r="A2076" s="22" t="s">
        <v>7779</v>
      </c>
      <c r="B2076" s="22" t="s">
        <v>7830</v>
      </c>
      <c r="C2076" s="22" t="s">
        <v>7831</v>
      </c>
      <c r="D2076" s="22" t="s">
        <v>7710</v>
      </c>
      <c r="E2076" s="22" t="s">
        <v>1515</v>
      </c>
      <c r="F2076" s="24" t="s">
        <v>1516</v>
      </c>
      <c r="G2076" s="23" t="s">
        <v>32</v>
      </c>
      <c r="H2076" s="24" t="s">
        <v>1521</v>
      </c>
      <c r="I2076" s="22"/>
      <c r="J2076" s="22" t="s">
        <v>1518</v>
      </c>
      <c r="K2076" s="24"/>
      <c r="L2076" s="24"/>
      <c r="M2076" s="25" t="s">
        <v>1519</v>
      </c>
      <c r="N2076" s="22"/>
      <c r="O2076" s="22" t="s">
        <v>1520</v>
      </c>
      <c r="P2076" s="22" t="str">
        <f>HYPERLINK("https://ceds.ed.gov/cedselementdetails.aspx?termid=21030")</f>
        <v>https://ceds.ed.gov/cedselementdetails.aspx?termid=21030</v>
      </c>
      <c r="Q2076" s="22">
        <v>59942</v>
      </c>
    </row>
    <row r="2077" spans="1:17" ht="100.8" x14ac:dyDescent="0.3">
      <c r="A2077" s="22" t="s">
        <v>7779</v>
      </c>
      <c r="B2077" s="22" t="s">
        <v>7830</v>
      </c>
      <c r="C2077" s="22" t="s">
        <v>7831</v>
      </c>
      <c r="D2077" s="22" t="s">
        <v>7710</v>
      </c>
      <c r="E2077" s="22" t="s">
        <v>4297</v>
      </c>
      <c r="F2077" s="24" t="s">
        <v>4298</v>
      </c>
      <c r="G2077" s="26" t="s">
        <v>22</v>
      </c>
      <c r="H2077" s="24" t="s">
        <v>1521</v>
      </c>
      <c r="I2077" s="22"/>
      <c r="J2077" s="22"/>
      <c r="K2077" s="24"/>
      <c r="L2077" s="24"/>
      <c r="M2077" s="25" t="s">
        <v>4300</v>
      </c>
      <c r="N2077" s="22"/>
      <c r="O2077" s="22" t="s">
        <v>4301</v>
      </c>
      <c r="P2077" s="22" t="str">
        <f>HYPERLINK("https://ceds.ed.gov/cedselementdetails.aspx?termid=21137")</f>
        <v>https://ceds.ed.gov/cedselementdetails.aspx?termid=21137</v>
      </c>
      <c r="Q2077" s="22">
        <v>59955</v>
      </c>
    </row>
    <row r="2078" spans="1:17" ht="43.2" x14ac:dyDescent="0.3">
      <c r="A2078" s="22" t="s">
        <v>7779</v>
      </c>
      <c r="B2078" s="22" t="s">
        <v>7830</v>
      </c>
      <c r="C2078" s="22" t="s">
        <v>7831</v>
      </c>
      <c r="D2078" s="22" t="s">
        <v>7710</v>
      </c>
      <c r="E2078" s="22" t="s">
        <v>6415</v>
      </c>
      <c r="F2078" s="24" t="s">
        <v>6416</v>
      </c>
      <c r="G2078" s="23" t="s">
        <v>32</v>
      </c>
      <c r="H2078" s="22"/>
      <c r="I2078" s="22"/>
      <c r="J2078" s="22" t="s">
        <v>157</v>
      </c>
      <c r="K2078" s="24"/>
      <c r="L2078" s="24"/>
      <c r="M2078" s="25" t="s">
        <v>6417</v>
      </c>
      <c r="N2078" s="22" t="s">
        <v>6418</v>
      </c>
      <c r="O2078" s="22" t="s">
        <v>6419</v>
      </c>
      <c r="P2078" s="22" t="str">
        <f>HYPERLINK("https://ceds.ed.gov/cedselementdetails.aspx?termid=21231")</f>
        <v>https://ceds.ed.gov/cedselementdetails.aspx?termid=21231</v>
      </c>
      <c r="Q2078" s="22">
        <v>59009</v>
      </c>
    </row>
    <row r="2079" spans="1:17" ht="409.6" x14ac:dyDescent="0.3">
      <c r="A2079" s="22" t="s">
        <v>7779</v>
      </c>
      <c r="B2079" s="22" t="s">
        <v>7830</v>
      </c>
      <c r="C2079" s="22" t="s">
        <v>7831</v>
      </c>
      <c r="D2079" s="22" t="s">
        <v>7710</v>
      </c>
      <c r="E2079" s="22" t="s">
        <v>2682</v>
      </c>
      <c r="F2079" s="24" t="s">
        <v>2683</v>
      </c>
      <c r="G2079" s="26" t="s">
        <v>8402</v>
      </c>
      <c r="H2079" s="24" t="s">
        <v>2687</v>
      </c>
      <c r="I2079" s="22" t="s">
        <v>172</v>
      </c>
      <c r="J2079" s="22"/>
      <c r="K2079" s="24" t="s">
        <v>7995</v>
      </c>
      <c r="L2079" s="24"/>
      <c r="M2079" s="25" t="s">
        <v>2685</v>
      </c>
      <c r="N2079" s="22"/>
      <c r="O2079" s="22" t="s">
        <v>2686</v>
      </c>
      <c r="P2079" s="22" t="str">
        <f>HYPERLINK("https://ceds.ed.gov/cedselementdetails.aspx?termid=21027")</f>
        <v>https://ceds.ed.gov/cedselementdetails.aspx?termid=21027</v>
      </c>
      <c r="Q2079" s="22">
        <v>59186</v>
      </c>
    </row>
    <row r="2080" spans="1:17" ht="28.8" x14ac:dyDescent="0.3">
      <c r="A2080" s="22" t="s">
        <v>7779</v>
      </c>
      <c r="B2080" s="22" t="s">
        <v>7830</v>
      </c>
      <c r="C2080" s="22" t="s">
        <v>7831</v>
      </c>
      <c r="D2080" s="22" t="s">
        <v>7710</v>
      </c>
      <c r="E2080" s="22" t="s">
        <v>2595</v>
      </c>
      <c r="F2080" s="24" t="s">
        <v>2596</v>
      </c>
      <c r="G2080" s="23" t="s">
        <v>32</v>
      </c>
      <c r="H2080" s="22"/>
      <c r="I2080" s="22"/>
      <c r="J2080" s="22" t="s">
        <v>157</v>
      </c>
      <c r="K2080" s="24"/>
      <c r="L2080" s="24"/>
      <c r="M2080" s="25" t="s">
        <v>2598</v>
      </c>
      <c r="N2080" s="22"/>
      <c r="O2080" s="22" t="s">
        <v>2599</v>
      </c>
      <c r="P2080" s="22" t="str">
        <f>HYPERLINK("https://ceds.ed.gov/cedselementdetails.aspx?termid=22525")</f>
        <v>https://ceds.ed.gov/cedselementdetails.aspx?termid=22525</v>
      </c>
      <c r="Q2080" s="22">
        <v>61833</v>
      </c>
    </row>
    <row r="2081" spans="1:17" ht="43.2" x14ac:dyDescent="0.3">
      <c r="A2081" s="22" t="s">
        <v>7779</v>
      </c>
      <c r="B2081" s="22" t="s">
        <v>7830</v>
      </c>
      <c r="C2081" s="22" t="s">
        <v>7831</v>
      </c>
      <c r="D2081" s="22" t="s">
        <v>7741</v>
      </c>
      <c r="E2081" s="22" t="s">
        <v>8059</v>
      </c>
      <c r="F2081" s="24" t="s">
        <v>8060</v>
      </c>
      <c r="G2081" s="26" t="s">
        <v>22</v>
      </c>
      <c r="H2081" s="22"/>
      <c r="I2081" s="22" t="s">
        <v>167</v>
      </c>
      <c r="J2081" s="22" t="s">
        <v>2</v>
      </c>
      <c r="K2081" s="24" t="s">
        <v>7949</v>
      </c>
      <c r="L2081" s="24" t="s">
        <v>8061</v>
      </c>
      <c r="M2081" s="25" t="s">
        <v>8354</v>
      </c>
      <c r="N2081" s="22"/>
      <c r="O2081" s="22" t="s">
        <v>8062</v>
      </c>
      <c r="P2081" s="22" t="str">
        <f>HYPERLINK("https://ceds.ed.gov/cedselementdetails.aspx?termid=22975")</f>
        <v>https://ceds.ed.gov/cedselementdetails.aspx?termid=22975</v>
      </c>
      <c r="Q2081" s="22">
        <v>63885</v>
      </c>
    </row>
    <row r="2082" spans="1:17" ht="172.8" x14ac:dyDescent="0.3">
      <c r="A2082" s="22" t="s">
        <v>7779</v>
      </c>
      <c r="B2082" s="22" t="s">
        <v>7830</v>
      </c>
      <c r="C2082" s="22" t="s">
        <v>7755</v>
      </c>
      <c r="D2082" s="22" t="s">
        <v>7710</v>
      </c>
      <c r="E2082" s="22" t="s">
        <v>7040</v>
      </c>
      <c r="F2082" s="24" t="s">
        <v>7041</v>
      </c>
      <c r="G2082" s="23" t="s">
        <v>32</v>
      </c>
      <c r="H2082" s="24" t="s">
        <v>7039</v>
      </c>
      <c r="I2082" s="22" t="s">
        <v>172</v>
      </c>
      <c r="J2082" s="22" t="s">
        <v>132</v>
      </c>
      <c r="K2082" s="24" t="s">
        <v>7946</v>
      </c>
      <c r="L2082" s="24" t="s">
        <v>7945</v>
      </c>
      <c r="M2082" s="25" t="s">
        <v>7042</v>
      </c>
      <c r="N2082" s="22"/>
      <c r="O2082" s="22" t="s">
        <v>7043</v>
      </c>
      <c r="P2082" s="22" t="str">
        <f>HYPERLINK("https://ceds.ed.gov/cedselementdetails.aspx?termid=21157")</f>
        <v>https://ceds.ed.gov/cedselementdetails.aspx?termid=21157</v>
      </c>
      <c r="Q2082" s="22">
        <v>59957</v>
      </c>
    </row>
    <row r="2083" spans="1:17" ht="144" x14ac:dyDescent="0.3">
      <c r="A2083" s="22" t="s">
        <v>7779</v>
      </c>
      <c r="B2083" s="22" t="s">
        <v>7830</v>
      </c>
      <c r="C2083" s="22" t="s">
        <v>7755</v>
      </c>
      <c r="D2083" s="22" t="s">
        <v>7710</v>
      </c>
      <c r="E2083" s="22" t="s">
        <v>7035</v>
      </c>
      <c r="F2083" s="24" t="s">
        <v>7036</v>
      </c>
      <c r="G2083" s="26" t="s">
        <v>8540</v>
      </c>
      <c r="H2083" s="24" t="s">
        <v>7039</v>
      </c>
      <c r="I2083" s="22" t="s">
        <v>172</v>
      </c>
      <c r="J2083" s="22"/>
      <c r="K2083" s="24" t="s">
        <v>7946</v>
      </c>
      <c r="L2083" s="24"/>
      <c r="M2083" s="25" t="s">
        <v>7037</v>
      </c>
      <c r="N2083" s="22"/>
      <c r="O2083" s="22" t="s">
        <v>7038</v>
      </c>
      <c r="P2083" s="22" t="str">
        <f>HYPERLINK("https://ceds.ed.gov/cedselementdetails.aspx?termid=21163")</f>
        <v>https://ceds.ed.gov/cedselementdetails.aspx?termid=21163</v>
      </c>
      <c r="Q2083" s="22">
        <v>59959</v>
      </c>
    </row>
    <row r="2084" spans="1:17" ht="172.8" x14ac:dyDescent="0.3">
      <c r="A2084" s="22" t="s">
        <v>7779</v>
      </c>
      <c r="B2084" s="22" t="s">
        <v>7830</v>
      </c>
      <c r="C2084" s="22" t="s">
        <v>7755</v>
      </c>
      <c r="D2084" s="22" t="s">
        <v>7710</v>
      </c>
      <c r="E2084" s="22" t="s">
        <v>3585</v>
      </c>
      <c r="F2084" s="24" t="s">
        <v>3586</v>
      </c>
      <c r="G2084" s="23" t="s">
        <v>32</v>
      </c>
      <c r="H2084" s="24" t="s">
        <v>3589</v>
      </c>
      <c r="I2084" s="22" t="s">
        <v>172</v>
      </c>
      <c r="J2084" s="22" t="s">
        <v>118</v>
      </c>
      <c r="K2084" s="24" t="s">
        <v>7946</v>
      </c>
      <c r="L2084" s="24"/>
      <c r="M2084" s="25" t="s">
        <v>3587</v>
      </c>
      <c r="N2084" s="22"/>
      <c r="O2084" s="22" t="s">
        <v>3588</v>
      </c>
      <c r="P2084" s="22" t="str">
        <f>HYPERLINK("https://ceds.ed.gov/cedselementdetails.aspx?termid=21097")</f>
        <v>https://ceds.ed.gov/cedselementdetails.aspx?termid=21097</v>
      </c>
      <c r="Q2084" s="22">
        <v>59950</v>
      </c>
    </row>
    <row r="2085" spans="1:17" ht="43.2" x14ac:dyDescent="0.3">
      <c r="A2085" s="22" t="s">
        <v>7779</v>
      </c>
      <c r="B2085" s="22" t="s">
        <v>7830</v>
      </c>
      <c r="C2085" s="22" t="s">
        <v>7755</v>
      </c>
      <c r="D2085" s="22" t="s">
        <v>7710</v>
      </c>
      <c r="E2085" s="22" t="s">
        <v>2703</v>
      </c>
      <c r="F2085" s="24" t="s">
        <v>2704</v>
      </c>
      <c r="G2085" s="26" t="s">
        <v>8760</v>
      </c>
      <c r="H2085" s="22" t="s">
        <v>2707</v>
      </c>
      <c r="I2085" s="22"/>
      <c r="J2085" s="22"/>
      <c r="K2085" s="24"/>
      <c r="L2085" s="24"/>
      <c r="M2085" s="25" t="s">
        <v>2705</v>
      </c>
      <c r="N2085" s="22"/>
      <c r="O2085" s="22" t="s">
        <v>2706</v>
      </c>
      <c r="P2085" s="22" t="str">
        <f>HYPERLINK("https://ceds.ed.gov/cedselementdetails.aspx?termid=21652")</f>
        <v>https://ceds.ed.gov/cedselementdetails.aspx?termid=21652</v>
      </c>
      <c r="Q2085" s="22">
        <v>59033</v>
      </c>
    </row>
    <row r="2086" spans="1:17" ht="129.6" x14ac:dyDescent="0.3">
      <c r="A2086" s="22" t="s">
        <v>7779</v>
      </c>
      <c r="B2086" s="22" t="s">
        <v>7830</v>
      </c>
      <c r="C2086" s="22" t="s">
        <v>7755</v>
      </c>
      <c r="D2086" s="22" t="s">
        <v>7710</v>
      </c>
      <c r="E2086" s="22" t="s">
        <v>2708</v>
      </c>
      <c r="F2086" s="24" t="s">
        <v>2709</v>
      </c>
      <c r="G2086" s="26" t="s">
        <v>8761</v>
      </c>
      <c r="H2086" s="22" t="s">
        <v>2707</v>
      </c>
      <c r="I2086" s="22"/>
      <c r="J2086" s="22"/>
      <c r="K2086" s="24"/>
      <c r="L2086" s="24"/>
      <c r="M2086" s="25" t="s">
        <v>2710</v>
      </c>
      <c r="N2086" s="22"/>
      <c r="O2086" s="22" t="s">
        <v>2711</v>
      </c>
      <c r="P2086" s="22" t="str">
        <f>HYPERLINK("https://ceds.ed.gov/cedselementdetails.aspx?termid=21654")</f>
        <v>https://ceds.ed.gov/cedselementdetails.aspx?termid=21654</v>
      </c>
      <c r="Q2086" s="22">
        <v>59035</v>
      </c>
    </row>
    <row r="2087" spans="1:17" ht="57.6" x14ac:dyDescent="0.3">
      <c r="A2087" s="22" t="s">
        <v>7779</v>
      </c>
      <c r="B2087" s="22" t="s">
        <v>7830</v>
      </c>
      <c r="C2087" s="22" t="s">
        <v>7755</v>
      </c>
      <c r="D2087" s="22" t="s">
        <v>7710</v>
      </c>
      <c r="E2087" s="22" t="s">
        <v>2712</v>
      </c>
      <c r="F2087" s="24" t="s">
        <v>2713</v>
      </c>
      <c r="G2087" s="23" t="s">
        <v>32</v>
      </c>
      <c r="H2087" s="22" t="s">
        <v>2707</v>
      </c>
      <c r="I2087" s="22"/>
      <c r="J2087" s="22" t="s">
        <v>118</v>
      </c>
      <c r="K2087" s="24"/>
      <c r="L2087" s="24" t="s">
        <v>143</v>
      </c>
      <c r="M2087" s="25" t="s">
        <v>2714</v>
      </c>
      <c r="N2087" s="22"/>
      <c r="O2087" s="22" t="s">
        <v>2715</v>
      </c>
      <c r="P2087" s="22" t="str">
        <f>HYPERLINK("https://ceds.ed.gov/cedselementdetails.aspx?termid=21653")</f>
        <v>https://ceds.ed.gov/cedselementdetails.aspx?termid=21653</v>
      </c>
      <c r="Q2087" s="22">
        <v>59034</v>
      </c>
    </row>
    <row r="2088" spans="1:17" ht="43.2" x14ac:dyDescent="0.3">
      <c r="A2088" s="22" t="s">
        <v>7779</v>
      </c>
      <c r="B2088" s="22" t="s">
        <v>7830</v>
      </c>
      <c r="C2088" s="22" t="s">
        <v>7755</v>
      </c>
      <c r="D2088" s="22" t="s">
        <v>7710</v>
      </c>
      <c r="E2088" s="22" t="s">
        <v>3620</v>
      </c>
      <c r="F2088" s="24" t="s">
        <v>3621</v>
      </c>
      <c r="G2088" s="26" t="s">
        <v>8434</v>
      </c>
      <c r="H2088" s="22" t="s">
        <v>2707</v>
      </c>
      <c r="I2088" s="22" t="s">
        <v>172</v>
      </c>
      <c r="J2088" s="22"/>
      <c r="K2088" s="24" t="s">
        <v>7946</v>
      </c>
      <c r="L2088" s="24"/>
      <c r="M2088" s="25" t="s">
        <v>3623</v>
      </c>
      <c r="N2088" s="22"/>
      <c r="O2088" s="22" t="s">
        <v>3624</v>
      </c>
      <c r="P2088" s="22" t="str">
        <f>HYPERLINK("https://ceds.ed.gov/cedselementdetails.aspx?termid=21108")</f>
        <v>https://ceds.ed.gov/cedselementdetails.aspx?termid=21108</v>
      </c>
      <c r="Q2088" s="22">
        <v>59952</v>
      </c>
    </row>
    <row r="2089" spans="1:17" ht="331.2" x14ac:dyDescent="0.3">
      <c r="A2089" s="22" t="s">
        <v>7779</v>
      </c>
      <c r="B2089" s="22" t="s">
        <v>7830</v>
      </c>
      <c r="C2089" s="22" t="s">
        <v>7755</v>
      </c>
      <c r="D2089" s="22" t="s">
        <v>7710</v>
      </c>
      <c r="E2089" s="22" t="s">
        <v>4194</v>
      </c>
      <c r="F2089" s="24" t="s">
        <v>4195</v>
      </c>
      <c r="G2089" s="26" t="s">
        <v>8433</v>
      </c>
      <c r="H2089" s="24" t="s">
        <v>64</v>
      </c>
      <c r="I2089" s="22" t="s">
        <v>172</v>
      </c>
      <c r="J2089" s="22"/>
      <c r="K2089" s="24" t="s">
        <v>7995</v>
      </c>
      <c r="L2089" s="24"/>
      <c r="M2089" s="25" t="s">
        <v>4197</v>
      </c>
      <c r="N2089" s="22"/>
      <c r="O2089" s="22" t="s">
        <v>4198</v>
      </c>
      <c r="P2089" s="22" t="str">
        <f>HYPERLINK("https://ceds.ed.gov/cedselementdetails.aspx?termid=21125")</f>
        <v>https://ceds.ed.gov/cedselementdetails.aspx?termid=21125</v>
      </c>
      <c r="Q2089" s="22">
        <v>59954</v>
      </c>
    </row>
    <row r="2090" spans="1:17" ht="115.2" x14ac:dyDescent="0.3">
      <c r="A2090" s="22" t="s">
        <v>7779</v>
      </c>
      <c r="B2090" s="22" t="s">
        <v>7830</v>
      </c>
      <c r="C2090" s="22" t="s">
        <v>7755</v>
      </c>
      <c r="D2090" s="22" t="s">
        <v>7710</v>
      </c>
      <c r="E2090" s="22" t="s">
        <v>2694</v>
      </c>
      <c r="F2090" s="24" t="s">
        <v>2695</v>
      </c>
      <c r="G2090" s="23" t="s">
        <v>32</v>
      </c>
      <c r="H2090" s="22"/>
      <c r="I2090" s="22" t="s">
        <v>172</v>
      </c>
      <c r="J2090" s="22" t="s">
        <v>118</v>
      </c>
      <c r="K2090" s="24" t="s">
        <v>7946</v>
      </c>
      <c r="L2090" s="24" t="s">
        <v>2696</v>
      </c>
      <c r="M2090" s="25" t="s">
        <v>2697</v>
      </c>
      <c r="N2090" s="22"/>
      <c r="O2090" s="22" t="s">
        <v>2698</v>
      </c>
      <c r="P2090" s="22" t="str">
        <f>HYPERLINK("https://ceds.ed.gov/cedselementdetails.aspx?termid=21975")</f>
        <v>https://ceds.ed.gov/cedselementdetails.aspx?termid=21975</v>
      </c>
      <c r="Q2090" s="22">
        <v>59426</v>
      </c>
    </row>
    <row r="2091" spans="1:17" ht="172.8" x14ac:dyDescent="0.3">
      <c r="A2091" s="22" t="s">
        <v>7779</v>
      </c>
      <c r="B2091" s="22" t="s">
        <v>7830</v>
      </c>
      <c r="C2091" s="22" t="s">
        <v>7755</v>
      </c>
      <c r="D2091" s="22" t="s">
        <v>7710</v>
      </c>
      <c r="E2091" s="22" t="s">
        <v>2688</v>
      </c>
      <c r="F2091" s="24" t="s">
        <v>2689</v>
      </c>
      <c r="G2091" s="23" t="s">
        <v>32</v>
      </c>
      <c r="H2091" s="22"/>
      <c r="I2091" s="22" t="s">
        <v>172</v>
      </c>
      <c r="J2091" s="22" t="s">
        <v>118</v>
      </c>
      <c r="K2091" s="24" t="s">
        <v>7946</v>
      </c>
      <c r="L2091" s="24" t="s">
        <v>2691</v>
      </c>
      <c r="M2091" s="25" t="s">
        <v>2692</v>
      </c>
      <c r="N2091" s="22"/>
      <c r="O2091" s="22" t="s">
        <v>2693</v>
      </c>
      <c r="P2091" s="22" t="str">
        <f>HYPERLINK("https://ceds.ed.gov/cedselementdetails.aspx?termid=21976")</f>
        <v>https://ceds.ed.gov/cedselementdetails.aspx?termid=21976</v>
      </c>
      <c r="Q2091" s="22">
        <v>59427</v>
      </c>
    </row>
    <row r="2092" spans="1:17" ht="115.2" x14ac:dyDescent="0.3">
      <c r="A2092" s="22" t="s">
        <v>7779</v>
      </c>
      <c r="B2092" s="22" t="s">
        <v>7830</v>
      </c>
      <c r="C2092" s="22" t="s">
        <v>7755</v>
      </c>
      <c r="D2092" s="22" t="s">
        <v>7710</v>
      </c>
      <c r="E2092" s="22" t="s">
        <v>2699</v>
      </c>
      <c r="F2092" s="24" t="s">
        <v>2700</v>
      </c>
      <c r="G2092" s="26" t="s">
        <v>8759</v>
      </c>
      <c r="H2092" s="22"/>
      <c r="I2092" s="22"/>
      <c r="J2092" s="22"/>
      <c r="K2092" s="24"/>
      <c r="L2092" s="24" t="s">
        <v>2696</v>
      </c>
      <c r="M2092" s="25" t="s">
        <v>2701</v>
      </c>
      <c r="N2092" s="22"/>
      <c r="O2092" s="22" t="s">
        <v>2702</v>
      </c>
      <c r="P2092" s="22" t="str">
        <f>HYPERLINK("https://ceds.ed.gov/cedselementdetails.aspx?termid=21977")</f>
        <v>https://ceds.ed.gov/cedselementdetails.aspx?termid=21977</v>
      </c>
      <c r="Q2092" s="22">
        <v>59428</v>
      </c>
    </row>
    <row r="2093" spans="1:17" ht="230.4" x14ac:dyDescent="0.3">
      <c r="A2093" s="22" t="s">
        <v>7779</v>
      </c>
      <c r="B2093" s="22" t="s">
        <v>7830</v>
      </c>
      <c r="C2093" s="22" t="s">
        <v>7755</v>
      </c>
      <c r="D2093" s="22" t="s">
        <v>7710</v>
      </c>
      <c r="E2093" s="22" t="s">
        <v>5612</v>
      </c>
      <c r="F2093" s="24" t="s">
        <v>5613</v>
      </c>
      <c r="G2093" s="23" t="s">
        <v>32</v>
      </c>
      <c r="H2093" s="24" t="s">
        <v>5616</v>
      </c>
      <c r="I2093" s="22" t="s">
        <v>172</v>
      </c>
      <c r="J2093" s="22" t="s">
        <v>1518</v>
      </c>
      <c r="K2093" s="24" t="s">
        <v>7946</v>
      </c>
      <c r="L2093" s="24" t="s">
        <v>8258</v>
      </c>
      <c r="M2093" s="25" t="s">
        <v>5614</v>
      </c>
      <c r="N2093" s="22"/>
      <c r="O2093" s="22" t="s">
        <v>5615</v>
      </c>
      <c r="P2093" s="22" t="str">
        <f>HYPERLINK("https://ceds.ed.gov/cedselementdetails.aspx?termid=21202")</f>
        <v>https://ceds.ed.gov/cedselementdetails.aspx?termid=21202</v>
      </c>
      <c r="Q2093" s="22">
        <v>59008</v>
      </c>
    </row>
    <row r="2094" spans="1:17" ht="100.8" x14ac:dyDescent="0.3">
      <c r="A2094" s="22" t="s">
        <v>7779</v>
      </c>
      <c r="B2094" s="22" t="s">
        <v>7830</v>
      </c>
      <c r="C2094" s="22" t="s">
        <v>7755</v>
      </c>
      <c r="D2094" s="22" t="s">
        <v>7710</v>
      </c>
      <c r="E2094" s="22" t="s">
        <v>5603</v>
      </c>
      <c r="F2094" s="24" t="s">
        <v>5604</v>
      </c>
      <c r="G2094" s="23" t="s">
        <v>32</v>
      </c>
      <c r="H2094" s="24" t="s">
        <v>5607</v>
      </c>
      <c r="I2094" s="22" t="s">
        <v>172</v>
      </c>
      <c r="J2094" s="22" t="s">
        <v>1518</v>
      </c>
      <c r="K2094" s="24" t="s">
        <v>7946</v>
      </c>
      <c r="L2094" s="24"/>
      <c r="M2094" s="25" t="s">
        <v>5605</v>
      </c>
      <c r="N2094" s="22"/>
      <c r="O2094" s="22" t="s">
        <v>5606</v>
      </c>
      <c r="P2094" s="22" t="str">
        <f>HYPERLINK("https://ceds.ed.gov/cedselementdetails.aspx?termid=21201")</f>
        <v>https://ceds.ed.gov/cedselementdetails.aspx?termid=21201</v>
      </c>
      <c r="Q2094" s="22">
        <v>59007</v>
      </c>
    </row>
    <row r="2095" spans="1:17" ht="72" x14ac:dyDescent="0.3">
      <c r="A2095" s="22" t="s">
        <v>7779</v>
      </c>
      <c r="B2095" s="22" t="s">
        <v>7830</v>
      </c>
      <c r="C2095" s="22" t="s">
        <v>7755</v>
      </c>
      <c r="D2095" s="22" t="s">
        <v>7710</v>
      </c>
      <c r="E2095" s="22" t="s">
        <v>5595</v>
      </c>
      <c r="F2095" s="24" t="s">
        <v>5596</v>
      </c>
      <c r="G2095" s="23" t="s">
        <v>32</v>
      </c>
      <c r="H2095" s="24" t="s">
        <v>64</v>
      </c>
      <c r="I2095" s="22"/>
      <c r="J2095" s="22" t="s">
        <v>1518</v>
      </c>
      <c r="K2095" s="24"/>
      <c r="L2095" s="24"/>
      <c r="M2095" s="25" t="s">
        <v>5597</v>
      </c>
      <c r="N2095" s="22"/>
      <c r="O2095" s="22" t="s">
        <v>5598</v>
      </c>
      <c r="P2095" s="22" t="str">
        <f>HYPERLINK("https://ceds.ed.gov/cedselementdetails.aspx?termid=21199")</f>
        <v>https://ceds.ed.gov/cedselementdetails.aspx?termid=21199</v>
      </c>
      <c r="Q2095" s="22">
        <v>59005</v>
      </c>
    </row>
    <row r="2096" spans="1:17" ht="100.8" x14ac:dyDescent="0.3">
      <c r="A2096" s="22" t="s">
        <v>7779</v>
      </c>
      <c r="B2096" s="22" t="s">
        <v>7830</v>
      </c>
      <c r="C2096" s="22" t="s">
        <v>7755</v>
      </c>
      <c r="D2096" s="22" t="s">
        <v>7710</v>
      </c>
      <c r="E2096" s="22" t="s">
        <v>5599</v>
      </c>
      <c r="F2096" s="24" t="s">
        <v>5600</v>
      </c>
      <c r="G2096" s="23" t="s">
        <v>32</v>
      </c>
      <c r="H2096" s="24" t="s">
        <v>5342</v>
      </c>
      <c r="I2096" s="22"/>
      <c r="J2096" s="22" t="s">
        <v>1518</v>
      </c>
      <c r="K2096" s="24"/>
      <c r="L2096" s="24"/>
      <c r="M2096" s="25" t="s">
        <v>5601</v>
      </c>
      <c r="N2096" s="22"/>
      <c r="O2096" s="22" t="s">
        <v>5602</v>
      </c>
      <c r="P2096" s="22" t="str">
        <f>HYPERLINK("https://ceds.ed.gov/cedselementdetails.aspx?termid=21200")</f>
        <v>https://ceds.ed.gov/cedselementdetails.aspx?termid=21200</v>
      </c>
      <c r="Q2096" s="22">
        <v>59006</v>
      </c>
    </row>
    <row r="2097" spans="1:17" ht="144" x14ac:dyDescent="0.3">
      <c r="A2097" s="22" t="s">
        <v>7779</v>
      </c>
      <c r="B2097" s="22" t="s">
        <v>7830</v>
      </c>
      <c r="C2097" s="22" t="s">
        <v>7755</v>
      </c>
      <c r="D2097" s="22" t="s">
        <v>7710</v>
      </c>
      <c r="E2097" s="22" t="s">
        <v>6447</v>
      </c>
      <c r="F2097" s="24" t="s">
        <v>6448</v>
      </c>
      <c r="G2097" s="26" t="s">
        <v>8512</v>
      </c>
      <c r="H2097" s="22" t="s">
        <v>226</v>
      </c>
      <c r="I2097" s="22"/>
      <c r="J2097" s="22"/>
      <c r="K2097" s="24"/>
      <c r="L2097" s="24"/>
      <c r="M2097" s="25" t="s">
        <v>6449</v>
      </c>
      <c r="N2097" s="22"/>
      <c r="O2097" s="22" t="s">
        <v>6450</v>
      </c>
      <c r="P2097" s="22" t="str">
        <f>HYPERLINK("https://ceds.ed.gov/cedselementdetails.aspx?termid=21587")</f>
        <v>https://ceds.ed.gov/cedselementdetails.aspx?termid=21587</v>
      </c>
      <c r="Q2097" s="22">
        <v>61373</v>
      </c>
    </row>
    <row r="2098" spans="1:17" ht="144" x14ac:dyDescent="0.3">
      <c r="A2098" s="22" t="s">
        <v>7779</v>
      </c>
      <c r="B2098" s="22" t="s">
        <v>7830</v>
      </c>
      <c r="C2098" s="22" t="s">
        <v>7755</v>
      </c>
      <c r="D2098" s="22" t="s">
        <v>7710</v>
      </c>
      <c r="E2098" s="22" t="s">
        <v>6463</v>
      </c>
      <c r="F2098" s="24" t="s">
        <v>6464</v>
      </c>
      <c r="G2098" s="26" t="s">
        <v>8512</v>
      </c>
      <c r="H2098" s="22" t="s">
        <v>226</v>
      </c>
      <c r="I2098" s="22" t="s">
        <v>172</v>
      </c>
      <c r="J2098" s="22"/>
      <c r="K2098" s="24" t="s">
        <v>7946</v>
      </c>
      <c r="L2098" s="24"/>
      <c r="M2098" s="25" t="s">
        <v>6465</v>
      </c>
      <c r="N2098" s="22"/>
      <c r="O2098" s="22" t="s">
        <v>6466</v>
      </c>
      <c r="P2098" s="22" t="str">
        <f>HYPERLINK("https://ceds.ed.gov/cedselementdetails.aspx?termid=21588")</f>
        <v>https://ceds.ed.gov/cedselementdetails.aspx?termid=21588</v>
      </c>
      <c r="Q2098" s="22">
        <v>61374</v>
      </c>
    </row>
    <row r="2099" spans="1:17" ht="72" x14ac:dyDescent="0.3">
      <c r="A2099" s="22" t="s">
        <v>7779</v>
      </c>
      <c r="B2099" s="22" t="s">
        <v>7830</v>
      </c>
      <c r="C2099" s="22" t="s">
        <v>7755</v>
      </c>
      <c r="D2099" s="22" t="s">
        <v>7710</v>
      </c>
      <c r="E2099" s="22" t="s">
        <v>7017</v>
      </c>
      <c r="F2099" s="24" t="s">
        <v>7018</v>
      </c>
      <c r="G2099" s="23" t="s">
        <v>32</v>
      </c>
      <c r="H2099" s="24" t="s">
        <v>64</v>
      </c>
      <c r="I2099" s="22"/>
      <c r="J2099" s="22" t="s">
        <v>2543</v>
      </c>
      <c r="K2099" s="24"/>
      <c r="L2099" s="24"/>
      <c r="M2099" s="25" t="s">
        <v>7020</v>
      </c>
      <c r="N2099" s="22"/>
      <c r="O2099" s="22" t="s">
        <v>7021</v>
      </c>
      <c r="P2099" s="22" t="str">
        <f>HYPERLINK("https://ceds.ed.gov/cedselementdetails.aspx?termid=21124")</f>
        <v>https://ceds.ed.gov/cedselementdetails.aspx?termid=21124</v>
      </c>
      <c r="Q2099" s="22">
        <v>61922</v>
      </c>
    </row>
    <row r="2100" spans="1:17" ht="43.2" x14ac:dyDescent="0.3">
      <c r="A2100" s="22" t="s">
        <v>7779</v>
      </c>
      <c r="B2100" s="22" t="s">
        <v>7830</v>
      </c>
      <c r="C2100" s="22" t="s">
        <v>7755</v>
      </c>
      <c r="D2100" s="22" t="s">
        <v>7710</v>
      </c>
      <c r="E2100" s="22" t="s">
        <v>7022</v>
      </c>
      <c r="F2100" s="24" t="s">
        <v>7023</v>
      </c>
      <c r="G2100" s="23" t="s">
        <v>32</v>
      </c>
      <c r="H2100" s="22"/>
      <c r="I2100" s="22"/>
      <c r="J2100" s="22" t="s">
        <v>113</v>
      </c>
      <c r="K2100" s="24"/>
      <c r="L2100" s="24"/>
      <c r="M2100" s="25" t="s">
        <v>7025</v>
      </c>
      <c r="N2100" s="22"/>
      <c r="O2100" s="22" t="s">
        <v>7026</v>
      </c>
      <c r="P2100" s="22" t="str">
        <f>HYPERLINK("https://ceds.ed.gov/cedselementdetails.aspx?termid=22552")</f>
        <v>https://ceds.ed.gov/cedselementdetails.aspx?termid=22552</v>
      </c>
      <c r="Q2100" s="22">
        <v>61925</v>
      </c>
    </row>
    <row r="2101" spans="1:17" ht="43.2" x14ac:dyDescent="0.3">
      <c r="A2101" s="22" t="s">
        <v>7779</v>
      </c>
      <c r="B2101" s="22" t="s">
        <v>7830</v>
      </c>
      <c r="C2101" s="22" t="s">
        <v>7755</v>
      </c>
      <c r="D2101" s="22" t="s">
        <v>7710</v>
      </c>
      <c r="E2101" s="22" t="s">
        <v>7606</v>
      </c>
      <c r="F2101" s="24" t="s">
        <v>7607</v>
      </c>
      <c r="G2101" s="23" t="s">
        <v>32</v>
      </c>
      <c r="H2101" s="22"/>
      <c r="I2101" s="22"/>
      <c r="J2101" s="22" t="s">
        <v>1518</v>
      </c>
      <c r="K2101" s="24"/>
      <c r="L2101" s="24"/>
      <c r="M2101" s="25" t="s">
        <v>7608</v>
      </c>
      <c r="N2101" s="22"/>
      <c r="O2101" s="22" t="s">
        <v>7609</v>
      </c>
      <c r="P2101" s="22" t="str">
        <f>HYPERLINK("https://ceds.ed.gov/cedselementdetails.aspx?termid=22948")</f>
        <v>https://ceds.ed.gov/cedselementdetails.aspx?termid=22948</v>
      </c>
      <c r="Q2101" s="22">
        <v>63530</v>
      </c>
    </row>
    <row r="2102" spans="1:17" ht="43.2" x14ac:dyDescent="0.3">
      <c r="A2102" s="22" t="s">
        <v>7779</v>
      </c>
      <c r="B2102" s="22" t="s">
        <v>7830</v>
      </c>
      <c r="C2102" s="22" t="s">
        <v>7755</v>
      </c>
      <c r="D2102" s="22" t="s">
        <v>7741</v>
      </c>
      <c r="E2102" s="22" t="s">
        <v>8109</v>
      </c>
      <c r="F2102" s="24" t="s">
        <v>8110</v>
      </c>
      <c r="G2102" s="23" t="s">
        <v>32</v>
      </c>
      <c r="H2102" s="22"/>
      <c r="I2102" s="22" t="s">
        <v>167</v>
      </c>
      <c r="J2102" s="22" t="s">
        <v>1699</v>
      </c>
      <c r="K2102" s="24" t="s">
        <v>7949</v>
      </c>
      <c r="L2102" s="24" t="s">
        <v>8111</v>
      </c>
      <c r="M2102" s="25" t="s">
        <v>8358</v>
      </c>
      <c r="N2102" s="22"/>
      <c r="O2102" s="22" t="s">
        <v>8112</v>
      </c>
      <c r="P2102" s="22" t="str">
        <f>HYPERLINK("https://ceds.ed.gov/cedselementdetails.aspx?termid=22979")</f>
        <v>https://ceds.ed.gov/cedselementdetails.aspx?termid=22979</v>
      </c>
      <c r="Q2102" s="22">
        <v>63886</v>
      </c>
    </row>
    <row r="2103" spans="1:17" ht="72" x14ac:dyDescent="0.3">
      <c r="A2103" s="22" t="s">
        <v>7779</v>
      </c>
      <c r="B2103" s="22" t="s">
        <v>7830</v>
      </c>
      <c r="C2103" s="22" t="s">
        <v>7832</v>
      </c>
      <c r="D2103" s="22" t="s">
        <v>7710</v>
      </c>
      <c r="E2103" s="22" t="s">
        <v>5383</v>
      </c>
      <c r="F2103" s="24" t="s">
        <v>5384</v>
      </c>
      <c r="G2103" s="23" t="s">
        <v>32</v>
      </c>
      <c r="H2103" s="24" t="s">
        <v>64</v>
      </c>
      <c r="I2103" s="22"/>
      <c r="J2103" s="22" t="s">
        <v>85</v>
      </c>
      <c r="K2103" s="24"/>
      <c r="L2103" s="24"/>
      <c r="M2103" s="25" t="s">
        <v>5386</v>
      </c>
      <c r="N2103" s="22"/>
      <c r="O2103" s="22" t="s">
        <v>5387</v>
      </c>
      <c r="P2103" s="22" t="str">
        <f>HYPERLINK("https://ceds.ed.gov/cedselementdetails.aspx?termid=21182")</f>
        <v>https://ceds.ed.gov/cedselementdetails.aspx?termid=21182</v>
      </c>
      <c r="Q2103" s="22">
        <v>60344</v>
      </c>
    </row>
    <row r="2104" spans="1:17" ht="43.2" x14ac:dyDescent="0.3">
      <c r="A2104" s="22" t="s">
        <v>7779</v>
      </c>
      <c r="B2104" s="22" t="s">
        <v>7830</v>
      </c>
      <c r="C2104" s="22" t="s">
        <v>7832</v>
      </c>
      <c r="D2104" s="22" t="s">
        <v>7710</v>
      </c>
      <c r="E2104" s="22" t="s">
        <v>7027</v>
      </c>
      <c r="F2104" s="24" t="s">
        <v>7028</v>
      </c>
      <c r="G2104" s="26" t="s">
        <v>22</v>
      </c>
      <c r="H2104" s="22"/>
      <c r="I2104" s="22"/>
      <c r="J2104" s="22"/>
      <c r="K2104" s="24"/>
      <c r="L2104" s="24"/>
      <c r="M2104" s="25" t="s">
        <v>7029</v>
      </c>
      <c r="N2104" s="22"/>
      <c r="O2104" s="22" t="s">
        <v>7030</v>
      </c>
      <c r="P2104" s="22" t="str">
        <f>HYPERLINK("https://ceds.ed.gov/cedselementdetails.aspx?termid=22191")</f>
        <v>https://ceds.ed.gov/cedselementdetails.aspx?termid=22191</v>
      </c>
      <c r="Q2104" s="22">
        <v>59784</v>
      </c>
    </row>
    <row r="2105" spans="1:17" ht="72" x14ac:dyDescent="0.3">
      <c r="A2105" s="22" t="s">
        <v>7779</v>
      </c>
      <c r="B2105" s="22" t="s">
        <v>7830</v>
      </c>
      <c r="C2105" s="22" t="s">
        <v>7832</v>
      </c>
      <c r="D2105" s="22" t="s">
        <v>7710</v>
      </c>
      <c r="E2105" s="22" t="s">
        <v>5411</v>
      </c>
      <c r="F2105" s="24" t="s">
        <v>5412</v>
      </c>
      <c r="G2105" s="23" t="s">
        <v>32</v>
      </c>
      <c r="H2105" s="24" t="s">
        <v>64</v>
      </c>
      <c r="I2105" s="22"/>
      <c r="J2105" s="22" t="s">
        <v>2543</v>
      </c>
      <c r="K2105" s="24"/>
      <c r="L2105" s="24"/>
      <c r="M2105" s="25" t="s">
        <v>5413</v>
      </c>
      <c r="N2105" s="22"/>
      <c r="O2105" s="22" t="s">
        <v>5414</v>
      </c>
      <c r="P2105" s="22" t="str">
        <f>HYPERLINK("https://ceds.ed.gov/cedselementdetails.aspx?termid=21183")</f>
        <v>https://ceds.ed.gov/cedselementdetails.aspx?termid=21183</v>
      </c>
      <c r="Q2105" s="22">
        <v>60345</v>
      </c>
    </row>
    <row r="2106" spans="1:17" ht="72" x14ac:dyDescent="0.3">
      <c r="A2106" s="22" t="s">
        <v>7779</v>
      </c>
      <c r="B2106" s="22" t="s">
        <v>7830</v>
      </c>
      <c r="C2106" s="22" t="s">
        <v>7832</v>
      </c>
      <c r="D2106" s="22" t="s">
        <v>7710</v>
      </c>
      <c r="E2106" s="22" t="s">
        <v>7017</v>
      </c>
      <c r="F2106" s="24" t="s">
        <v>7018</v>
      </c>
      <c r="G2106" s="23" t="s">
        <v>32</v>
      </c>
      <c r="H2106" s="24" t="s">
        <v>64</v>
      </c>
      <c r="I2106" s="22"/>
      <c r="J2106" s="22" t="s">
        <v>2543</v>
      </c>
      <c r="K2106" s="24"/>
      <c r="L2106" s="24"/>
      <c r="M2106" s="25" t="s">
        <v>7020</v>
      </c>
      <c r="N2106" s="22"/>
      <c r="O2106" s="22" t="s">
        <v>7021</v>
      </c>
      <c r="P2106" s="22" t="str">
        <f>HYPERLINK("https://ceds.ed.gov/cedselementdetails.aspx?termid=21124")</f>
        <v>https://ceds.ed.gov/cedselementdetails.aspx?termid=21124</v>
      </c>
      <c r="Q2106" s="22">
        <v>59953</v>
      </c>
    </row>
    <row r="2107" spans="1:17" ht="129.6" x14ac:dyDescent="0.3">
      <c r="A2107" s="22" t="s">
        <v>7779</v>
      </c>
      <c r="B2107" s="22" t="s">
        <v>7830</v>
      </c>
      <c r="C2107" s="22" t="s">
        <v>7832</v>
      </c>
      <c r="D2107" s="22" t="s">
        <v>7710</v>
      </c>
      <c r="E2107" s="22" t="s">
        <v>4235</v>
      </c>
      <c r="F2107" s="24" t="s">
        <v>4236</v>
      </c>
      <c r="G2107" s="23" t="s">
        <v>32</v>
      </c>
      <c r="H2107" s="22"/>
      <c r="I2107" s="22"/>
      <c r="J2107" s="22" t="s">
        <v>780</v>
      </c>
      <c r="K2107" s="24"/>
      <c r="L2107" s="24" t="s">
        <v>4238</v>
      </c>
      <c r="M2107" s="25" t="s">
        <v>4239</v>
      </c>
      <c r="N2107" s="22"/>
      <c r="O2107" s="22" t="s">
        <v>4240</v>
      </c>
      <c r="P2107" s="22" t="str">
        <f>HYPERLINK("https://ceds.ed.gov/cedselementdetails.aspx?termid=21609")</f>
        <v>https://ceds.ed.gov/cedselementdetails.aspx?termid=21609</v>
      </c>
      <c r="Q2107" s="22">
        <v>59029</v>
      </c>
    </row>
    <row r="2108" spans="1:17" ht="172.8" x14ac:dyDescent="0.3">
      <c r="A2108" s="22" t="s">
        <v>7779</v>
      </c>
      <c r="B2108" s="22" t="s">
        <v>7830</v>
      </c>
      <c r="C2108" s="22" t="s">
        <v>7833</v>
      </c>
      <c r="D2108" s="22" t="s">
        <v>7710</v>
      </c>
      <c r="E2108" s="22" t="s">
        <v>6911</v>
      </c>
      <c r="F2108" s="24" t="s">
        <v>6912</v>
      </c>
      <c r="G2108" s="23" t="s">
        <v>32</v>
      </c>
      <c r="H2108" s="24" t="s">
        <v>6915</v>
      </c>
      <c r="I2108" s="22" t="s">
        <v>172</v>
      </c>
      <c r="J2108" s="22" t="s">
        <v>132</v>
      </c>
      <c r="K2108" s="24" t="s">
        <v>7946</v>
      </c>
      <c r="L2108" s="24" t="s">
        <v>7945</v>
      </c>
      <c r="M2108" s="25" t="s">
        <v>6913</v>
      </c>
      <c r="N2108" s="22"/>
      <c r="O2108" s="22" t="s">
        <v>6914</v>
      </c>
      <c r="P2108" s="22" t="str">
        <f>HYPERLINK("https://ceds.ed.gov/cedselementdetails.aspx?termid=21156")</f>
        <v>https://ceds.ed.gov/cedselementdetails.aspx?termid=21156</v>
      </c>
      <c r="Q2108" s="22">
        <v>59956</v>
      </c>
    </row>
    <row r="2109" spans="1:17" ht="244.8" x14ac:dyDescent="0.3">
      <c r="A2109" s="22" t="s">
        <v>7779</v>
      </c>
      <c r="B2109" s="22" t="s">
        <v>7830</v>
      </c>
      <c r="C2109" s="22" t="s">
        <v>7833</v>
      </c>
      <c r="D2109" s="22" t="s">
        <v>7710</v>
      </c>
      <c r="E2109" s="22" t="s">
        <v>6906</v>
      </c>
      <c r="F2109" s="24" t="s">
        <v>6907</v>
      </c>
      <c r="G2109" s="26" t="s">
        <v>8531</v>
      </c>
      <c r="H2109" s="24" t="s">
        <v>6910</v>
      </c>
      <c r="I2109" s="22" t="s">
        <v>172</v>
      </c>
      <c r="J2109" s="22"/>
      <c r="K2109" s="24" t="s">
        <v>7946</v>
      </c>
      <c r="L2109" s="24"/>
      <c r="M2109" s="25" t="s">
        <v>6908</v>
      </c>
      <c r="N2109" s="22"/>
      <c r="O2109" s="22" t="s">
        <v>6909</v>
      </c>
      <c r="P2109" s="22" t="str">
        <f>HYPERLINK("https://ceds.ed.gov/cedselementdetails.aspx?termid=21162")</f>
        <v>https://ceds.ed.gov/cedselementdetails.aspx?termid=21162</v>
      </c>
      <c r="Q2109" s="22">
        <v>59958</v>
      </c>
    </row>
    <row r="2110" spans="1:17" ht="28.8" x14ac:dyDescent="0.3">
      <c r="A2110" s="22" t="s">
        <v>7779</v>
      </c>
      <c r="B2110" s="22" t="s">
        <v>7830</v>
      </c>
      <c r="C2110" s="22" t="s">
        <v>7833</v>
      </c>
      <c r="D2110" s="22" t="s">
        <v>7710</v>
      </c>
      <c r="E2110" s="22" t="s">
        <v>1443</v>
      </c>
      <c r="F2110" s="24" t="s">
        <v>1444</v>
      </c>
      <c r="G2110" s="23" t="s">
        <v>32</v>
      </c>
      <c r="H2110" s="22"/>
      <c r="I2110" s="22" t="s">
        <v>172</v>
      </c>
      <c r="J2110" s="22" t="s">
        <v>118</v>
      </c>
      <c r="K2110" s="24" t="s">
        <v>7946</v>
      </c>
      <c r="L2110" s="24"/>
      <c r="M2110" s="25" t="s">
        <v>1445</v>
      </c>
      <c r="N2110" s="22"/>
      <c r="O2110" s="22" t="s">
        <v>1446</v>
      </c>
      <c r="P2110" s="22" t="str">
        <f>HYPERLINK("https://ceds.ed.gov/cedselementdetails.aspx?termid=21517")</f>
        <v>https://ceds.ed.gov/cedselementdetails.aspx?termid=21517</v>
      </c>
      <c r="Q2110" s="22">
        <v>59027</v>
      </c>
    </row>
    <row r="2111" spans="1:17" ht="57.6" x14ac:dyDescent="0.3">
      <c r="A2111" s="22" t="s">
        <v>7779</v>
      </c>
      <c r="B2111" s="22" t="s">
        <v>7830</v>
      </c>
      <c r="C2111" s="22" t="s">
        <v>7833</v>
      </c>
      <c r="D2111" s="22" t="s">
        <v>7710</v>
      </c>
      <c r="E2111" s="22" t="s">
        <v>1439</v>
      </c>
      <c r="F2111" s="24" t="s">
        <v>1440</v>
      </c>
      <c r="G2111" s="23" t="s">
        <v>32</v>
      </c>
      <c r="H2111" s="22"/>
      <c r="I2111" s="22" t="s">
        <v>172</v>
      </c>
      <c r="J2111" s="22" t="s">
        <v>118</v>
      </c>
      <c r="K2111" s="24" t="s">
        <v>7946</v>
      </c>
      <c r="L2111" s="24" t="s">
        <v>143</v>
      </c>
      <c r="M2111" s="25" t="s">
        <v>1441</v>
      </c>
      <c r="N2111" s="22"/>
      <c r="O2111" s="22" t="s">
        <v>1442</v>
      </c>
      <c r="P2111" s="22" t="str">
        <f>HYPERLINK("https://ceds.ed.gov/cedselementdetails.aspx?termid=21518")</f>
        <v>https://ceds.ed.gov/cedselementdetails.aspx?termid=21518</v>
      </c>
      <c r="Q2111" s="22">
        <v>59028</v>
      </c>
    </row>
    <row r="2112" spans="1:17" ht="57.6" x14ac:dyDescent="0.3">
      <c r="A2112" s="22" t="s">
        <v>7779</v>
      </c>
      <c r="B2112" s="22" t="s">
        <v>7830</v>
      </c>
      <c r="C2112" s="22" t="s">
        <v>7833</v>
      </c>
      <c r="D2112" s="22" t="s">
        <v>7710</v>
      </c>
      <c r="E2112" s="22" t="s">
        <v>7095</v>
      </c>
      <c r="F2112" s="24" t="s">
        <v>7096</v>
      </c>
      <c r="G2112" s="26" t="s">
        <v>22</v>
      </c>
      <c r="H2112" s="22" t="s">
        <v>7101</v>
      </c>
      <c r="I2112" s="22"/>
      <c r="J2112" s="22"/>
      <c r="K2112" s="24"/>
      <c r="L2112" s="24" t="s">
        <v>7098</v>
      </c>
      <c r="M2112" s="25" t="s">
        <v>7099</v>
      </c>
      <c r="N2112" s="22"/>
      <c r="O2112" s="22" t="s">
        <v>7100</v>
      </c>
      <c r="P2112" s="22" t="str">
        <f>HYPERLINK("https://ceds.ed.gov/cedselementdetails.aspx?termid=21649")</f>
        <v>https://ceds.ed.gov/cedselementdetails.aspx?termid=21649</v>
      </c>
      <c r="Q2112" s="22">
        <v>59030</v>
      </c>
    </row>
    <row r="2113" spans="1:17" ht="72" x14ac:dyDescent="0.3">
      <c r="A2113" s="22" t="s">
        <v>7779</v>
      </c>
      <c r="B2113" s="22" t="s">
        <v>7830</v>
      </c>
      <c r="C2113" s="22" t="s">
        <v>7833</v>
      </c>
      <c r="D2113" s="22" t="s">
        <v>7710</v>
      </c>
      <c r="E2113" s="22" t="s">
        <v>7123</v>
      </c>
      <c r="F2113" s="24" t="s">
        <v>8340</v>
      </c>
      <c r="G2113" s="26" t="s">
        <v>8548</v>
      </c>
      <c r="H2113" s="22" t="s">
        <v>7101</v>
      </c>
      <c r="I2113" s="22" t="s">
        <v>172</v>
      </c>
      <c r="J2113" s="22"/>
      <c r="K2113" s="24" t="s">
        <v>7946</v>
      </c>
      <c r="L2113" s="24"/>
      <c r="M2113" s="25" t="s">
        <v>7124</v>
      </c>
      <c r="N2113" s="22"/>
      <c r="O2113" s="22" t="s">
        <v>7125</v>
      </c>
      <c r="P2113" s="22" t="str">
        <f>HYPERLINK("https://ceds.ed.gov/cedselementdetails.aspx?termid=21650")</f>
        <v>https://ceds.ed.gov/cedselementdetails.aspx?termid=21650</v>
      </c>
      <c r="Q2113" s="22">
        <v>59031</v>
      </c>
    </row>
    <row r="2114" spans="1:17" ht="72" x14ac:dyDescent="0.3">
      <c r="A2114" s="22" t="s">
        <v>7779</v>
      </c>
      <c r="B2114" s="22" t="s">
        <v>7830</v>
      </c>
      <c r="C2114" s="22" t="s">
        <v>7833</v>
      </c>
      <c r="D2114" s="22" t="s">
        <v>7710</v>
      </c>
      <c r="E2114" s="22" t="s">
        <v>7114</v>
      </c>
      <c r="F2114" s="24" t="s">
        <v>7115</v>
      </c>
      <c r="G2114" s="23" t="s">
        <v>32</v>
      </c>
      <c r="H2114" s="22" t="s">
        <v>7101</v>
      </c>
      <c r="I2114" s="22" t="s">
        <v>172</v>
      </c>
      <c r="J2114" s="22" t="s">
        <v>775</v>
      </c>
      <c r="K2114" s="24" t="s">
        <v>7946</v>
      </c>
      <c r="L2114" s="24"/>
      <c r="M2114" s="25" t="s">
        <v>7116</v>
      </c>
      <c r="N2114" s="22"/>
      <c r="O2114" s="22" t="s">
        <v>7117</v>
      </c>
      <c r="P2114" s="22" t="str">
        <f>HYPERLINK("https://ceds.ed.gov/cedselementdetails.aspx?termid=21651")</f>
        <v>https://ceds.ed.gov/cedselementdetails.aspx?termid=21651</v>
      </c>
      <c r="Q2114" s="22">
        <v>59032</v>
      </c>
    </row>
    <row r="2115" spans="1:17" ht="244.8" x14ac:dyDescent="0.3">
      <c r="A2115" s="22" t="s">
        <v>7779</v>
      </c>
      <c r="B2115" s="22" t="s">
        <v>7830</v>
      </c>
      <c r="C2115" s="22" t="s">
        <v>7833</v>
      </c>
      <c r="D2115" s="22" t="s">
        <v>7710</v>
      </c>
      <c r="E2115" s="22" t="s">
        <v>2104</v>
      </c>
      <c r="F2115" s="24" t="s">
        <v>2105</v>
      </c>
      <c r="G2115" s="26" t="s">
        <v>8411</v>
      </c>
      <c r="H2115" s="22"/>
      <c r="I2115" s="22" t="s">
        <v>172</v>
      </c>
      <c r="J2115" s="22"/>
      <c r="K2115" s="24" t="s">
        <v>7946</v>
      </c>
      <c r="L2115" s="24"/>
      <c r="M2115" s="25" t="s">
        <v>2106</v>
      </c>
      <c r="N2115" s="22"/>
      <c r="O2115" s="22" t="s">
        <v>2107</v>
      </c>
      <c r="P2115" s="22" t="str">
        <f>HYPERLINK("https://ceds.ed.gov/cedselementdetails.aspx?termid=21615")</f>
        <v>https://ceds.ed.gov/cedselementdetails.aspx?termid=21615</v>
      </c>
      <c r="Q2115" s="22">
        <v>62128</v>
      </c>
    </row>
    <row r="2116" spans="1:17" ht="57.6" x14ac:dyDescent="0.3">
      <c r="A2116" s="22" t="s">
        <v>7779</v>
      </c>
      <c r="B2116" s="22" t="s">
        <v>7830</v>
      </c>
      <c r="C2116" s="22" t="s">
        <v>7833</v>
      </c>
      <c r="D2116" s="22" t="s">
        <v>7741</v>
      </c>
      <c r="E2116" s="22" t="s">
        <v>7118</v>
      </c>
      <c r="F2116" s="24" t="s">
        <v>7119</v>
      </c>
      <c r="G2116" s="23" t="s">
        <v>32</v>
      </c>
      <c r="H2116" s="22" t="s">
        <v>7101</v>
      </c>
      <c r="I2116" s="22" t="s">
        <v>172</v>
      </c>
      <c r="J2116" s="22" t="s">
        <v>118</v>
      </c>
      <c r="K2116" s="24" t="s">
        <v>7946</v>
      </c>
      <c r="L2116" s="24" t="s">
        <v>7120</v>
      </c>
      <c r="M2116" s="25" t="s">
        <v>7121</v>
      </c>
      <c r="N2116" s="22"/>
      <c r="O2116" s="22" t="s">
        <v>7122</v>
      </c>
      <c r="P2116" s="22" t="str">
        <f>HYPERLINK("https://ceds.ed.gov/cedselementdetails.aspx?termid=21648")</f>
        <v>https://ceds.ed.gov/cedselementdetails.aspx?termid=21648</v>
      </c>
      <c r="Q2116" s="22">
        <v>63887</v>
      </c>
    </row>
    <row r="2117" spans="1:17" ht="28.8" x14ac:dyDescent="0.3">
      <c r="A2117" s="22" t="s">
        <v>7779</v>
      </c>
      <c r="B2117" s="22" t="s">
        <v>7830</v>
      </c>
      <c r="C2117" s="22" t="s">
        <v>7833</v>
      </c>
      <c r="D2117" s="22" t="s">
        <v>7741</v>
      </c>
      <c r="E2117" s="22" t="s">
        <v>7126</v>
      </c>
      <c r="F2117" s="24" t="s">
        <v>7127</v>
      </c>
      <c r="G2117" s="23" t="s">
        <v>32</v>
      </c>
      <c r="H2117" s="22" t="s">
        <v>7101</v>
      </c>
      <c r="I2117" s="22" t="s">
        <v>172</v>
      </c>
      <c r="J2117" s="22" t="s">
        <v>118</v>
      </c>
      <c r="K2117" s="24" t="s">
        <v>7946</v>
      </c>
      <c r="L2117" s="24"/>
      <c r="M2117" s="25" t="s">
        <v>7128</v>
      </c>
      <c r="N2117" s="22"/>
      <c r="O2117" s="22" t="s">
        <v>7129</v>
      </c>
      <c r="P2117" s="22" t="str">
        <f>HYPERLINK("https://ceds.ed.gov/cedselementdetails.aspx?termid=21647")</f>
        <v>https://ceds.ed.gov/cedselementdetails.aspx?termid=21647</v>
      </c>
      <c r="Q2117" s="22">
        <v>63888</v>
      </c>
    </row>
    <row r="2118" spans="1:17" ht="28.8" x14ac:dyDescent="0.3">
      <c r="A2118" s="22" t="s">
        <v>7779</v>
      </c>
      <c r="B2118" s="22" t="s">
        <v>7830</v>
      </c>
      <c r="C2118" s="22" t="s">
        <v>7796</v>
      </c>
      <c r="D2118" s="22" t="s">
        <v>7710</v>
      </c>
      <c r="E2118" s="22" t="s">
        <v>1447</v>
      </c>
      <c r="F2118" s="24" t="s">
        <v>1448</v>
      </c>
      <c r="G2118" s="23" t="s">
        <v>32</v>
      </c>
      <c r="H2118" s="22"/>
      <c r="I2118" s="22" t="s">
        <v>172</v>
      </c>
      <c r="J2118" s="22" t="s">
        <v>118</v>
      </c>
      <c r="K2118" s="24" t="s">
        <v>7946</v>
      </c>
      <c r="L2118" s="24"/>
      <c r="M2118" s="25" t="s">
        <v>1449</v>
      </c>
      <c r="N2118" s="22"/>
      <c r="O2118" s="22" t="s">
        <v>1450</v>
      </c>
      <c r="P2118" s="22" t="str">
        <f>HYPERLINK("https://ceds.ed.gov/cedselementdetails.aspx?termid=22630")</f>
        <v>https://ceds.ed.gov/cedselementdetails.aspx?termid=22630</v>
      </c>
      <c r="Q2118" s="22">
        <v>62490</v>
      </c>
    </row>
    <row r="2119" spans="1:17" ht="72" x14ac:dyDescent="0.3">
      <c r="A2119" s="22" t="s">
        <v>7779</v>
      </c>
      <c r="B2119" s="22" t="s">
        <v>7830</v>
      </c>
      <c r="C2119" s="22" t="s">
        <v>7796</v>
      </c>
      <c r="D2119" s="22" t="s">
        <v>7710</v>
      </c>
      <c r="E2119" s="22" t="s">
        <v>1451</v>
      </c>
      <c r="F2119" s="24" t="s">
        <v>1452</v>
      </c>
      <c r="G2119" s="26" t="s">
        <v>8649</v>
      </c>
      <c r="H2119" s="22"/>
      <c r="I2119" s="22"/>
      <c r="J2119" s="22"/>
      <c r="K2119" s="24"/>
      <c r="L2119" s="24"/>
      <c r="M2119" s="25" t="s">
        <v>1454</v>
      </c>
      <c r="N2119" s="22"/>
      <c r="O2119" s="22" t="s">
        <v>1455</v>
      </c>
      <c r="P2119" s="22" t="str">
        <f>HYPERLINK("https://ceds.ed.gov/cedselementdetails.aspx?termid=21594")</f>
        <v>https://ceds.ed.gov/cedselementdetails.aspx?termid=21594</v>
      </c>
      <c r="Q2119" s="22">
        <v>62489</v>
      </c>
    </row>
    <row r="2120" spans="1:17" ht="86.4" x14ac:dyDescent="0.3">
      <c r="A2120" s="22" t="s">
        <v>7779</v>
      </c>
      <c r="B2120" s="22" t="s">
        <v>7830</v>
      </c>
      <c r="C2120" s="22" t="s">
        <v>7796</v>
      </c>
      <c r="D2120" s="22" t="s">
        <v>7710</v>
      </c>
      <c r="E2120" s="22" t="s">
        <v>1456</v>
      </c>
      <c r="F2120" s="24" t="s">
        <v>1457</v>
      </c>
      <c r="G2120" s="26" t="s">
        <v>8406</v>
      </c>
      <c r="H2120" s="22"/>
      <c r="I2120" s="22" t="s">
        <v>172</v>
      </c>
      <c r="J2120" s="22"/>
      <c r="K2120" s="24" t="s">
        <v>7946</v>
      </c>
      <c r="L2120" s="24"/>
      <c r="M2120" s="25" t="s">
        <v>1458</v>
      </c>
      <c r="N2120" s="22"/>
      <c r="O2120" s="22" t="s">
        <v>1459</v>
      </c>
      <c r="P2120" s="22" t="str">
        <f>HYPERLINK("https://ceds.ed.gov/cedselementdetails.aspx?termid=21076")</f>
        <v>https://ceds.ed.gov/cedselementdetails.aspx?termid=21076</v>
      </c>
      <c r="Q2120" s="22">
        <v>61466</v>
      </c>
    </row>
    <row r="2121" spans="1:17" ht="86.4" x14ac:dyDescent="0.3">
      <c r="A2121" s="22" t="s">
        <v>7779</v>
      </c>
      <c r="B2121" s="22" t="s">
        <v>7830</v>
      </c>
      <c r="C2121" s="22" t="s">
        <v>7834</v>
      </c>
      <c r="D2121" s="22" t="s">
        <v>7710</v>
      </c>
      <c r="E2121" s="22" t="s">
        <v>7109</v>
      </c>
      <c r="F2121" s="24" t="s">
        <v>7110</v>
      </c>
      <c r="G2121" s="26" t="s">
        <v>22</v>
      </c>
      <c r="H2121" s="22"/>
      <c r="I2121" s="22"/>
      <c r="J2121" s="22"/>
      <c r="K2121" s="24"/>
      <c r="L2121" s="24" t="s">
        <v>8339</v>
      </c>
      <c r="M2121" s="25" t="s">
        <v>7112</v>
      </c>
      <c r="N2121" s="22"/>
      <c r="O2121" s="22" t="s">
        <v>7113</v>
      </c>
      <c r="P2121" s="22" t="str">
        <f>HYPERLINK("https://ceds.ed.gov/cedselementdetails.aspx?termid=21973")</f>
        <v>https://ceds.ed.gov/cedselementdetails.aspx?termid=21973</v>
      </c>
      <c r="Q2121" s="22">
        <v>59424</v>
      </c>
    </row>
    <row r="2122" spans="1:17" ht="172.8" x14ac:dyDescent="0.3">
      <c r="A2122" s="22" t="s">
        <v>7779</v>
      </c>
      <c r="B2122" s="22" t="s">
        <v>7764</v>
      </c>
      <c r="C2122" s="22"/>
      <c r="D2122" s="22" t="s">
        <v>7710</v>
      </c>
      <c r="E2122" s="22" t="s">
        <v>6174</v>
      </c>
      <c r="F2122" s="24" t="s">
        <v>6175</v>
      </c>
      <c r="G2122" s="23" t="s">
        <v>32</v>
      </c>
      <c r="H2122" s="22" t="s">
        <v>2608</v>
      </c>
      <c r="I2122" s="22" t="s">
        <v>172</v>
      </c>
      <c r="J2122" s="22" t="s">
        <v>132</v>
      </c>
      <c r="K2122" s="24" t="s">
        <v>8282</v>
      </c>
      <c r="L2122" s="24" t="s">
        <v>7945</v>
      </c>
      <c r="M2122" s="25" t="s">
        <v>6176</v>
      </c>
      <c r="N2122" s="22"/>
      <c r="O2122" s="22" t="s">
        <v>6177</v>
      </c>
      <c r="P2122" s="22" t="str">
        <f>HYPERLINK("https://ceds.ed.gov/cedselementdetails.aspx?termid=21618")</f>
        <v>https://ceds.ed.gov/cedselementdetails.aspx?termid=21618</v>
      </c>
      <c r="Q2122" s="22">
        <v>59036</v>
      </c>
    </row>
    <row r="2123" spans="1:17" ht="43.2" x14ac:dyDescent="0.3">
      <c r="A2123" s="22" t="s">
        <v>7779</v>
      </c>
      <c r="B2123" s="22" t="s">
        <v>7764</v>
      </c>
      <c r="C2123" s="22"/>
      <c r="D2123" s="22" t="s">
        <v>7710</v>
      </c>
      <c r="E2123" s="22" t="s">
        <v>6189</v>
      </c>
      <c r="F2123" s="24" t="s">
        <v>6190</v>
      </c>
      <c r="G2123" s="23" t="s">
        <v>32</v>
      </c>
      <c r="H2123" s="22" t="s">
        <v>2608</v>
      </c>
      <c r="I2123" s="22" t="s">
        <v>172</v>
      </c>
      <c r="J2123" s="22" t="s">
        <v>157</v>
      </c>
      <c r="K2123" s="24" t="s">
        <v>8282</v>
      </c>
      <c r="L2123" s="24"/>
      <c r="M2123" s="25" t="s">
        <v>6191</v>
      </c>
      <c r="N2123" s="22"/>
      <c r="O2123" s="22" t="s">
        <v>6192</v>
      </c>
      <c r="P2123" s="22" t="str">
        <f>HYPERLINK("https://ceds.ed.gov/cedselementdetails.aspx?termid=21619")</f>
        <v>https://ceds.ed.gov/cedselementdetails.aspx?termid=21619</v>
      </c>
      <c r="Q2123" s="22">
        <v>59037</v>
      </c>
    </row>
    <row r="2124" spans="1:17" ht="72" x14ac:dyDescent="0.3">
      <c r="A2124" s="22" t="s">
        <v>7779</v>
      </c>
      <c r="B2124" s="22" t="s">
        <v>7764</v>
      </c>
      <c r="C2124" s="22"/>
      <c r="D2124" s="22" t="s">
        <v>7710</v>
      </c>
      <c r="E2124" s="22" t="s">
        <v>2986</v>
      </c>
      <c r="F2124" s="24" t="s">
        <v>2987</v>
      </c>
      <c r="G2124" s="23" t="s">
        <v>32</v>
      </c>
      <c r="H2124" s="22"/>
      <c r="I2124" s="22"/>
      <c r="J2124" s="22" t="s">
        <v>1518</v>
      </c>
      <c r="K2124" s="24"/>
      <c r="L2124" s="24" t="s">
        <v>2989</v>
      </c>
      <c r="M2124" s="25" t="s">
        <v>2990</v>
      </c>
      <c r="N2124" s="22"/>
      <c r="O2124" s="22" t="s">
        <v>2991</v>
      </c>
      <c r="P2124" s="22" t="str">
        <f>HYPERLINK("https://ceds.ed.gov/cedselementdetails.aspx?termid=22553")</f>
        <v>https://ceds.ed.gov/cedselementdetails.aspx?termid=22553</v>
      </c>
      <c r="Q2124" s="22">
        <v>62144</v>
      </c>
    </row>
    <row r="2125" spans="1:17" ht="187.2" x14ac:dyDescent="0.3">
      <c r="A2125" s="22" t="s">
        <v>7779</v>
      </c>
      <c r="B2125" s="22" t="s">
        <v>7764</v>
      </c>
      <c r="C2125" s="22"/>
      <c r="D2125" s="22" t="s">
        <v>7710</v>
      </c>
      <c r="E2125" s="22" t="s">
        <v>5679</v>
      </c>
      <c r="F2125" s="24" t="s">
        <v>5680</v>
      </c>
      <c r="G2125" s="26" t="s">
        <v>8485</v>
      </c>
      <c r="H2125" s="22" t="s">
        <v>109</v>
      </c>
      <c r="I2125" s="22" t="s">
        <v>172</v>
      </c>
      <c r="J2125" s="22"/>
      <c r="K2125" s="24" t="s">
        <v>7946</v>
      </c>
      <c r="L2125" s="24"/>
      <c r="M2125" s="25" t="s">
        <v>5681</v>
      </c>
      <c r="N2125" s="22"/>
      <c r="O2125" s="22" t="s">
        <v>5682</v>
      </c>
      <c r="P2125" s="22" t="str">
        <f>HYPERLINK("https://ceds.ed.gov/cedselementdetails.aspx?termid=21827")</f>
        <v>https://ceds.ed.gov/cedselementdetails.aspx?termid=21827</v>
      </c>
      <c r="Q2125" s="22">
        <v>61718</v>
      </c>
    </row>
    <row r="2126" spans="1:17" ht="172.8" x14ac:dyDescent="0.3">
      <c r="A2126" s="22" t="s">
        <v>7779</v>
      </c>
      <c r="B2126" s="22" t="s">
        <v>7764</v>
      </c>
      <c r="C2126" s="22"/>
      <c r="D2126" s="22" t="s">
        <v>7710</v>
      </c>
      <c r="E2126" s="22" t="s">
        <v>5683</v>
      </c>
      <c r="F2126" s="24" t="s">
        <v>5684</v>
      </c>
      <c r="G2126" s="23" t="s">
        <v>32</v>
      </c>
      <c r="H2126" s="22" t="s">
        <v>109</v>
      </c>
      <c r="I2126" s="22" t="s">
        <v>172</v>
      </c>
      <c r="J2126" s="22" t="s">
        <v>132</v>
      </c>
      <c r="K2126" s="24" t="s">
        <v>7946</v>
      </c>
      <c r="L2126" s="24" t="s">
        <v>7945</v>
      </c>
      <c r="M2126" s="25" t="s">
        <v>5685</v>
      </c>
      <c r="N2126" s="22"/>
      <c r="O2126" s="22" t="s">
        <v>5686</v>
      </c>
      <c r="P2126" s="22" t="str">
        <f>HYPERLINK("https://ceds.ed.gov/cedselementdetails.aspx?termid=21825")</f>
        <v>https://ceds.ed.gov/cedselementdetails.aspx?termid=21825</v>
      </c>
      <c r="Q2126" s="22">
        <v>61716</v>
      </c>
    </row>
    <row r="2127" spans="1:17" ht="43.2" x14ac:dyDescent="0.3">
      <c r="A2127" s="22" t="s">
        <v>7779</v>
      </c>
      <c r="B2127" s="22" t="s">
        <v>7764</v>
      </c>
      <c r="C2127" s="22"/>
      <c r="D2127" s="22" t="s">
        <v>7710</v>
      </c>
      <c r="E2127" s="22" t="s">
        <v>5695</v>
      </c>
      <c r="F2127" s="24" t="s">
        <v>5696</v>
      </c>
      <c r="G2127" s="23" t="s">
        <v>32</v>
      </c>
      <c r="H2127" s="22" t="s">
        <v>207</v>
      </c>
      <c r="I2127" s="22" t="s">
        <v>172</v>
      </c>
      <c r="J2127" s="22" t="s">
        <v>157</v>
      </c>
      <c r="K2127" s="24" t="s">
        <v>7946</v>
      </c>
      <c r="L2127" s="24"/>
      <c r="M2127" s="25" t="s">
        <v>5697</v>
      </c>
      <c r="N2127" s="22"/>
      <c r="O2127" s="22" t="s">
        <v>5698</v>
      </c>
      <c r="P2127" s="22" t="str">
        <f>HYPERLINK("https://ceds.ed.gov/cedselementdetails.aspx?termid=21204")</f>
        <v>https://ceds.ed.gov/cedselementdetails.aspx?termid=21204</v>
      </c>
      <c r="Q2127" s="22">
        <v>61714</v>
      </c>
    </row>
    <row r="2128" spans="1:17" ht="43.2" x14ac:dyDescent="0.3">
      <c r="A2128" s="22" t="s">
        <v>7779</v>
      </c>
      <c r="B2128" s="22" t="s">
        <v>7764</v>
      </c>
      <c r="C2128" s="22"/>
      <c r="D2128" s="22" t="s">
        <v>7710</v>
      </c>
      <c r="E2128" s="22" t="s">
        <v>5699</v>
      </c>
      <c r="F2128" s="24" t="s">
        <v>5700</v>
      </c>
      <c r="G2128" s="26" t="s">
        <v>8489</v>
      </c>
      <c r="H2128" s="22"/>
      <c r="I2128" s="22" t="s">
        <v>172</v>
      </c>
      <c r="J2128" s="22"/>
      <c r="K2128" s="24" t="s">
        <v>7946</v>
      </c>
      <c r="L2128" s="24"/>
      <c r="M2128" s="25" t="s">
        <v>5701</v>
      </c>
      <c r="N2128" s="22"/>
      <c r="O2128" s="22" t="s">
        <v>5702</v>
      </c>
      <c r="P2128" s="22" t="str">
        <f>HYPERLINK("https://ceds.ed.gov/cedselementdetails.aspx?termid=22387")</f>
        <v>https://ceds.ed.gov/cedselementdetails.aspx?termid=22387</v>
      </c>
      <c r="Q2128" s="22">
        <v>61300</v>
      </c>
    </row>
    <row r="2129" spans="1:17" ht="201.6" x14ac:dyDescent="0.3">
      <c r="A2129" s="22" t="s">
        <v>7779</v>
      </c>
      <c r="B2129" s="22" t="s">
        <v>7764</v>
      </c>
      <c r="C2129" s="22"/>
      <c r="D2129" s="22" t="s">
        <v>7710</v>
      </c>
      <c r="E2129" s="22" t="s">
        <v>6222</v>
      </c>
      <c r="F2129" s="24" t="s">
        <v>6223</v>
      </c>
      <c r="G2129" s="26" t="s">
        <v>8504</v>
      </c>
      <c r="H2129" s="22"/>
      <c r="I2129" s="22" t="s">
        <v>172</v>
      </c>
      <c r="J2129" s="22"/>
      <c r="K2129" s="24" t="s">
        <v>7946</v>
      </c>
      <c r="L2129" s="24"/>
      <c r="M2129" s="25" t="s">
        <v>6224</v>
      </c>
      <c r="N2129" s="22"/>
      <c r="O2129" s="22" t="s">
        <v>6225</v>
      </c>
      <c r="P2129" s="22" t="str">
        <f>HYPERLINK("https://ceds.ed.gov/cedselementdetails.aspx?termid=21692")</f>
        <v>https://ceds.ed.gov/cedselementdetails.aspx?termid=21692</v>
      </c>
      <c r="Q2129" s="22">
        <v>61523</v>
      </c>
    </row>
    <row r="2130" spans="1:17" ht="43.2" x14ac:dyDescent="0.3">
      <c r="A2130" s="22" t="s">
        <v>7779</v>
      </c>
      <c r="B2130" s="22" t="s">
        <v>7764</v>
      </c>
      <c r="C2130" s="22"/>
      <c r="D2130" s="22" t="s">
        <v>7741</v>
      </c>
      <c r="E2130" s="22" t="s">
        <v>8109</v>
      </c>
      <c r="F2130" s="24" t="s">
        <v>8110</v>
      </c>
      <c r="G2130" s="23" t="s">
        <v>32</v>
      </c>
      <c r="H2130" s="22"/>
      <c r="I2130" s="22" t="s">
        <v>167</v>
      </c>
      <c r="J2130" s="22" t="s">
        <v>1699</v>
      </c>
      <c r="K2130" s="24" t="s">
        <v>7949</v>
      </c>
      <c r="L2130" s="24" t="s">
        <v>8111</v>
      </c>
      <c r="M2130" s="25" t="s">
        <v>8358</v>
      </c>
      <c r="N2130" s="22"/>
      <c r="O2130" s="22" t="s">
        <v>8112</v>
      </c>
      <c r="P2130" s="22" t="str">
        <f>HYPERLINK("https://ceds.ed.gov/cedselementdetails.aspx?termid=22979")</f>
        <v>https://ceds.ed.gov/cedselementdetails.aspx?termid=22979</v>
      </c>
      <c r="Q2130" s="22">
        <v>63929</v>
      </c>
    </row>
    <row r="2131" spans="1:17" ht="28.8" x14ac:dyDescent="0.3">
      <c r="A2131" s="22" t="s">
        <v>7779</v>
      </c>
      <c r="B2131" s="22" t="s">
        <v>7764</v>
      </c>
      <c r="C2131" s="22"/>
      <c r="D2131" s="22" t="s">
        <v>7741</v>
      </c>
      <c r="E2131" s="22" t="s">
        <v>5667</v>
      </c>
      <c r="F2131" s="24" t="s">
        <v>5668</v>
      </c>
      <c r="G2131" s="23" t="s">
        <v>32</v>
      </c>
      <c r="H2131" s="22" t="s">
        <v>226</v>
      </c>
      <c r="I2131" s="22" t="s">
        <v>172</v>
      </c>
      <c r="J2131" s="22" t="s">
        <v>118</v>
      </c>
      <c r="K2131" s="24" t="s">
        <v>7946</v>
      </c>
      <c r="L2131" s="24"/>
      <c r="M2131" s="25" t="s">
        <v>5669</v>
      </c>
      <c r="N2131" s="22"/>
      <c r="O2131" s="22" t="s">
        <v>5670</v>
      </c>
      <c r="P2131" s="22" t="str">
        <f>HYPERLINK("https://ceds.ed.gov/cedselementdetails.aspx?termid=21525")</f>
        <v>https://ceds.ed.gov/cedselementdetails.aspx?termid=21525</v>
      </c>
      <c r="Q2131" s="22">
        <v>63930</v>
      </c>
    </row>
    <row r="2132" spans="1:17" ht="72" x14ac:dyDescent="0.3">
      <c r="A2132" s="22" t="s">
        <v>7779</v>
      </c>
      <c r="B2132" s="22" t="s">
        <v>7764</v>
      </c>
      <c r="C2132" s="22" t="s">
        <v>7712</v>
      </c>
      <c r="D2132" s="22" t="s">
        <v>7710</v>
      </c>
      <c r="E2132" s="22" t="s">
        <v>199</v>
      </c>
      <c r="F2132" s="24" t="s">
        <v>200</v>
      </c>
      <c r="G2132" s="26" t="s">
        <v>8394</v>
      </c>
      <c r="H2132" s="24" t="s">
        <v>64</v>
      </c>
      <c r="I2132" s="22" t="s">
        <v>172</v>
      </c>
      <c r="J2132" s="22" t="s">
        <v>85</v>
      </c>
      <c r="K2132" s="24" t="s">
        <v>7946</v>
      </c>
      <c r="L2132" s="24"/>
      <c r="M2132" s="25" t="s">
        <v>201</v>
      </c>
      <c r="N2132" s="22"/>
      <c r="O2132" s="22" t="s">
        <v>202</v>
      </c>
      <c r="P2132" s="22" t="str">
        <f>HYPERLINK("https://ceds.ed.gov/cedselementdetails.aspx?termid=21644")</f>
        <v>https://ceds.ed.gov/cedselementdetails.aspx?termid=21644</v>
      </c>
      <c r="Q2132" s="22">
        <v>61720</v>
      </c>
    </row>
    <row r="2133" spans="1:17" ht="187.2" x14ac:dyDescent="0.3">
      <c r="A2133" s="22" t="s">
        <v>7779</v>
      </c>
      <c r="B2133" s="22" t="s">
        <v>7764</v>
      </c>
      <c r="C2133" s="22" t="s">
        <v>7712</v>
      </c>
      <c r="D2133" s="22" t="s">
        <v>7710</v>
      </c>
      <c r="E2133" s="22" t="s">
        <v>189</v>
      </c>
      <c r="F2133" s="24" t="s">
        <v>190</v>
      </c>
      <c r="G2133" s="23" t="s">
        <v>32</v>
      </c>
      <c r="H2133" s="24" t="s">
        <v>175</v>
      </c>
      <c r="I2133" s="22" t="s">
        <v>172</v>
      </c>
      <c r="J2133" s="22" t="s">
        <v>191</v>
      </c>
      <c r="K2133" s="24" t="s">
        <v>7946</v>
      </c>
      <c r="L2133" s="24"/>
      <c r="M2133" s="25" t="s">
        <v>192</v>
      </c>
      <c r="N2133" s="22"/>
      <c r="O2133" s="22" t="s">
        <v>193</v>
      </c>
      <c r="P2133" s="22" t="str">
        <f>HYPERLINK("https://ceds.ed.gov/cedselementdetails.aspx?termid=21269")</f>
        <v>https://ceds.ed.gov/cedselementdetails.aspx?termid=21269</v>
      </c>
      <c r="Q2133" s="22">
        <v>61722</v>
      </c>
    </row>
    <row r="2134" spans="1:17" ht="187.2" x14ac:dyDescent="0.3">
      <c r="A2134" s="22" t="s">
        <v>7779</v>
      </c>
      <c r="B2134" s="22" t="s">
        <v>7764</v>
      </c>
      <c r="C2134" s="22" t="s">
        <v>7712</v>
      </c>
      <c r="D2134" s="22" t="s">
        <v>7710</v>
      </c>
      <c r="E2134" s="22" t="s">
        <v>170</v>
      </c>
      <c r="F2134" s="24" t="s">
        <v>171</v>
      </c>
      <c r="G2134" s="23" t="s">
        <v>32</v>
      </c>
      <c r="H2134" s="24" t="s">
        <v>175</v>
      </c>
      <c r="I2134" s="22" t="s">
        <v>172</v>
      </c>
      <c r="J2134" s="22" t="s">
        <v>157</v>
      </c>
      <c r="K2134" s="24" t="s">
        <v>7946</v>
      </c>
      <c r="L2134" s="24"/>
      <c r="M2134" s="25" t="s">
        <v>173</v>
      </c>
      <c r="N2134" s="22"/>
      <c r="O2134" s="22" t="s">
        <v>174</v>
      </c>
      <c r="P2134" s="22" t="str">
        <f>HYPERLINK("https://ceds.ed.gov/cedselementdetails.aspx?termid=21019")</f>
        <v>https://ceds.ed.gov/cedselementdetails.aspx?termid=21019</v>
      </c>
      <c r="Q2134" s="22">
        <v>61724</v>
      </c>
    </row>
    <row r="2135" spans="1:17" ht="187.2" x14ac:dyDescent="0.3">
      <c r="A2135" s="22" t="s">
        <v>7779</v>
      </c>
      <c r="B2135" s="22" t="s">
        <v>7764</v>
      </c>
      <c r="C2135" s="22" t="s">
        <v>7712</v>
      </c>
      <c r="D2135" s="22" t="s">
        <v>7710</v>
      </c>
      <c r="E2135" s="22" t="s">
        <v>176</v>
      </c>
      <c r="F2135" s="24" t="s">
        <v>177</v>
      </c>
      <c r="G2135" s="23" t="s">
        <v>32</v>
      </c>
      <c r="H2135" s="24" t="s">
        <v>175</v>
      </c>
      <c r="I2135" s="22" t="s">
        <v>172</v>
      </c>
      <c r="J2135" s="22" t="s">
        <v>85</v>
      </c>
      <c r="K2135" s="24" t="s">
        <v>7946</v>
      </c>
      <c r="L2135" s="24"/>
      <c r="M2135" s="25" t="s">
        <v>178</v>
      </c>
      <c r="N2135" s="22"/>
      <c r="O2135" s="22" t="s">
        <v>179</v>
      </c>
      <c r="P2135" s="22" t="str">
        <f>HYPERLINK("https://ceds.ed.gov/cedselementdetails.aspx?termid=21040")</f>
        <v>https://ceds.ed.gov/cedselementdetails.aspx?termid=21040</v>
      </c>
      <c r="Q2135" s="22">
        <v>61726</v>
      </c>
    </row>
    <row r="2136" spans="1:17" ht="409.6" x14ac:dyDescent="0.3">
      <c r="A2136" s="22" t="s">
        <v>7779</v>
      </c>
      <c r="B2136" s="22" t="s">
        <v>7764</v>
      </c>
      <c r="C2136" s="22" t="s">
        <v>7712</v>
      </c>
      <c r="D2136" s="22" t="s">
        <v>7710</v>
      </c>
      <c r="E2136" s="22" t="s">
        <v>6941</v>
      </c>
      <c r="F2136" s="24" t="s">
        <v>6942</v>
      </c>
      <c r="G2136" s="26" t="s">
        <v>8533</v>
      </c>
      <c r="H2136" s="24" t="s">
        <v>6945</v>
      </c>
      <c r="I2136" s="22" t="s">
        <v>172</v>
      </c>
      <c r="J2136" s="22"/>
      <c r="K2136" s="24" t="s">
        <v>8327</v>
      </c>
      <c r="L2136" s="24"/>
      <c r="M2136" s="25" t="s">
        <v>6943</v>
      </c>
      <c r="N2136" s="22"/>
      <c r="O2136" s="22" t="s">
        <v>6944</v>
      </c>
      <c r="P2136" s="22" t="str">
        <f>HYPERLINK("https://ceds.ed.gov/cedselementdetails.aspx?termid=21267")</f>
        <v>https://ceds.ed.gov/cedselementdetails.aspx?termid=21267</v>
      </c>
      <c r="Q2136" s="22">
        <v>61728</v>
      </c>
    </row>
    <row r="2137" spans="1:17" ht="187.2" x14ac:dyDescent="0.3">
      <c r="A2137" s="22" t="s">
        <v>7779</v>
      </c>
      <c r="B2137" s="22" t="s">
        <v>7764</v>
      </c>
      <c r="C2137" s="22" t="s">
        <v>7712</v>
      </c>
      <c r="D2137" s="22" t="s">
        <v>7710</v>
      </c>
      <c r="E2137" s="22" t="s">
        <v>184</v>
      </c>
      <c r="F2137" s="24" t="s">
        <v>185</v>
      </c>
      <c r="G2137" s="23" t="s">
        <v>32</v>
      </c>
      <c r="H2137" s="24" t="s">
        <v>175</v>
      </c>
      <c r="I2137" s="22" t="s">
        <v>172</v>
      </c>
      <c r="J2137" s="22" t="s">
        <v>186</v>
      </c>
      <c r="K2137" s="24" t="s">
        <v>7946</v>
      </c>
      <c r="L2137" s="24"/>
      <c r="M2137" s="25" t="s">
        <v>187</v>
      </c>
      <c r="N2137" s="22"/>
      <c r="O2137" s="22" t="s">
        <v>188</v>
      </c>
      <c r="P2137" s="22" t="str">
        <f>HYPERLINK("https://ceds.ed.gov/cedselementdetails.aspx?termid=21214")</f>
        <v>https://ceds.ed.gov/cedselementdetails.aspx?termid=21214</v>
      </c>
      <c r="Q2137" s="22">
        <v>61730</v>
      </c>
    </row>
    <row r="2138" spans="1:17" ht="187.2" x14ac:dyDescent="0.3">
      <c r="A2138" s="22" t="s">
        <v>7779</v>
      </c>
      <c r="B2138" s="22" t="s">
        <v>7764</v>
      </c>
      <c r="C2138" s="22" t="s">
        <v>7712</v>
      </c>
      <c r="D2138" s="22" t="s">
        <v>7710</v>
      </c>
      <c r="E2138" s="22" t="s">
        <v>180</v>
      </c>
      <c r="F2138" s="24" t="s">
        <v>181</v>
      </c>
      <c r="G2138" s="23" t="s">
        <v>32</v>
      </c>
      <c r="H2138" s="24" t="s">
        <v>175</v>
      </c>
      <c r="I2138" s="22" t="s">
        <v>172</v>
      </c>
      <c r="J2138" s="22" t="s">
        <v>85</v>
      </c>
      <c r="K2138" s="24" t="s">
        <v>7946</v>
      </c>
      <c r="L2138" s="24"/>
      <c r="M2138" s="25" t="s">
        <v>182</v>
      </c>
      <c r="N2138" s="22"/>
      <c r="O2138" s="22" t="s">
        <v>183</v>
      </c>
      <c r="P2138" s="22" t="str">
        <f>HYPERLINK("https://ceds.ed.gov/cedselementdetails.aspx?termid=21190")</f>
        <v>https://ceds.ed.gov/cedselementdetails.aspx?termid=21190</v>
      </c>
      <c r="Q2138" s="22">
        <v>61732</v>
      </c>
    </row>
    <row r="2139" spans="1:17" ht="57.6" x14ac:dyDescent="0.3">
      <c r="A2139" s="22" t="s">
        <v>7779</v>
      </c>
      <c r="B2139" s="22" t="s">
        <v>7764</v>
      </c>
      <c r="C2139" s="22" t="s">
        <v>7712</v>
      </c>
      <c r="D2139" s="22" t="s">
        <v>7710</v>
      </c>
      <c r="E2139" s="22" t="s">
        <v>4982</v>
      </c>
      <c r="F2139" s="24" t="s">
        <v>4983</v>
      </c>
      <c r="G2139" s="23" t="s">
        <v>32</v>
      </c>
      <c r="H2139" s="22"/>
      <c r="I2139" s="22"/>
      <c r="J2139" s="22" t="s">
        <v>1165</v>
      </c>
      <c r="K2139" s="24"/>
      <c r="L2139" s="24"/>
      <c r="M2139" s="25" t="s">
        <v>4984</v>
      </c>
      <c r="N2139" s="22"/>
      <c r="O2139" s="22" t="s">
        <v>4982</v>
      </c>
      <c r="P2139" s="22" t="str">
        <f>HYPERLINK("https://ceds.ed.gov/cedselementdetails.aspx?termid=21599")</f>
        <v>https://ceds.ed.gov/cedselementdetails.aspx?termid=21599</v>
      </c>
      <c r="Q2139" s="22">
        <v>62272</v>
      </c>
    </row>
    <row r="2140" spans="1:17" ht="57.6" x14ac:dyDescent="0.3">
      <c r="A2140" s="22" t="s">
        <v>7779</v>
      </c>
      <c r="B2140" s="22" t="s">
        <v>7764</v>
      </c>
      <c r="C2140" s="22" t="s">
        <v>7712</v>
      </c>
      <c r="D2140" s="22" t="s">
        <v>7710</v>
      </c>
      <c r="E2140" s="22" t="s">
        <v>5372</v>
      </c>
      <c r="F2140" s="24" t="s">
        <v>5373</v>
      </c>
      <c r="G2140" s="23" t="s">
        <v>32</v>
      </c>
      <c r="H2140" s="22"/>
      <c r="I2140" s="22"/>
      <c r="J2140" s="22" t="s">
        <v>1165</v>
      </c>
      <c r="K2140" s="24"/>
      <c r="L2140" s="24"/>
      <c r="M2140" s="25" t="s">
        <v>5374</v>
      </c>
      <c r="N2140" s="22"/>
      <c r="O2140" s="22" t="s">
        <v>5372</v>
      </c>
      <c r="P2140" s="22" t="str">
        <f>HYPERLINK("https://ceds.ed.gov/cedselementdetails.aspx?termid=21600")</f>
        <v>https://ceds.ed.gov/cedselementdetails.aspx?termid=21600</v>
      </c>
      <c r="Q2140" s="22">
        <v>62295</v>
      </c>
    </row>
    <row r="2141" spans="1:17" ht="158.4" x14ac:dyDescent="0.3">
      <c r="A2141" s="22" t="s">
        <v>7779</v>
      </c>
      <c r="B2141" s="22" t="s">
        <v>7764</v>
      </c>
      <c r="C2141" s="22" t="s">
        <v>7712</v>
      </c>
      <c r="D2141" s="22" t="s">
        <v>7710</v>
      </c>
      <c r="E2141" s="22" t="s">
        <v>2536</v>
      </c>
      <c r="F2141" s="24" t="s">
        <v>2537</v>
      </c>
      <c r="G2141" s="23" t="s">
        <v>32</v>
      </c>
      <c r="H2141" s="22"/>
      <c r="I2141" s="22"/>
      <c r="J2141" s="22" t="s">
        <v>2538</v>
      </c>
      <c r="K2141" s="24"/>
      <c r="L2141" s="24"/>
      <c r="M2141" s="25" t="s">
        <v>2539</v>
      </c>
      <c r="N2141" s="22"/>
      <c r="O2141" s="22" t="s">
        <v>2540</v>
      </c>
      <c r="P2141" s="22" t="str">
        <f>HYPERLINK("https://ceds.ed.gov/cedselementdetails.aspx?termid=22176")</f>
        <v>https://ceds.ed.gov/cedselementdetails.aspx?termid=22176</v>
      </c>
      <c r="Q2141" s="22">
        <v>63379</v>
      </c>
    </row>
    <row r="2142" spans="1:17" ht="57.6" x14ac:dyDescent="0.3">
      <c r="A2142" s="22" t="s">
        <v>7779</v>
      </c>
      <c r="B2142" s="22" t="s">
        <v>7764</v>
      </c>
      <c r="C2142" s="22" t="s">
        <v>7712</v>
      </c>
      <c r="D2142" s="22" t="s">
        <v>7710</v>
      </c>
      <c r="E2142" s="22" t="s">
        <v>3228</v>
      </c>
      <c r="F2142" s="24" t="s">
        <v>3229</v>
      </c>
      <c r="G2142" s="26" t="s">
        <v>3039</v>
      </c>
      <c r="H2142" s="22"/>
      <c r="I2142" s="22" t="s">
        <v>172</v>
      </c>
      <c r="J2142" s="22"/>
      <c r="K2142" s="24" t="s">
        <v>7946</v>
      </c>
      <c r="L2142" s="24"/>
      <c r="M2142" s="25" t="s">
        <v>3230</v>
      </c>
      <c r="N2142" s="22"/>
      <c r="O2142" s="22" t="s">
        <v>3231</v>
      </c>
      <c r="P2142" s="22" t="str">
        <f>HYPERLINK("https://ceds.ed.gov/cedselementdetails.aspx?termid=22905")</f>
        <v>https://ceds.ed.gov/cedselementdetails.aspx?termid=22905</v>
      </c>
      <c r="Q2142" s="22">
        <v>63380</v>
      </c>
    </row>
    <row r="2143" spans="1:17" ht="86.4" x14ac:dyDescent="0.3">
      <c r="A2143" s="22" t="s">
        <v>7779</v>
      </c>
      <c r="B2143" s="22" t="s">
        <v>7764</v>
      </c>
      <c r="C2143" s="22" t="s">
        <v>7730</v>
      </c>
      <c r="D2143" s="22" t="s">
        <v>7710</v>
      </c>
      <c r="E2143" s="22" t="s">
        <v>3951</v>
      </c>
      <c r="F2143" s="24" t="s">
        <v>8153</v>
      </c>
      <c r="G2143" s="23" t="s">
        <v>32</v>
      </c>
      <c r="H2143" s="22"/>
      <c r="I2143" s="22" t="s">
        <v>172</v>
      </c>
      <c r="J2143" s="22" t="s">
        <v>85</v>
      </c>
      <c r="K2143" s="24" t="s">
        <v>7946</v>
      </c>
      <c r="L2143" s="24"/>
      <c r="M2143" s="25" t="s">
        <v>3952</v>
      </c>
      <c r="N2143" s="22"/>
      <c r="O2143" s="22" t="s">
        <v>3953</v>
      </c>
      <c r="P2143" s="22" t="str">
        <f>HYPERLINK("https://ceds.ed.gov/cedselementdetails.aspx?termid=22530")</f>
        <v>https://ceds.ed.gov/cedselementdetails.aspx?termid=22530</v>
      </c>
      <c r="Q2143" s="22">
        <v>61844</v>
      </c>
    </row>
    <row r="2144" spans="1:17" ht="43.2" x14ac:dyDescent="0.3">
      <c r="A2144" s="22" t="s">
        <v>7779</v>
      </c>
      <c r="B2144" s="22" t="s">
        <v>7764</v>
      </c>
      <c r="C2144" s="22" t="s">
        <v>7730</v>
      </c>
      <c r="D2144" s="22" t="s">
        <v>7710</v>
      </c>
      <c r="E2144" s="22" t="s">
        <v>3948</v>
      </c>
      <c r="F2144" s="24" t="s">
        <v>8152</v>
      </c>
      <c r="G2144" s="23" t="s">
        <v>32</v>
      </c>
      <c r="H2144" s="22"/>
      <c r="I2144" s="22" t="s">
        <v>172</v>
      </c>
      <c r="J2144" s="22" t="s">
        <v>780</v>
      </c>
      <c r="K2144" s="24" t="s">
        <v>8135</v>
      </c>
      <c r="L2144" s="24"/>
      <c r="M2144" s="25" t="s">
        <v>3949</v>
      </c>
      <c r="N2144" s="22"/>
      <c r="O2144" s="22" t="s">
        <v>3950</v>
      </c>
      <c r="P2144" s="22" t="str">
        <f>HYPERLINK("https://ceds.ed.gov/cedselementdetails.aspx?termid=22315")</f>
        <v>https://ceds.ed.gov/cedselementdetails.aspx?termid=22315</v>
      </c>
      <c r="Q2144" s="22">
        <v>61181</v>
      </c>
    </row>
    <row r="2145" spans="1:17" ht="43.2" x14ac:dyDescent="0.3">
      <c r="A2145" s="22" t="s">
        <v>7779</v>
      </c>
      <c r="B2145" s="22" t="s">
        <v>7764</v>
      </c>
      <c r="C2145" s="22" t="s">
        <v>7730</v>
      </c>
      <c r="D2145" s="22" t="s">
        <v>7710</v>
      </c>
      <c r="E2145" s="22" t="s">
        <v>3938</v>
      </c>
      <c r="F2145" s="24" t="s">
        <v>8134</v>
      </c>
      <c r="G2145" s="23" t="s">
        <v>32</v>
      </c>
      <c r="H2145" s="22"/>
      <c r="I2145" s="22" t="s">
        <v>172</v>
      </c>
      <c r="J2145" s="22" t="s">
        <v>113</v>
      </c>
      <c r="K2145" s="24" t="s">
        <v>8135</v>
      </c>
      <c r="L2145" s="24"/>
      <c r="M2145" s="25" t="s">
        <v>3939</v>
      </c>
      <c r="N2145" s="22"/>
      <c r="O2145" s="22" t="s">
        <v>3940</v>
      </c>
      <c r="P2145" s="22" t="str">
        <f>HYPERLINK("https://ceds.ed.gov/cedselementdetails.aspx?termid=22313")</f>
        <v>https://ceds.ed.gov/cedselementdetails.aspx?termid=22313</v>
      </c>
      <c r="Q2145" s="22">
        <v>61170</v>
      </c>
    </row>
    <row r="2146" spans="1:17" ht="86.4" x14ac:dyDescent="0.3">
      <c r="A2146" s="22" t="s">
        <v>7779</v>
      </c>
      <c r="B2146" s="22" t="s">
        <v>7764</v>
      </c>
      <c r="C2146" s="22" t="s">
        <v>7730</v>
      </c>
      <c r="D2146" s="22" t="s">
        <v>7710</v>
      </c>
      <c r="E2146" s="22" t="s">
        <v>3934</v>
      </c>
      <c r="F2146" s="24" t="s">
        <v>3935</v>
      </c>
      <c r="G2146" s="26" t="s">
        <v>8439</v>
      </c>
      <c r="H2146" s="22"/>
      <c r="I2146" s="22" t="s">
        <v>172</v>
      </c>
      <c r="J2146" s="22"/>
      <c r="K2146" s="24" t="s">
        <v>7946</v>
      </c>
      <c r="L2146" s="24"/>
      <c r="M2146" s="25" t="s">
        <v>3936</v>
      </c>
      <c r="N2146" s="22"/>
      <c r="O2146" s="22" t="s">
        <v>3937</v>
      </c>
      <c r="P2146" s="22" t="str">
        <f>HYPERLINK("https://ceds.ed.gov/cedselementdetails.aspx?termid=22312")</f>
        <v>https://ceds.ed.gov/cedselementdetails.aspx?termid=22312</v>
      </c>
      <c r="Q2146" s="22">
        <v>61166</v>
      </c>
    </row>
    <row r="2147" spans="1:17" ht="409.6" x14ac:dyDescent="0.3">
      <c r="A2147" s="22" t="s">
        <v>7779</v>
      </c>
      <c r="B2147" s="22" t="s">
        <v>7764</v>
      </c>
      <c r="C2147" s="22" t="s">
        <v>7730</v>
      </c>
      <c r="D2147" s="22" t="s">
        <v>7710</v>
      </c>
      <c r="E2147" s="22" t="s">
        <v>8127</v>
      </c>
      <c r="F2147" s="24" t="s">
        <v>3941</v>
      </c>
      <c r="G2147" s="26" t="s">
        <v>8438</v>
      </c>
      <c r="H2147" s="22"/>
      <c r="I2147" s="22" t="s">
        <v>172</v>
      </c>
      <c r="J2147" s="22"/>
      <c r="K2147" s="24" t="s">
        <v>8128</v>
      </c>
      <c r="L2147" s="24" t="s">
        <v>8129</v>
      </c>
      <c r="M2147" s="25" t="s">
        <v>3943</v>
      </c>
      <c r="N2147" s="22"/>
      <c r="O2147" s="22" t="s">
        <v>8130</v>
      </c>
      <c r="P2147" s="22" t="str">
        <f>HYPERLINK("https://ceds.ed.gov/cedselementdetails.aspx?termid=22320")</f>
        <v>https://ceds.ed.gov/cedselementdetails.aspx?termid=22320</v>
      </c>
      <c r="Q2147" s="22">
        <v>61199</v>
      </c>
    </row>
    <row r="2148" spans="1:17" ht="43.2" x14ac:dyDescent="0.3">
      <c r="A2148" s="22" t="s">
        <v>7779</v>
      </c>
      <c r="B2148" s="22" t="s">
        <v>7764</v>
      </c>
      <c r="C2148" s="22" t="s">
        <v>7730</v>
      </c>
      <c r="D2148" s="22" t="s">
        <v>7710</v>
      </c>
      <c r="E2148" s="22" t="s">
        <v>3968</v>
      </c>
      <c r="F2148" s="24" t="s">
        <v>3969</v>
      </c>
      <c r="G2148" s="23" t="s">
        <v>32</v>
      </c>
      <c r="H2148" s="22"/>
      <c r="I2148" s="22" t="s">
        <v>172</v>
      </c>
      <c r="J2148" s="22" t="s">
        <v>1518</v>
      </c>
      <c r="K2148" s="24" t="s">
        <v>7946</v>
      </c>
      <c r="L2148" s="24"/>
      <c r="M2148" s="25" t="s">
        <v>3970</v>
      </c>
      <c r="N2148" s="22"/>
      <c r="O2148" s="22" t="s">
        <v>3971</v>
      </c>
      <c r="P2148" s="22" t="str">
        <f>HYPERLINK("https://ceds.ed.gov/cedselementdetails.aspx?termid=22318")</f>
        <v>https://ceds.ed.gov/cedselementdetails.aspx?termid=22318</v>
      </c>
      <c r="Q2148" s="22">
        <v>61194</v>
      </c>
    </row>
    <row r="2149" spans="1:17" ht="57.6" x14ac:dyDescent="0.3">
      <c r="A2149" s="22" t="s">
        <v>7779</v>
      </c>
      <c r="B2149" s="22" t="s">
        <v>7764</v>
      </c>
      <c r="C2149" s="22" t="s">
        <v>7730</v>
      </c>
      <c r="D2149" s="22" t="s">
        <v>7710</v>
      </c>
      <c r="E2149" s="22" t="s">
        <v>3972</v>
      </c>
      <c r="F2149" s="24" t="s">
        <v>3973</v>
      </c>
      <c r="G2149" s="23" t="s">
        <v>32</v>
      </c>
      <c r="H2149" s="22"/>
      <c r="I2149" s="22" t="s">
        <v>172</v>
      </c>
      <c r="J2149" s="22" t="s">
        <v>1518</v>
      </c>
      <c r="K2149" s="24" t="s">
        <v>7946</v>
      </c>
      <c r="L2149" s="24" t="s">
        <v>3974</v>
      </c>
      <c r="M2149" s="25" t="s">
        <v>3975</v>
      </c>
      <c r="N2149" s="22"/>
      <c r="O2149" s="22" t="s">
        <v>3976</v>
      </c>
      <c r="P2149" s="22" t="str">
        <f>HYPERLINK("https://ceds.ed.gov/cedselementdetails.aspx?termid=22625")</f>
        <v>https://ceds.ed.gov/cedselementdetails.aspx?termid=22625</v>
      </c>
      <c r="Q2149" s="22">
        <v>62326</v>
      </c>
    </row>
    <row r="2150" spans="1:17" ht="43.2" x14ac:dyDescent="0.3">
      <c r="A2150" s="22" t="s">
        <v>7779</v>
      </c>
      <c r="B2150" s="22" t="s">
        <v>7764</v>
      </c>
      <c r="C2150" s="22" t="s">
        <v>7730</v>
      </c>
      <c r="D2150" s="22" t="s">
        <v>7710</v>
      </c>
      <c r="E2150" s="22" t="s">
        <v>3964</v>
      </c>
      <c r="F2150" s="24" t="s">
        <v>3965</v>
      </c>
      <c r="G2150" s="23" t="s">
        <v>32</v>
      </c>
      <c r="H2150" s="22"/>
      <c r="I2150" s="22" t="s">
        <v>172</v>
      </c>
      <c r="J2150" s="22" t="s">
        <v>1518</v>
      </c>
      <c r="K2150" s="24" t="s">
        <v>7946</v>
      </c>
      <c r="L2150" s="24"/>
      <c r="M2150" s="25" t="s">
        <v>3966</v>
      </c>
      <c r="N2150" s="22"/>
      <c r="O2150" s="22" t="s">
        <v>3967</v>
      </c>
      <c r="P2150" s="22" t="str">
        <f>HYPERLINK("https://ceds.ed.gov/cedselementdetails.aspx?termid=22317")</f>
        <v>https://ceds.ed.gov/cedselementdetails.aspx?termid=22317</v>
      </c>
      <c r="Q2150" s="22">
        <v>61190</v>
      </c>
    </row>
    <row r="2151" spans="1:17" ht="43.2" x14ac:dyDescent="0.3">
      <c r="A2151" s="22" t="s">
        <v>7779</v>
      </c>
      <c r="B2151" s="22" t="s">
        <v>7764</v>
      </c>
      <c r="C2151" s="22" t="s">
        <v>7730</v>
      </c>
      <c r="D2151" s="22" t="s">
        <v>7710</v>
      </c>
      <c r="E2151" s="22" t="s">
        <v>4066</v>
      </c>
      <c r="F2151" s="24" t="s">
        <v>8202</v>
      </c>
      <c r="G2151" s="23" t="s">
        <v>32</v>
      </c>
      <c r="H2151" s="22"/>
      <c r="I2151" s="22" t="s">
        <v>172</v>
      </c>
      <c r="J2151" s="22" t="s">
        <v>1844</v>
      </c>
      <c r="K2151" s="24" t="s">
        <v>8159</v>
      </c>
      <c r="L2151" s="24"/>
      <c r="M2151" s="25" t="s">
        <v>4067</v>
      </c>
      <c r="N2151" s="22"/>
      <c r="O2151" s="22" t="s">
        <v>4068</v>
      </c>
      <c r="P2151" s="22" t="str">
        <f>HYPERLINK("https://ceds.ed.gov/cedselementdetails.aspx?termid=22620")</f>
        <v>https://ceds.ed.gov/cedselementdetails.aspx?termid=22620</v>
      </c>
      <c r="Q2151" s="22">
        <v>62308</v>
      </c>
    </row>
    <row r="2152" spans="1:17" ht="28.8" x14ac:dyDescent="0.3">
      <c r="A2152" s="22" t="s">
        <v>7779</v>
      </c>
      <c r="B2152" s="22" t="s">
        <v>7764</v>
      </c>
      <c r="C2152" s="22" t="s">
        <v>7730</v>
      </c>
      <c r="D2152" s="22" t="s">
        <v>7710</v>
      </c>
      <c r="E2152" s="22" t="s">
        <v>4058</v>
      </c>
      <c r="F2152" s="24" t="s">
        <v>4059</v>
      </c>
      <c r="G2152" s="23" t="s">
        <v>32</v>
      </c>
      <c r="H2152" s="22"/>
      <c r="I2152" s="22" t="s">
        <v>172</v>
      </c>
      <c r="J2152" s="22" t="s">
        <v>118</v>
      </c>
      <c r="K2152" s="24" t="s">
        <v>7946</v>
      </c>
      <c r="L2152" s="24"/>
      <c r="M2152" s="25" t="s">
        <v>4060</v>
      </c>
      <c r="N2152" s="22"/>
      <c r="O2152" s="22" t="s">
        <v>4061</v>
      </c>
      <c r="P2152" s="22" t="str">
        <f>HYPERLINK("https://ceds.ed.gov/cedselementdetails.aspx?termid=22623")</f>
        <v>https://ceds.ed.gov/cedselementdetails.aspx?termid=22623</v>
      </c>
      <c r="Q2152" s="22">
        <v>62318</v>
      </c>
    </row>
    <row r="2153" spans="1:17" ht="57.6" x14ac:dyDescent="0.3">
      <c r="A2153" s="22" t="s">
        <v>7779</v>
      </c>
      <c r="B2153" s="22" t="s">
        <v>7764</v>
      </c>
      <c r="C2153" s="22" t="s">
        <v>7730</v>
      </c>
      <c r="D2153" s="22" t="s">
        <v>7710</v>
      </c>
      <c r="E2153" s="22" t="s">
        <v>4062</v>
      </c>
      <c r="F2153" s="24" t="s">
        <v>4063</v>
      </c>
      <c r="G2153" s="23" t="s">
        <v>32</v>
      </c>
      <c r="H2153" s="22"/>
      <c r="I2153" s="22" t="s">
        <v>172</v>
      </c>
      <c r="J2153" s="22" t="s">
        <v>118</v>
      </c>
      <c r="K2153" s="24" t="s">
        <v>7946</v>
      </c>
      <c r="L2153" s="24" t="s">
        <v>143</v>
      </c>
      <c r="M2153" s="25" t="s">
        <v>4064</v>
      </c>
      <c r="N2153" s="22"/>
      <c r="O2153" s="22" t="s">
        <v>4065</v>
      </c>
      <c r="P2153" s="22" t="str">
        <f>HYPERLINK("https://ceds.ed.gov/cedselementdetails.aspx?termid=22624")</f>
        <v>https://ceds.ed.gov/cedselementdetails.aspx?termid=22624</v>
      </c>
      <c r="Q2153" s="22">
        <v>62322</v>
      </c>
    </row>
    <row r="2154" spans="1:17" ht="129.6" x14ac:dyDescent="0.3">
      <c r="A2154" s="22" t="s">
        <v>7779</v>
      </c>
      <c r="B2154" s="22" t="s">
        <v>7764</v>
      </c>
      <c r="C2154" s="22" t="s">
        <v>7730</v>
      </c>
      <c r="D2154" s="22" t="s">
        <v>7710</v>
      </c>
      <c r="E2154" s="22" t="s">
        <v>3977</v>
      </c>
      <c r="F2154" s="24" t="s">
        <v>3978</v>
      </c>
      <c r="G2154" s="23" t="s">
        <v>32</v>
      </c>
      <c r="H2154" s="22"/>
      <c r="I2154" s="22" t="s">
        <v>172</v>
      </c>
      <c r="J2154" s="22" t="s">
        <v>1518</v>
      </c>
      <c r="K2154" s="24" t="s">
        <v>7946</v>
      </c>
      <c r="L2154" s="24" t="s">
        <v>3979</v>
      </c>
      <c r="M2154" s="25" t="s">
        <v>3980</v>
      </c>
      <c r="N2154" s="22"/>
      <c r="O2154" s="22" t="s">
        <v>3981</v>
      </c>
      <c r="P2154" s="22" t="str">
        <f>HYPERLINK("https://ceds.ed.gov/cedselementdetails.aspx?termid=22628")</f>
        <v>https://ceds.ed.gov/cedselementdetails.aspx?termid=22628</v>
      </c>
      <c r="Q2154" s="22">
        <v>62338</v>
      </c>
    </row>
    <row r="2155" spans="1:17" ht="28.8" x14ac:dyDescent="0.3">
      <c r="A2155" s="22" t="s">
        <v>7779</v>
      </c>
      <c r="B2155" s="22" t="s">
        <v>7764</v>
      </c>
      <c r="C2155" s="22" t="s">
        <v>7730</v>
      </c>
      <c r="D2155" s="22" t="s">
        <v>7710</v>
      </c>
      <c r="E2155" s="22" t="s">
        <v>3960</v>
      </c>
      <c r="F2155" s="24" t="s">
        <v>3961</v>
      </c>
      <c r="G2155" s="23" t="s">
        <v>32</v>
      </c>
      <c r="H2155" s="22"/>
      <c r="I2155" s="22" t="s">
        <v>172</v>
      </c>
      <c r="J2155" s="22" t="s">
        <v>118</v>
      </c>
      <c r="K2155" s="24" t="s">
        <v>7946</v>
      </c>
      <c r="L2155" s="24"/>
      <c r="M2155" s="25" t="s">
        <v>3962</v>
      </c>
      <c r="N2155" s="22"/>
      <c r="O2155" s="22" t="s">
        <v>3963</v>
      </c>
      <c r="P2155" s="22" t="str">
        <f>HYPERLINK("https://ceds.ed.gov/cedselementdetails.aspx?termid=22629")</f>
        <v>https://ceds.ed.gov/cedselementdetails.aspx?termid=22629</v>
      </c>
      <c r="Q2155" s="22">
        <v>62342</v>
      </c>
    </row>
    <row r="2156" spans="1:17" ht="144" x14ac:dyDescent="0.3">
      <c r="A2156" s="22" t="s">
        <v>7779</v>
      </c>
      <c r="B2156" s="22" t="s">
        <v>7764</v>
      </c>
      <c r="C2156" s="22" t="s">
        <v>7730</v>
      </c>
      <c r="D2156" s="22" t="s">
        <v>7710</v>
      </c>
      <c r="E2156" s="22" t="s">
        <v>8136</v>
      </c>
      <c r="F2156" s="24" t="s">
        <v>3944</v>
      </c>
      <c r="G2156" s="26" t="s">
        <v>8441</v>
      </c>
      <c r="H2156" s="22"/>
      <c r="I2156" s="22" t="s">
        <v>172</v>
      </c>
      <c r="J2156" s="22"/>
      <c r="K2156" s="24" t="s">
        <v>8137</v>
      </c>
      <c r="L2156" s="24" t="s">
        <v>8138</v>
      </c>
      <c r="M2156" s="25" t="s">
        <v>3945</v>
      </c>
      <c r="N2156" s="22"/>
      <c r="O2156" s="22" t="s">
        <v>8139</v>
      </c>
      <c r="P2156" s="22" t="str">
        <f>HYPERLINK("https://ceds.ed.gov/cedselementdetails.aspx?termid=22314")</f>
        <v>https://ceds.ed.gov/cedselementdetails.aspx?termid=22314</v>
      </c>
      <c r="Q2156" s="22">
        <v>61177</v>
      </c>
    </row>
    <row r="2157" spans="1:17" ht="144" x14ac:dyDescent="0.3">
      <c r="A2157" s="22" t="s">
        <v>7779</v>
      </c>
      <c r="B2157" s="22" t="s">
        <v>7764</v>
      </c>
      <c r="C2157" s="22" t="s">
        <v>7730</v>
      </c>
      <c r="D2157" s="22" t="s">
        <v>7710</v>
      </c>
      <c r="E2157" s="22" t="s">
        <v>8154</v>
      </c>
      <c r="F2157" s="24" t="s">
        <v>8155</v>
      </c>
      <c r="G2157" s="26" t="s">
        <v>8444</v>
      </c>
      <c r="H2157" s="22"/>
      <c r="I2157" s="22" t="s">
        <v>172</v>
      </c>
      <c r="J2157" s="22"/>
      <c r="K2157" s="24" t="s">
        <v>8137</v>
      </c>
      <c r="L2157" s="24" t="s">
        <v>8156</v>
      </c>
      <c r="M2157" s="25" t="s">
        <v>3946</v>
      </c>
      <c r="N2157" s="22"/>
      <c r="O2157" s="22" t="s">
        <v>8157</v>
      </c>
      <c r="P2157" s="22" t="str">
        <f>HYPERLINK("https://ceds.ed.gov/cedselementdetails.aspx?termid=22316")</f>
        <v>https://ceds.ed.gov/cedselementdetails.aspx?termid=22316</v>
      </c>
      <c r="Q2157" s="22">
        <v>61186</v>
      </c>
    </row>
    <row r="2158" spans="1:17" ht="43.2" x14ac:dyDescent="0.3">
      <c r="A2158" s="22" t="s">
        <v>7779</v>
      </c>
      <c r="B2158" s="22" t="s">
        <v>7764</v>
      </c>
      <c r="C2158" s="22" t="s">
        <v>7730</v>
      </c>
      <c r="D2158" s="22" t="s">
        <v>7710</v>
      </c>
      <c r="E2158" s="22" t="s">
        <v>3957</v>
      </c>
      <c r="F2158" s="24" t="s">
        <v>8160</v>
      </c>
      <c r="G2158" s="23" t="s">
        <v>32</v>
      </c>
      <c r="H2158" s="22"/>
      <c r="I2158" s="22" t="s">
        <v>172</v>
      </c>
      <c r="J2158" s="22" t="s">
        <v>85</v>
      </c>
      <c r="K2158" s="24" t="s">
        <v>8159</v>
      </c>
      <c r="L2158" s="24"/>
      <c r="M2158" s="25" t="s">
        <v>3958</v>
      </c>
      <c r="N2158" s="22"/>
      <c r="O2158" s="22" t="s">
        <v>3959</v>
      </c>
      <c r="P2158" s="22" t="str">
        <f>HYPERLINK("https://ceds.ed.gov/cedselementdetails.aspx?termid=22627")</f>
        <v>https://ceds.ed.gov/cedselementdetails.aspx?termid=22627</v>
      </c>
      <c r="Q2158" s="22">
        <v>62334</v>
      </c>
    </row>
    <row r="2159" spans="1:17" ht="43.2" x14ac:dyDescent="0.3">
      <c r="A2159" s="22" t="s">
        <v>7779</v>
      </c>
      <c r="B2159" s="22" t="s">
        <v>7764</v>
      </c>
      <c r="C2159" s="22" t="s">
        <v>7730</v>
      </c>
      <c r="D2159" s="22" t="s">
        <v>7710</v>
      </c>
      <c r="E2159" s="22" t="s">
        <v>3954</v>
      </c>
      <c r="F2159" s="24" t="s">
        <v>8158</v>
      </c>
      <c r="G2159" s="23" t="s">
        <v>32</v>
      </c>
      <c r="H2159" s="22"/>
      <c r="I2159" s="22" t="s">
        <v>172</v>
      </c>
      <c r="J2159" s="22" t="s">
        <v>780</v>
      </c>
      <c r="K2159" s="24" t="s">
        <v>8159</v>
      </c>
      <c r="L2159" s="24"/>
      <c r="M2159" s="25" t="s">
        <v>3955</v>
      </c>
      <c r="N2159" s="22"/>
      <c r="O2159" s="22" t="s">
        <v>3956</v>
      </c>
      <c r="P2159" s="22" t="str">
        <f>HYPERLINK("https://ceds.ed.gov/cedselementdetails.aspx?termid=22626")</f>
        <v>https://ceds.ed.gov/cedselementdetails.aspx?termid=22626</v>
      </c>
      <c r="Q2159" s="22">
        <v>62330</v>
      </c>
    </row>
    <row r="2160" spans="1:17" ht="409.6" x14ac:dyDescent="0.3">
      <c r="A2160" s="22" t="s">
        <v>7779</v>
      </c>
      <c r="B2160" s="22" t="s">
        <v>7764</v>
      </c>
      <c r="C2160" s="22" t="s">
        <v>7730</v>
      </c>
      <c r="D2160" s="22" t="s">
        <v>7710</v>
      </c>
      <c r="E2160" s="22" t="s">
        <v>8161</v>
      </c>
      <c r="F2160" s="24" t="s">
        <v>8162</v>
      </c>
      <c r="G2160" s="26" t="s">
        <v>8445</v>
      </c>
      <c r="H2160" s="22"/>
      <c r="I2160" s="22" t="s">
        <v>172</v>
      </c>
      <c r="J2160" s="22"/>
      <c r="K2160" s="24" t="s">
        <v>8137</v>
      </c>
      <c r="L2160" s="24" t="s">
        <v>8163</v>
      </c>
      <c r="M2160" s="25" t="s">
        <v>3947</v>
      </c>
      <c r="N2160" s="22"/>
      <c r="O2160" s="22" t="s">
        <v>8164</v>
      </c>
      <c r="P2160" s="22" t="str">
        <f>HYPERLINK("https://ceds.ed.gov/cedselementdetails.aspx?termid=22440")</f>
        <v>https://ceds.ed.gov/cedselementdetails.aspx?termid=22440</v>
      </c>
      <c r="Q2160" s="22">
        <v>61857</v>
      </c>
    </row>
    <row r="2161" spans="1:17" ht="409.6" x14ac:dyDescent="0.3">
      <c r="A2161" s="22" t="s">
        <v>7779</v>
      </c>
      <c r="B2161" s="22" t="s">
        <v>7764</v>
      </c>
      <c r="C2161" s="22" t="s">
        <v>7730</v>
      </c>
      <c r="D2161" s="22" t="s">
        <v>7710</v>
      </c>
      <c r="E2161" s="22" t="s">
        <v>8173</v>
      </c>
      <c r="F2161" s="24" t="s">
        <v>8174</v>
      </c>
      <c r="G2161" s="26" t="s">
        <v>8447</v>
      </c>
      <c r="H2161" s="22"/>
      <c r="I2161" s="22" t="s">
        <v>172</v>
      </c>
      <c r="J2161" s="22"/>
      <c r="K2161" s="24" t="s">
        <v>8175</v>
      </c>
      <c r="L2161" s="24" t="s">
        <v>8176</v>
      </c>
      <c r="M2161" s="25" t="s">
        <v>4017</v>
      </c>
      <c r="N2161" s="22"/>
      <c r="O2161" s="22" t="s">
        <v>8177</v>
      </c>
      <c r="P2161" s="22" t="str">
        <f>HYPERLINK("https://ceds.ed.gov/cedselementdetails.aspx?termid=22321")</f>
        <v>https://ceds.ed.gov/cedselementdetails.aspx?termid=22321</v>
      </c>
      <c r="Q2161" s="22">
        <v>61203</v>
      </c>
    </row>
    <row r="2162" spans="1:17" ht="409.6" x14ac:dyDescent="0.3">
      <c r="A2162" s="22" t="s">
        <v>7779</v>
      </c>
      <c r="B2162" s="22" t="s">
        <v>7764</v>
      </c>
      <c r="C2162" s="22" t="s">
        <v>7730</v>
      </c>
      <c r="D2162" s="22" t="s">
        <v>7710</v>
      </c>
      <c r="E2162" s="22" t="s">
        <v>8191</v>
      </c>
      <c r="F2162" s="24" t="s">
        <v>8192</v>
      </c>
      <c r="G2162" s="26" t="s">
        <v>8449</v>
      </c>
      <c r="H2162" s="22"/>
      <c r="I2162" s="22" t="s">
        <v>172</v>
      </c>
      <c r="J2162" s="22"/>
      <c r="K2162" s="24" t="s">
        <v>8137</v>
      </c>
      <c r="L2162" s="24" t="s">
        <v>8193</v>
      </c>
      <c r="M2162" s="25" t="s">
        <v>4020</v>
      </c>
      <c r="N2162" s="22"/>
      <c r="O2162" s="22" t="s">
        <v>8194</v>
      </c>
      <c r="P2162" s="22" t="str">
        <f>HYPERLINK("https://ceds.ed.gov/cedselementdetails.aspx?termid=22322")</f>
        <v>https://ceds.ed.gov/cedselementdetails.aspx?termid=22322</v>
      </c>
      <c r="Q2162" s="22">
        <v>61207</v>
      </c>
    </row>
    <row r="2163" spans="1:17" ht="187.2" x14ac:dyDescent="0.3">
      <c r="A2163" s="22" t="s">
        <v>7779</v>
      </c>
      <c r="B2163" s="22" t="s">
        <v>7764</v>
      </c>
      <c r="C2163" s="22" t="s">
        <v>7730</v>
      </c>
      <c r="D2163" s="22" t="s">
        <v>7710</v>
      </c>
      <c r="E2163" s="22" t="s">
        <v>8178</v>
      </c>
      <c r="F2163" s="24" t="s">
        <v>4018</v>
      </c>
      <c r="G2163" s="26" t="s">
        <v>8448</v>
      </c>
      <c r="H2163" s="22"/>
      <c r="I2163" s="22" t="s">
        <v>172</v>
      </c>
      <c r="J2163" s="22"/>
      <c r="K2163" s="24" t="s">
        <v>8179</v>
      </c>
      <c r="L2163" s="24" t="s">
        <v>8180</v>
      </c>
      <c r="M2163" s="25" t="s">
        <v>4019</v>
      </c>
      <c r="N2163" s="22"/>
      <c r="O2163" s="22" t="s">
        <v>8181</v>
      </c>
      <c r="P2163" s="22" t="str">
        <f>HYPERLINK("https://ceds.ed.gov/cedselementdetails.aspx?termid=22531")</f>
        <v>https://ceds.ed.gov/cedselementdetails.aspx?termid=22531</v>
      </c>
      <c r="Q2163" s="22">
        <v>61849</v>
      </c>
    </row>
    <row r="2164" spans="1:17" ht="259.2" x14ac:dyDescent="0.3">
      <c r="A2164" s="22" t="s">
        <v>7779</v>
      </c>
      <c r="B2164" s="22" t="s">
        <v>7764</v>
      </c>
      <c r="C2164" s="22" t="s">
        <v>7730</v>
      </c>
      <c r="D2164" s="22" t="s">
        <v>7710</v>
      </c>
      <c r="E2164" s="22" t="s">
        <v>8195</v>
      </c>
      <c r="F2164" s="24" t="s">
        <v>8196</v>
      </c>
      <c r="G2164" s="23" t="s">
        <v>32</v>
      </c>
      <c r="H2164" s="22"/>
      <c r="I2164" s="22" t="s">
        <v>172</v>
      </c>
      <c r="J2164" s="22" t="s">
        <v>148</v>
      </c>
      <c r="K2164" s="24" t="s">
        <v>8197</v>
      </c>
      <c r="L2164" s="24" t="s">
        <v>8198</v>
      </c>
      <c r="M2164" s="25" t="s">
        <v>4021</v>
      </c>
      <c r="N2164" s="22"/>
      <c r="O2164" s="22" t="s">
        <v>8199</v>
      </c>
      <c r="P2164" s="22" t="str">
        <f>HYPERLINK("https://ceds.ed.gov/cedselementdetails.aspx?termid=22532")</f>
        <v>https://ceds.ed.gov/cedselementdetails.aspx?termid=22532</v>
      </c>
      <c r="Q2164" s="22">
        <v>61853</v>
      </c>
    </row>
    <row r="2165" spans="1:17" ht="100.8" x14ac:dyDescent="0.3">
      <c r="A2165" s="22" t="s">
        <v>7779</v>
      </c>
      <c r="B2165" s="22" t="s">
        <v>7764</v>
      </c>
      <c r="C2165" s="22" t="s">
        <v>9198</v>
      </c>
      <c r="D2165" s="22" t="s">
        <v>7741</v>
      </c>
      <c r="E2165" s="22" t="s">
        <v>2430</v>
      </c>
      <c r="F2165" s="24" t="s">
        <v>2431</v>
      </c>
      <c r="G2165" s="26" t="s">
        <v>8413</v>
      </c>
      <c r="H2165" s="22"/>
      <c r="I2165" s="22" t="s">
        <v>172</v>
      </c>
      <c r="J2165" s="22"/>
      <c r="K2165" s="24" t="s">
        <v>8050</v>
      </c>
      <c r="L2165" s="24" t="s">
        <v>2432</v>
      </c>
      <c r="M2165" s="25" t="s">
        <v>2433</v>
      </c>
      <c r="N2165" s="22"/>
      <c r="O2165" s="22" t="s">
        <v>2434</v>
      </c>
      <c r="P2165" s="22" t="str">
        <f>HYPERLINK("https://ceds.ed.gov/cedselementdetails.aspx?termid=21877")</f>
        <v>https://ceds.ed.gov/cedselementdetails.aspx?termid=21877</v>
      </c>
      <c r="Q2165" s="22">
        <v>63931</v>
      </c>
    </row>
    <row r="2166" spans="1:17" ht="72" x14ac:dyDescent="0.3">
      <c r="A2166" s="22" t="s">
        <v>7779</v>
      </c>
      <c r="B2166" s="22" t="s">
        <v>7764</v>
      </c>
      <c r="C2166" s="22" t="s">
        <v>9198</v>
      </c>
      <c r="D2166" s="22" t="s">
        <v>7741</v>
      </c>
      <c r="E2166" s="22" t="s">
        <v>2435</v>
      </c>
      <c r="F2166" s="24" t="s">
        <v>2436</v>
      </c>
      <c r="G2166" s="23" t="s">
        <v>32</v>
      </c>
      <c r="H2166" s="22"/>
      <c r="I2166" s="22" t="s">
        <v>172</v>
      </c>
      <c r="J2166" s="22" t="s">
        <v>317</v>
      </c>
      <c r="K2166" s="24" t="s">
        <v>8050</v>
      </c>
      <c r="L2166" s="24" t="s">
        <v>8051</v>
      </c>
      <c r="M2166" s="25" t="s">
        <v>2437</v>
      </c>
      <c r="N2166" s="22"/>
      <c r="O2166" s="22" t="s">
        <v>2438</v>
      </c>
      <c r="P2166" s="22" t="str">
        <f>HYPERLINK("https://ceds.ed.gov/cedselementdetails.aspx?termid=21878")</f>
        <v>https://ceds.ed.gov/cedselementdetails.aspx?termid=21878</v>
      </c>
      <c r="Q2166" s="22">
        <v>63932</v>
      </c>
    </row>
    <row r="2167" spans="1:17" ht="28.8" x14ac:dyDescent="0.3">
      <c r="A2167" s="22" t="s">
        <v>7779</v>
      </c>
      <c r="B2167" s="22" t="s">
        <v>7764</v>
      </c>
      <c r="C2167" s="22" t="s">
        <v>9198</v>
      </c>
      <c r="D2167" s="22" t="s">
        <v>7741</v>
      </c>
      <c r="E2167" s="22" t="s">
        <v>3257</v>
      </c>
      <c r="F2167" s="24" t="s">
        <v>3258</v>
      </c>
      <c r="G2167" s="23" t="s">
        <v>32</v>
      </c>
      <c r="H2167" s="22"/>
      <c r="I2167" s="22" t="s">
        <v>172</v>
      </c>
      <c r="J2167" s="22" t="s">
        <v>1699</v>
      </c>
      <c r="K2167" s="24" t="s">
        <v>8050</v>
      </c>
      <c r="L2167" s="24"/>
      <c r="M2167" s="25" t="s">
        <v>3259</v>
      </c>
      <c r="N2167" s="22"/>
      <c r="O2167" s="22" t="s">
        <v>3260</v>
      </c>
      <c r="P2167" s="22" t="str">
        <f>HYPERLINK("https://ceds.ed.gov/cedselementdetails.aspx?termid=22697")</f>
        <v>https://ceds.ed.gov/cedselementdetails.aspx?termid=22697</v>
      </c>
      <c r="Q2167" s="22">
        <v>63933</v>
      </c>
    </row>
    <row r="2168" spans="1:17" ht="100.8" x14ac:dyDescent="0.3">
      <c r="A2168" s="22" t="s">
        <v>7779</v>
      </c>
      <c r="B2168" s="22" t="s">
        <v>7764</v>
      </c>
      <c r="C2168" s="22" t="s">
        <v>9198</v>
      </c>
      <c r="D2168" s="22" t="s">
        <v>7741</v>
      </c>
      <c r="E2168" s="22" t="s">
        <v>4081</v>
      </c>
      <c r="F2168" s="24" t="s">
        <v>8203</v>
      </c>
      <c r="G2168" s="26" t="s">
        <v>8451</v>
      </c>
      <c r="H2168" s="22"/>
      <c r="I2168" s="22" t="s">
        <v>172</v>
      </c>
      <c r="J2168" s="22"/>
      <c r="K2168" s="24" t="s">
        <v>8204</v>
      </c>
      <c r="L2168" s="24" t="s">
        <v>8205</v>
      </c>
      <c r="M2168" s="25" t="s">
        <v>4082</v>
      </c>
      <c r="N2168" s="22"/>
      <c r="O2168" s="22" t="s">
        <v>4083</v>
      </c>
      <c r="P2168" s="22" t="str">
        <f>HYPERLINK("https://ceds.ed.gov/cedselementdetails.aspx?termid=22323")</f>
        <v>https://ceds.ed.gov/cedselementdetails.aspx?termid=22323</v>
      </c>
      <c r="Q2168" s="22">
        <v>63934</v>
      </c>
    </row>
    <row r="2169" spans="1:17" ht="28.8" x14ac:dyDescent="0.3">
      <c r="A2169" s="22" t="s">
        <v>7779</v>
      </c>
      <c r="B2169" s="22" t="s">
        <v>7764</v>
      </c>
      <c r="C2169" s="22" t="s">
        <v>9198</v>
      </c>
      <c r="D2169" s="22" t="s">
        <v>7741</v>
      </c>
      <c r="E2169" s="22" t="s">
        <v>4129</v>
      </c>
      <c r="F2169" s="24" t="s">
        <v>4130</v>
      </c>
      <c r="G2169" s="23" t="s">
        <v>32</v>
      </c>
      <c r="H2169" s="22"/>
      <c r="I2169" s="22" t="s">
        <v>172</v>
      </c>
      <c r="J2169" s="22" t="s">
        <v>113</v>
      </c>
      <c r="K2169" s="24" t="s">
        <v>8050</v>
      </c>
      <c r="L2169" s="24"/>
      <c r="M2169" s="25" t="s">
        <v>4131</v>
      </c>
      <c r="N2169" s="22"/>
      <c r="O2169" s="22" t="s">
        <v>4132</v>
      </c>
      <c r="P2169" s="22" t="str">
        <f>HYPERLINK("https://ceds.ed.gov/cedselementdetails.aspx?termid=21903")</f>
        <v>https://ceds.ed.gov/cedselementdetails.aspx?termid=21903</v>
      </c>
      <c r="Q2169" s="22">
        <v>63935</v>
      </c>
    </row>
    <row r="2170" spans="1:17" ht="28.8" x14ac:dyDescent="0.3">
      <c r="A2170" s="22" t="s">
        <v>7779</v>
      </c>
      <c r="B2170" s="22" t="s">
        <v>7764</v>
      </c>
      <c r="C2170" s="22" t="s">
        <v>9198</v>
      </c>
      <c r="D2170" s="22" t="s">
        <v>7741</v>
      </c>
      <c r="E2170" s="22" t="s">
        <v>4148</v>
      </c>
      <c r="F2170" s="24" t="s">
        <v>4149</v>
      </c>
      <c r="G2170" s="23" t="s">
        <v>32</v>
      </c>
      <c r="H2170" s="22"/>
      <c r="I2170" s="22" t="s">
        <v>172</v>
      </c>
      <c r="J2170" s="22" t="s">
        <v>157</v>
      </c>
      <c r="K2170" s="24" t="s">
        <v>8050</v>
      </c>
      <c r="L2170" s="24"/>
      <c r="M2170" s="25" t="s">
        <v>4150</v>
      </c>
      <c r="N2170" s="22"/>
      <c r="O2170" s="22" t="s">
        <v>4151</v>
      </c>
      <c r="P2170" s="22" t="str">
        <f>HYPERLINK("https://ceds.ed.gov/cedselementdetails.aspx?termid=22674")</f>
        <v>https://ceds.ed.gov/cedselementdetails.aspx?termid=22674</v>
      </c>
      <c r="Q2170" s="22">
        <v>63936</v>
      </c>
    </row>
    <row r="2171" spans="1:17" ht="43.2" x14ac:dyDescent="0.3">
      <c r="A2171" s="22" t="s">
        <v>7779</v>
      </c>
      <c r="B2171" s="22" t="s">
        <v>7764</v>
      </c>
      <c r="C2171" s="22" t="s">
        <v>9198</v>
      </c>
      <c r="D2171" s="22" t="s">
        <v>7741</v>
      </c>
      <c r="E2171" s="22" t="s">
        <v>4181</v>
      </c>
      <c r="F2171" s="24" t="s">
        <v>4182</v>
      </c>
      <c r="G2171" s="23" t="s">
        <v>32</v>
      </c>
      <c r="H2171" s="22"/>
      <c r="I2171" s="22" t="s">
        <v>172</v>
      </c>
      <c r="J2171" s="22" t="s">
        <v>113</v>
      </c>
      <c r="K2171" s="24" t="s">
        <v>8050</v>
      </c>
      <c r="L2171" s="24"/>
      <c r="M2171" s="25" t="s">
        <v>4183</v>
      </c>
      <c r="N2171" s="22"/>
      <c r="O2171" s="22" t="s">
        <v>4184</v>
      </c>
      <c r="P2171" s="22" t="str">
        <f>HYPERLINK("https://ceds.ed.gov/cedselementdetails.aspx?termid=21902")</f>
        <v>https://ceds.ed.gov/cedselementdetails.aspx?termid=21902</v>
      </c>
      <c r="Q2171" s="22">
        <v>63937</v>
      </c>
    </row>
    <row r="2172" spans="1:17" ht="72" x14ac:dyDescent="0.3">
      <c r="A2172" s="22" t="s">
        <v>7779</v>
      </c>
      <c r="B2172" s="22" t="s">
        <v>7764</v>
      </c>
      <c r="C2172" s="22" t="s">
        <v>9198</v>
      </c>
      <c r="D2172" s="22" t="s">
        <v>7741</v>
      </c>
      <c r="E2172" s="22" t="s">
        <v>4806</v>
      </c>
      <c r="F2172" s="24" t="s">
        <v>4807</v>
      </c>
      <c r="G2172" s="23" t="s">
        <v>32</v>
      </c>
      <c r="H2172" s="22"/>
      <c r="I2172" s="22" t="s">
        <v>172</v>
      </c>
      <c r="J2172" s="22" t="s">
        <v>317</v>
      </c>
      <c r="K2172" s="24" t="s">
        <v>8050</v>
      </c>
      <c r="L2172" s="24"/>
      <c r="M2172" s="25" t="s">
        <v>4808</v>
      </c>
      <c r="N2172" s="22"/>
      <c r="O2172" s="22" t="s">
        <v>4809</v>
      </c>
      <c r="P2172" s="22" t="str">
        <f>HYPERLINK("https://ceds.ed.gov/cedselementdetails.aspx?termid=21490")</f>
        <v>https://ceds.ed.gov/cedselementdetails.aspx?termid=21490</v>
      </c>
      <c r="Q2172" s="22">
        <v>63938</v>
      </c>
    </row>
    <row r="2173" spans="1:17" ht="172.8" x14ac:dyDescent="0.3">
      <c r="A2173" s="22" t="s">
        <v>7779</v>
      </c>
      <c r="B2173" s="22" t="s">
        <v>7764</v>
      </c>
      <c r="C2173" s="22" t="s">
        <v>9198</v>
      </c>
      <c r="D2173" s="22" t="s">
        <v>7741</v>
      </c>
      <c r="E2173" s="22" t="s">
        <v>6174</v>
      </c>
      <c r="F2173" s="24" t="s">
        <v>6175</v>
      </c>
      <c r="G2173" s="23" t="s">
        <v>32</v>
      </c>
      <c r="H2173" s="22" t="s">
        <v>2608</v>
      </c>
      <c r="I2173" s="22" t="s">
        <v>172</v>
      </c>
      <c r="J2173" s="22" t="s">
        <v>132</v>
      </c>
      <c r="K2173" s="24" t="s">
        <v>8282</v>
      </c>
      <c r="L2173" s="24" t="s">
        <v>7945</v>
      </c>
      <c r="M2173" s="25" t="s">
        <v>6176</v>
      </c>
      <c r="N2173" s="22"/>
      <c r="O2173" s="22" t="s">
        <v>6177</v>
      </c>
      <c r="P2173" s="22" t="str">
        <f>HYPERLINK("https://ceds.ed.gov/cedselementdetails.aspx?termid=21618")</f>
        <v>https://ceds.ed.gov/cedselementdetails.aspx?termid=21618</v>
      </c>
      <c r="Q2173" s="22">
        <v>63939</v>
      </c>
    </row>
    <row r="2174" spans="1:17" ht="43.2" x14ac:dyDescent="0.3">
      <c r="A2174" s="22" t="s">
        <v>7779</v>
      </c>
      <c r="B2174" s="22" t="s">
        <v>7764</v>
      </c>
      <c r="C2174" s="22" t="s">
        <v>9198</v>
      </c>
      <c r="D2174" s="22" t="s">
        <v>7741</v>
      </c>
      <c r="E2174" s="22" t="s">
        <v>6189</v>
      </c>
      <c r="F2174" s="24" t="s">
        <v>6190</v>
      </c>
      <c r="G2174" s="23" t="s">
        <v>32</v>
      </c>
      <c r="H2174" s="22" t="s">
        <v>2608</v>
      </c>
      <c r="I2174" s="22" t="s">
        <v>172</v>
      </c>
      <c r="J2174" s="22" t="s">
        <v>157</v>
      </c>
      <c r="K2174" s="24" t="s">
        <v>8282</v>
      </c>
      <c r="L2174" s="24"/>
      <c r="M2174" s="25" t="s">
        <v>6191</v>
      </c>
      <c r="N2174" s="22"/>
      <c r="O2174" s="22" t="s">
        <v>6192</v>
      </c>
      <c r="P2174" s="22" t="str">
        <f>HYPERLINK("https://ceds.ed.gov/cedselementdetails.aspx?termid=21619")</f>
        <v>https://ceds.ed.gov/cedselementdetails.aspx?termid=21619</v>
      </c>
      <c r="Q2174" s="22">
        <v>63940</v>
      </c>
    </row>
    <row r="2175" spans="1:17" ht="409.6" x14ac:dyDescent="0.3">
      <c r="A2175" s="22" t="s">
        <v>7779</v>
      </c>
      <c r="B2175" s="22" t="s">
        <v>7764</v>
      </c>
      <c r="C2175" s="22" t="s">
        <v>9198</v>
      </c>
      <c r="D2175" s="22" t="s">
        <v>7741</v>
      </c>
      <c r="E2175" s="22" t="s">
        <v>6230</v>
      </c>
      <c r="F2175" s="24" t="s">
        <v>6231</v>
      </c>
      <c r="G2175" s="26" t="s">
        <v>8506</v>
      </c>
      <c r="H2175" s="24" t="s">
        <v>64</v>
      </c>
      <c r="I2175" s="22" t="s">
        <v>172</v>
      </c>
      <c r="J2175" s="22"/>
      <c r="K2175" s="24" t="s">
        <v>8285</v>
      </c>
      <c r="L2175" s="24"/>
      <c r="M2175" s="25" t="s">
        <v>6232</v>
      </c>
      <c r="N2175" s="22"/>
      <c r="O2175" s="22" t="s">
        <v>6233</v>
      </c>
      <c r="P2175" s="22" t="str">
        <f>HYPERLINK("https://ceds.ed.gov/cedselementdetails.aspx?termid=21225")</f>
        <v>https://ceds.ed.gov/cedselementdetails.aspx?termid=21225</v>
      </c>
      <c r="Q2175" s="22">
        <v>63941</v>
      </c>
    </row>
    <row r="2176" spans="1:17" ht="158.4" x14ac:dyDescent="0.3">
      <c r="A2176" s="22" t="s">
        <v>7779</v>
      </c>
      <c r="B2176" s="22" t="s">
        <v>7764</v>
      </c>
      <c r="C2176" s="22" t="s">
        <v>9198</v>
      </c>
      <c r="D2176" s="22" t="s">
        <v>7741</v>
      </c>
      <c r="E2176" s="22" t="s">
        <v>6361</v>
      </c>
      <c r="F2176" s="24" t="s">
        <v>6362</v>
      </c>
      <c r="G2176" s="26" t="s">
        <v>8510</v>
      </c>
      <c r="H2176" s="22"/>
      <c r="I2176" s="22" t="s">
        <v>172</v>
      </c>
      <c r="J2176" s="22"/>
      <c r="K2176" s="24" t="s">
        <v>8050</v>
      </c>
      <c r="L2176" s="24"/>
      <c r="M2176" s="25" t="s">
        <v>6363</v>
      </c>
      <c r="N2176" s="22"/>
      <c r="O2176" s="22" t="s">
        <v>6364</v>
      </c>
      <c r="P2176" s="22" t="str">
        <f>HYPERLINK("https://ceds.ed.gov/cedselementdetails.aspx?termid=21515")</f>
        <v>https://ceds.ed.gov/cedselementdetails.aspx?termid=21515</v>
      </c>
      <c r="Q2176" s="22">
        <v>63942</v>
      </c>
    </row>
    <row r="2177" spans="1:17" ht="28.8" x14ac:dyDescent="0.3">
      <c r="A2177" s="22" t="s">
        <v>7779</v>
      </c>
      <c r="B2177" s="22" t="s">
        <v>7764</v>
      </c>
      <c r="C2177" s="22" t="s">
        <v>9198</v>
      </c>
      <c r="D2177" s="22" t="s">
        <v>7741</v>
      </c>
      <c r="E2177" s="22" t="s">
        <v>6742</v>
      </c>
      <c r="F2177" s="24" t="s">
        <v>6743</v>
      </c>
      <c r="G2177" s="23" t="s">
        <v>32</v>
      </c>
      <c r="H2177" s="24" t="s">
        <v>2063</v>
      </c>
      <c r="I2177" s="22" t="s">
        <v>172</v>
      </c>
      <c r="J2177" s="22" t="s">
        <v>430</v>
      </c>
      <c r="K2177" s="24" t="s">
        <v>8050</v>
      </c>
      <c r="L2177" s="24"/>
      <c r="M2177" s="25" t="s">
        <v>6744</v>
      </c>
      <c r="N2177" s="22"/>
      <c r="O2177" s="22" t="s">
        <v>6745</v>
      </c>
      <c r="P2177" s="22" t="str">
        <f>HYPERLINK("https://ceds.ed.gov/cedselementdetails.aspx?termid=21988")</f>
        <v>https://ceds.ed.gov/cedselementdetails.aspx?termid=21988</v>
      </c>
      <c r="Q2177" s="22">
        <v>63943</v>
      </c>
    </row>
    <row r="2178" spans="1:17" ht="28.8" x14ac:dyDescent="0.3">
      <c r="A2178" s="22" t="s">
        <v>7779</v>
      </c>
      <c r="B2178" s="22" t="s">
        <v>7764</v>
      </c>
      <c r="C2178" s="22" t="s">
        <v>9198</v>
      </c>
      <c r="D2178" s="22" t="s">
        <v>7741</v>
      </c>
      <c r="E2178" s="22" t="s">
        <v>6754</v>
      </c>
      <c r="F2178" s="24" t="s">
        <v>6755</v>
      </c>
      <c r="G2178" s="23" t="s">
        <v>32</v>
      </c>
      <c r="H2178" s="24" t="s">
        <v>2063</v>
      </c>
      <c r="I2178" s="22" t="s">
        <v>172</v>
      </c>
      <c r="J2178" s="22" t="s">
        <v>430</v>
      </c>
      <c r="K2178" s="24" t="s">
        <v>8050</v>
      </c>
      <c r="L2178" s="24"/>
      <c r="M2178" s="25" t="s">
        <v>6756</v>
      </c>
      <c r="N2178" s="22"/>
      <c r="O2178" s="22" t="s">
        <v>6757</v>
      </c>
      <c r="P2178" s="22" t="str">
        <f>HYPERLINK("https://ceds.ed.gov/cedselementdetails.aspx?termid=21986")</f>
        <v>https://ceds.ed.gov/cedselementdetails.aspx?termid=21986</v>
      </c>
      <c r="Q2178" s="22">
        <v>63944</v>
      </c>
    </row>
    <row r="2179" spans="1:17" ht="100.8" x14ac:dyDescent="0.3">
      <c r="A2179" s="22" t="s">
        <v>7779</v>
      </c>
      <c r="B2179" s="22" t="s">
        <v>7764</v>
      </c>
      <c r="C2179" s="22" t="s">
        <v>9198</v>
      </c>
      <c r="D2179" s="22" t="s">
        <v>7741</v>
      </c>
      <c r="E2179" s="22" t="s">
        <v>8333</v>
      </c>
      <c r="F2179" s="24" t="s">
        <v>8334</v>
      </c>
      <c r="G2179" s="26" t="s">
        <v>8383</v>
      </c>
      <c r="H2179" s="22"/>
      <c r="I2179" s="22" t="s">
        <v>167</v>
      </c>
      <c r="J2179" s="22" t="s">
        <v>2</v>
      </c>
      <c r="K2179" s="24" t="s">
        <v>7949</v>
      </c>
      <c r="L2179" s="24"/>
      <c r="M2179" s="25" t="s">
        <v>8373</v>
      </c>
      <c r="N2179" s="22"/>
      <c r="O2179" s="22" t="s">
        <v>8335</v>
      </c>
      <c r="P2179" s="22" t="str">
        <f>HYPERLINK("https://ceds.ed.gov/cedselementdetails.aspx?termid=22994")</f>
        <v>https://ceds.ed.gov/cedselementdetails.aspx?termid=22994</v>
      </c>
      <c r="Q2179" s="22">
        <v>63945</v>
      </c>
    </row>
    <row r="2180" spans="1:17" ht="172.8" x14ac:dyDescent="0.3">
      <c r="A2180" s="22" t="s">
        <v>7779</v>
      </c>
      <c r="B2180" s="22" t="s">
        <v>7835</v>
      </c>
      <c r="C2180" s="22"/>
      <c r="D2180" s="22" t="s">
        <v>7710</v>
      </c>
      <c r="E2180" s="22" t="s">
        <v>4544</v>
      </c>
      <c r="F2180" s="24" t="s">
        <v>4545</v>
      </c>
      <c r="G2180" s="23" t="s">
        <v>32</v>
      </c>
      <c r="H2180" s="22"/>
      <c r="I2180" s="22"/>
      <c r="J2180" s="22" t="s">
        <v>132</v>
      </c>
      <c r="K2180" s="24"/>
      <c r="L2180" s="24" t="s">
        <v>7945</v>
      </c>
      <c r="M2180" s="25" t="s">
        <v>4546</v>
      </c>
      <c r="N2180" s="22"/>
      <c r="O2180" s="22" t="s">
        <v>4547</v>
      </c>
      <c r="P2180" s="22" t="str">
        <f>HYPERLINK("https://ceds.ed.gov/cedselementdetails.aspx?termid=21492")</f>
        <v>https://ceds.ed.gov/cedselementdetails.aspx?termid=21492</v>
      </c>
      <c r="Q2180" s="22">
        <v>59041</v>
      </c>
    </row>
    <row r="2181" spans="1:17" ht="28.8" x14ac:dyDescent="0.3">
      <c r="A2181" s="22" t="s">
        <v>7779</v>
      </c>
      <c r="B2181" s="22" t="s">
        <v>7835</v>
      </c>
      <c r="C2181" s="22"/>
      <c r="D2181" s="22" t="s">
        <v>7710</v>
      </c>
      <c r="E2181" s="22" t="s">
        <v>4536</v>
      </c>
      <c r="F2181" s="24" t="s">
        <v>4537</v>
      </c>
      <c r="G2181" s="23" t="s">
        <v>32</v>
      </c>
      <c r="H2181" s="22"/>
      <c r="I2181" s="22"/>
      <c r="J2181" s="22" t="s">
        <v>118</v>
      </c>
      <c r="K2181" s="24"/>
      <c r="L2181" s="24"/>
      <c r="M2181" s="25" t="s">
        <v>4538</v>
      </c>
      <c r="N2181" s="22"/>
      <c r="O2181" s="22" t="s">
        <v>4539</v>
      </c>
      <c r="P2181" s="22" t="str">
        <f>HYPERLINK("https://ceds.ed.gov/cedselementdetails.aspx?termid=21493")</f>
        <v>https://ceds.ed.gov/cedselementdetails.aspx?termid=21493</v>
      </c>
      <c r="Q2181" s="22">
        <v>59042</v>
      </c>
    </row>
    <row r="2182" spans="1:17" ht="28.8" x14ac:dyDescent="0.3">
      <c r="A2182" s="22" t="s">
        <v>7779</v>
      </c>
      <c r="B2182" s="22" t="s">
        <v>7835</v>
      </c>
      <c r="C2182" s="22"/>
      <c r="D2182" s="22" t="s">
        <v>7710</v>
      </c>
      <c r="E2182" s="22" t="s">
        <v>4594</v>
      </c>
      <c r="F2182" s="24" t="s">
        <v>4595</v>
      </c>
      <c r="G2182" s="23" t="s">
        <v>32</v>
      </c>
      <c r="H2182" s="22"/>
      <c r="I2182" s="22"/>
      <c r="J2182" s="22" t="s">
        <v>430</v>
      </c>
      <c r="K2182" s="24"/>
      <c r="L2182" s="24"/>
      <c r="M2182" s="25" t="s">
        <v>4596</v>
      </c>
      <c r="N2182" s="22"/>
      <c r="O2182" s="22" t="s">
        <v>4597</v>
      </c>
      <c r="P2182" s="22" t="str">
        <f>HYPERLINK("https://ceds.ed.gov/cedselementdetails.aspx?termid=21494")</f>
        <v>https://ceds.ed.gov/cedselementdetails.aspx?termid=21494</v>
      </c>
      <c r="Q2182" s="22">
        <v>59043</v>
      </c>
    </row>
    <row r="2183" spans="1:17" ht="187.2" x14ac:dyDescent="0.3">
      <c r="A2183" s="22" t="s">
        <v>7779</v>
      </c>
      <c r="B2183" s="22" t="s">
        <v>7835</v>
      </c>
      <c r="C2183" s="22"/>
      <c r="D2183" s="22" t="s">
        <v>7710</v>
      </c>
      <c r="E2183" s="22" t="s">
        <v>4598</v>
      </c>
      <c r="F2183" s="24" t="s">
        <v>4599</v>
      </c>
      <c r="G2183" s="26" t="s">
        <v>8951</v>
      </c>
      <c r="H2183" s="22"/>
      <c r="I2183" s="22"/>
      <c r="J2183" s="22"/>
      <c r="K2183" s="24"/>
      <c r="L2183" s="24"/>
      <c r="M2183" s="25" t="s">
        <v>4600</v>
      </c>
      <c r="N2183" s="22"/>
      <c r="O2183" s="22" t="s">
        <v>4601</v>
      </c>
      <c r="P2183" s="22" t="str">
        <f>HYPERLINK("https://ceds.ed.gov/cedselementdetails.aspx?termid=21506")</f>
        <v>https://ceds.ed.gov/cedselementdetails.aspx?termid=21506</v>
      </c>
      <c r="Q2183" s="22">
        <v>59054</v>
      </c>
    </row>
    <row r="2184" spans="1:17" x14ac:dyDescent="0.3">
      <c r="A2184" s="22" t="s">
        <v>7779</v>
      </c>
      <c r="B2184" s="22" t="s">
        <v>7835</v>
      </c>
      <c r="C2184" s="22"/>
      <c r="D2184" s="22" t="s">
        <v>7710</v>
      </c>
      <c r="E2184" s="22" t="s">
        <v>4540</v>
      </c>
      <c r="F2184" s="24" t="s">
        <v>4541</v>
      </c>
      <c r="G2184" s="23" t="s">
        <v>32</v>
      </c>
      <c r="H2184" s="22"/>
      <c r="I2184" s="22"/>
      <c r="J2184" s="22" t="s">
        <v>328</v>
      </c>
      <c r="K2184" s="24"/>
      <c r="L2184" s="24"/>
      <c r="M2184" s="25" t="s">
        <v>4542</v>
      </c>
      <c r="N2184" s="22"/>
      <c r="O2184" s="22" t="s">
        <v>4543</v>
      </c>
      <c r="P2184" s="22" t="str">
        <f>HYPERLINK("https://ceds.ed.gov/cedselementdetails.aspx?termid=21499")</f>
        <v>https://ceds.ed.gov/cedselementdetails.aspx?termid=21499</v>
      </c>
      <c r="Q2184" s="22">
        <v>59047</v>
      </c>
    </row>
    <row r="2185" spans="1:17" ht="409.6" x14ac:dyDescent="0.3">
      <c r="A2185" s="22" t="s">
        <v>7779</v>
      </c>
      <c r="B2185" s="22" t="s">
        <v>7835</v>
      </c>
      <c r="C2185" s="22"/>
      <c r="D2185" s="22" t="s">
        <v>7710</v>
      </c>
      <c r="E2185" s="22" t="s">
        <v>4529</v>
      </c>
      <c r="F2185" s="24" t="s">
        <v>4530</v>
      </c>
      <c r="G2185" s="26" t="s">
        <v>8944</v>
      </c>
      <c r="H2185" s="22"/>
      <c r="I2185" s="22"/>
      <c r="J2185" s="22"/>
      <c r="K2185" s="24"/>
      <c r="L2185" s="24"/>
      <c r="M2185" s="25" t="s">
        <v>4531</v>
      </c>
      <c r="N2185" s="22"/>
      <c r="O2185" s="22" t="s">
        <v>4532</v>
      </c>
      <c r="P2185" s="22" t="str">
        <f>HYPERLINK("https://ceds.ed.gov/cedselementdetails.aspx?termid=21500")</f>
        <v>https://ceds.ed.gov/cedselementdetails.aspx?termid=21500</v>
      </c>
      <c r="Q2185" s="22">
        <v>59048</v>
      </c>
    </row>
    <row r="2186" spans="1:17" ht="129.6" x14ac:dyDescent="0.3">
      <c r="A2186" s="22" t="s">
        <v>7779</v>
      </c>
      <c r="B2186" s="22" t="s">
        <v>7835</v>
      </c>
      <c r="C2186" s="22"/>
      <c r="D2186" s="22" t="s">
        <v>7710</v>
      </c>
      <c r="E2186" s="22" t="s">
        <v>6672</v>
      </c>
      <c r="F2186" s="24" t="s">
        <v>6673</v>
      </c>
      <c r="G2186" s="26" t="s">
        <v>9138</v>
      </c>
      <c r="H2186" s="22"/>
      <c r="I2186" s="22"/>
      <c r="J2186" s="22"/>
      <c r="K2186" s="24"/>
      <c r="L2186" s="24"/>
      <c r="M2186" s="25" t="s">
        <v>6674</v>
      </c>
      <c r="N2186" s="22"/>
      <c r="O2186" s="22" t="s">
        <v>6675</v>
      </c>
      <c r="P2186" s="22" t="str">
        <f>HYPERLINK("https://ceds.ed.gov/cedselementdetails.aspx?termid=21620")</f>
        <v>https://ceds.ed.gov/cedselementdetails.aspx?termid=21620</v>
      </c>
      <c r="Q2186" s="22">
        <v>59062</v>
      </c>
    </row>
    <row r="2187" spans="1:17" ht="374.4" x14ac:dyDescent="0.3">
      <c r="A2187" s="22" t="s">
        <v>7779</v>
      </c>
      <c r="B2187" s="22" t="s">
        <v>7835</v>
      </c>
      <c r="C2187" s="22"/>
      <c r="D2187" s="22" t="s">
        <v>7710</v>
      </c>
      <c r="E2187" s="22" t="s">
        <v>4553</v>
      </c>
      <c r="F2187" s="24" t="s">
        <v>4554</v>
      </c>
      <c r="G2187" s="26" t="s">
        <v>8946</v>
      </c>
      <c r="H2187" s="22"/>
      <c r="I2187" s="22"/>
      <c r="J2187" s="22"/>
      <c r="K2187" s="24"/>
      <c r="L2187" s="24"/>
      <c r="M2187" s="25" t="s">
        <v>4555</v>
      </c>
      <c r="N2187" s="22"/>
      <c r="O2187" s="22" t="s">
        <v>4556</v>
      </c>
      <c r="P2187" s="22" t="str">
        <f>HYPERLINK("https://ceds.ed.gov/cedselementdetails.aspx?termid=21610")</f>
        <v>https://ceds.ed.gov/cedselementdetails.aspx?termid=21610</v>
      </c>
      <c r="Q2187" s="22">
        <v>59061</v>
      </c>
    </row>
    <row r="2188" spans="1:17" ht="86.4" x14ac:dyDescent="0.3">
      <c r="A2188" s="22" t="s">
        <v>7779</v>
      </c>
      <c r="B2188" s="22" t="s">
        <v>7835</v>
      </c>
      <c r="C2188" s="22"/>
      <c r="D2188" s="22" t="s">
        <v>7710</v>
      </c>
      <c r="E2188" s="22" t="s">
        <v>4548</v>
      </c>
      <c r="F2188" s="24" t="s">
        <v>4549</v>
      </c>
      <c r="G2188" s="26" t="s">
        <v>8945</v>
      </c>
      <c r="H2188" s="22"/>
      <c r="I2188" s="22"/>
      <c r="J2188" s="22"/>
      <c r="K2188" s="24"/>
      <c r="L2188" s="24" t="s">
        <v>4550</v>
      </c>
      <c r="M2188" s="25" t="s">
        <v>4551</v>
      </c>
      <c r="N2188" s="22"/>
      <c r="O2188" s="22" t="s">
        <v>4552</v>
      </c>
      <c r="P2188" s="22" t="str">
        <f>HYPERLINK("https://ceds.ed.gov/cedselementdetails.aspx?termid=21501")</f>
        <v>https://ceds.ed.gov/cedselementdetails.aspx?termid=21501</v>
      </c>
      <c r="Q2188" s="22">
        <v>59049</v>
      </c>
    </row>
    <row r="2189" spans="1:17" ht="172.8" x14ac:dyDescent="0.3">
      <c r="A2189" s="22" t="s">
        <v>7779</v>
      </c>
      <c r="B2189" s="22" t="s">
        <v>7835</v>
      </c>
      <c r="C2189" s="22"/>
      <c r="D2189" s="22" t="s">
        <v>7710</v>
      </c>
      <c r="E2189" s="22" t="s">
        <v>6428</v>
      </c>
      <c r="F2189" s="24" t="s">
        <v>8295</v>
      </c>
      <c r="G2189" s="23" t="s">
        <v>32</v>
      </c>
      <c r="H2189" s="22"/>
      <c r="I2189" s="22"/>
      <c r="J2189" s="22" t="s">
        <v>132</v>
      </c>
      <c r="K2189" s="24"/>
      <c r="L2189" s="24" t="s">
        <v>7945</v>
      </c>
      <c r="M2189" s="25" t="s">
        <v>6429</v>
      </c>
      <c r="N2189" s="22"/>
      <c r="O2189" s="22" t="s">
        <v>6430</v>
      </c>
      <c r="P2189" s="22" t="str">
        <f>HYPERLINK("https://ceds.ed.gov/cedselementdetails.aspx?termid=21498")</f>
        <v>https://ceds.ed.gov/cedselementdetails.aspx?termid=21498</v>
      </c>
      <c r="Q2189" s="22">
        <v>59046</v>
      </c>
    </row>
    <row r="2190" spans="1:17" ht="409.6" x14ac:dyDescent="0.3">
      <c r="A2190" s="22" t="s">
        <v>7779</v>
      </c>
      <c r="B2190" s="22" t="s">
        <v>7835</v>
      </c>
      <c r="C2190" s="22"/>
      <c r="D2190" s="22" t="s">
        <v>7710</v>
      </c>
      <c r="E2190" s="22" t="s">
        <v>4590</v>
      </c>
      <c r="F2190" s="24" t="s">
        <v>4591</v>
      </c>
      <c r="G2190" s="26" t="s">
        <v>8950</v>
      </c>
      <c r="H2190" s="22"/>
      <c r="I2190" s="22"/>
      <c r="J2190" s="22"/>
      <c r="K2190" s="24"/>
      <c r="L2190" s="24"/>
      <c r="M2190" s="25" t="s">
        <v>4592</v>
      </c>
      <c r="N2190" s="22"/>
      <c r="O2190" s="22" t="s">
        <v>4593</v>
      </c>
      <c r="P2190" s="22" t="str">
        <f>HYPERLINK("https://ceds.ed.gov/cedselementdetails.aspx?termid=21497")</f>
        <v>https://ceds.ed.gov/cedselementdetails.aspx?termid=21497</v>
      </c>
      <c r="Q2190" s="22">
        <v>59045</v>
      </c>
    </row>
    <row r="2191" spans="1:17" ht="57.6" x14ac:dyDescent="0.3">
      <c r="A2191" s="22" t="s">
        <v>7779</v>
      </c>
      <c r="B2191" s="22" t="s">
        <v>7835</v>
      </c>
      <c r="C2191" s="22"/>
      <c r="D2191" s="22" t="s">
        <v>7710</v>
      </c>
      <c r="E2191" s="22" t="s">
        <v>4557</v>
      </c>
      <c r="F2191" s="24" t="s">
        <v>4558</v>
      </c>
      <c r="G2191" s="26" t="s">
        <v>8947</v>
      </c>
      <c r="H2191" s="22"/>
      <c r="I2191" s="22"/>
      <c r="J2191" s="22"/>
      <c r="K2191" s="24"/>
      <c r="L2191" s="24"/>
      <c r="M2191" s="25" t="s">
        <v>4559</v>
      </c>
      <c r="N2191" s="22"/>
      <c r="O2191" s="22" t="s">
        <v>4560</v>
      </c>
      <c r="P2191" s="22" t="str">
        <f>HYPERLINK("https://ceds.ed.gov/cedselementdetails.aspx?termid=22337")</f>
        <v>https://ceds.ed.gov/cedselementdetails.aspx?termid=22337</v>
      </c>
      <c r="Q2191" s="22">
        <v>61491</v>
      </c>
    </row>
    <row r="2192" spans="1:17" ht="172.8" x14ac:dyDescent="0.3">
      <c r="A2192" s="22" t="s">
        <v>7779</v>
      </c>
      <c r="B2192" s="22" t="s">
        <v>7835</v>
      </c>
      <c r="C2192" s="22"/>
      <c r="D2192" s="22" t="s">
        <v>7710</v>
      </c>
      <c r="E2192" s="22" t="s">
        <v>4561</v>
      </c>
      <c r="F2192" s="24" t="s">
        <v>4562</v>
      </c>
      <c r="G2192" s="23" t="s">
        <v>32</v>
      </c>
      <c r="H2192" s="22"/>
      <c r="I2192" s="22"/>
      <c r="J2192" s="22" t="s">
        <v>132</v>
      </c>
      <c r="K2192" s="24"/>
      <c r="L2192" s="24" t="s">
        <v>7945</v>
      </c>
      <c r="M2192" s="25" t="s">
        <v>4563</v>
      </c>
      <c r="N2192" s="22"/>
      <c r="O2192" s="22" t="s">
        <v>4564</v>
      </c>
      <c r="P2192" s="22" t="str">
        <f>HYPERLINK("https://ceds.ed.gov/cedselementdetails.aspx?termid=22338")</f>
        <v>https://ceds.ed.gov/cedselementdetails.aspx?termid=22338</v>
      </c>
      <c r="Q2192" s="22">
        <v>61492</v>
      </c>
    </row>
    <row r="2193" spans="1:17" ht="86.4" x14ac:dyDescent="0.3">
      <c r="A2193" s="22" t="s">
        <v>7779</v>
      </c>
      <c r="B2193" s="22" t="s">
        <v>7835</v>
      </c>
      <c r="C2193" s="22"/>
      <c r="D2193" s="22" t="s">
        <v>7710</v>
      </c>
      <c r="E2193" s="22" t="s">
        <v>4565</v>
      </c>
      <c r="F2193" s="24" t="s">
        <v>4566</v>
      </c>
      <c r="G2193" s="26" t="s">
        <v>8945</v>
      </c>
      <c r="H2193" s="22"/>
      <c r="I2193" s="22"/>
      <c r="J2193" s="22"/>
      <c r="K2193" s="24"/>
      <c r="L2193" s="24"/>
      <c r="M2193" s="25" t="s">
        <v>4567</v>
      </c>
      <c r="N2193" s="22"/>
      <c r="O2193" s="22" t="s">
        <v>4568</v>
      </c>
      <c r="P2193" s="22" t="str">
        <f>HYPERLINK("https://ceds.ed.gov/cedselementdetails.aspx?termid=22339")</f>
        <v>https://ceds.ed.gov/cedselementdetails.aspx?termid=22339</v>
      </c>
      <c r="Q2193" s="22">
        <v>61493</v>
      </c>
    </row>
    <row r="2194" spans="1:17" ht="409.6" x14ac:dyDescent="0.3">
      <c r="A2194" s="22" t="s">
        <v>7779</v>
      </c>
      <c r="B2194" s="22" t="s">
        <v>7835</v>
      </c>
      <c r="C2194" s="22"/>
      <c r="D2194" s="22" t="s">
        <v>7710</v>
      </c>
      <c r="E2194" s="22" t="s">
        <v>4569</v>
      </c>
      <c r="F2194" s="24" t="s">
        <v>4570</v>
      </c>
      <c r="G2194" s="26" t="s">
        <v>8948</v>
      </c>
      <c r="H2194" s="22"/>
      <c r="I2194" s="22"/>
      <c r="J2194" s="22"/>
      <c r="K2194" s="24"/>
      <c r="L2194" s="24"/>
      <c r="M2194" s="25" t="s">
        <v>4571</v>
      </c>
      <c r="N2194" s="22"/>
      <c r="O2194" s="22" t="s">
        <v>4572</v>
      </c>
      <c r="P2194" s="22" t="str">
        <f>HYPERLINK("https://ceds.ed.gov/cedselementdetails.aspx?termid=22340")</f>
        <v>https://ceds.ed.gov/cedselementdetails.aspx?termid=22340</v>
      </c>
      <c r="Q2194" s="22">
        <v>61494</v>
      </c>
    </row>
    <row r="2195" spans="1:17" ht="72" x14ac:dyDescent="0.3">
      <c r="A2195" s="22" t="s">
        <v>7779</v>
      </c>
      <c r="B2195" s="22" t="s">
        <v>7835</v>
      </c>
      <c r="C2195" s="22"/>
      <c r="D2195" s="22" t="s">
        <v>7710</v>
      </c>
      <c r="E2195" s="22" t="s">
        <v>4573</v>
      </c>
      <c r="F2195" s="24" t="s">
        <v>4574</v>
      </c>
      <c r="G2195" s="26" t="s">
        <v>8949</v>
      </c>
      <c r="H2195" s="22"/>
      <c r="I2195" s="22"/>
      <c r="J2195" s="22"/>
      <c r="K2195" s="24"/>
      <c r="L2195" s="24"/>
      <c r="M2195" s="25" t="s">
        <v>4575</v>
      </c>
      <c r="N2195" s="22"/>
      <c r="O2195" s="22" t="s">
        <v>4576</v>
      </c>
      <c r="P2195" s="22" t="str">
        <f>HYPERLINK("https://ceds.ed.gov/cedselementdetails.aspx?termid=22341")</f>
        <v>https://ceds.ed.gov/cedselementdetails.aspx?termid=22341</v>
      </c>
      <c r="Q2195" s="22">
        <v>61224</v>
      </c>
    </row>
    <row r="2196" spans="1:17" ht="172.8" x14ac:dyDescent="0.3">
      <c r="A2196" s="22" t="s">
        <v>7779</v>
      </c>
      <c r="B2196" s="22" t="s">
        <v>7835</v>
      </c>
      <c r="C2196" s="22"/>
      <c r="D2196" s="22" t="s">
        <v>7710</v>
      </c>
      <c r="E2196" s="22" t="s">
        <v>4602</v>
      </c>
      <c r="F2196" s="24" t="s">
        <v>4603</v>
      </c>
      <c r="G2196" s="23" t="s">
        <v>32</v>
      </c>
      <c r="H2196" s="22"/>
      <c r="I2196" s="22"/>
      <c r="J2196" s="22" t="s">
        <v>132</v>
      </c>
      <c r="K2196" s="24"/>
      <c r="L2196" s="24" t="s">
        <v>7945</v>
      </c>
      <c r="M2196" s="25" t="s">
        <v>4604</v>
      </c>
      <c r="N2196" s="22"/>
      <c r="O2196" s="22" t="s">
        <v>4605</v>
      </c>
      <c r="P2196" s="22" t="str">
        <f>HYPERLINK("https://ceds.ed.gov/cedselementdetails.aspx?termid=22346")</f>
        <v>https://ceds.ed.gov/cedselementdetails.aspx?termid=22346</v>
      </c>
      <c r="Q2196" s="22">
        <v>61499</v>
      </c>
    </row>
    <row r="2197" spans="1:17" ht="409.6" x14ac:dyDescent="0.3">
      <c r="A2197" s="22" t="s">
        <v>7779</v>
      </c>
      <c r="B2197" s="22" t="s">
        <v>7835</v>
      </c>
      <c r="C2197" s="22"/>
      <c r="D2197" s="22" t="s">
        <v>7710</v>
      </c>
      <c r="E2197" s="22" t="s">
        <v>4606</v>
      </c>
      <c r="F2197" s="24" t="s">
        <v>4607</v>
      </c>
      <c r="G2197" s="26" t="s">
        <v>8948</v>
      </c>
      <c r="H2197" s="22"/>
      <c r="I2197" s="22"/>
      <c r="J2197" s="22"/>
      <c r="K2197" s="24"/>
      <c r="L2197" s="24"/>
      <c r="M2197" s="25" t="s">
        <v>4608</v>
      </c>
      <c r="N2197" s="22"/>
      <c r="O2197" s="22" t="s">
        <v>4609</v>
      </c>
      <c r="P2197" s="22" t="str">
        <f>HYPERLINK("https://ceds.ed.gov/cedselementdetails.aspx?termid=22347")</f>
        <v>https://ceds.ed.gov/cedselementdetails.aspx?termid=22347</v>
      </c>
      <c r="Q2197" s="22">
        <v>61500</v>
      </c>
    </row>
    <row r="2198" spans="1:17" ht="172.8" x14ac:dyDescent="0.3">
      <c r="A2198" s="22" t="s">
        <v>7779</v>
      </c>
      <c r="B2198" s="22" t="s">
        <v>7835</v>
      </c>
      <c r="C2198" s="22"/>
      <c r="D2198" s="22" t="s">
        <v>7710</v>
      </c>
      <c r="E2198" s="22" t="s">
        <v>4610</v>
      </c>
      <c r="F2198" s="24" t="s">
        <v>4611</v>
      </c>
      <c r="G2198" s="23" t="s">
        <v>32</v>
      </c>
      <c r="H2198" s="22"/>
      <c r="I2198" s="22"/>
      <c r="J2198" s="22" t="s">
        <v>132</v>
      </c>
      <c r="K2198" s="24"/>
      <c r="L2198" s="24" t="s">
        <v>7945</v>
      </c>
      <c r="M2198" s="25" t="s">
        <v>4612</v>
      </c>
      <c r="N2198" s="22"/>
      <c r="O2198" s="22" t="s">
        <v>4613</v>
      </c>
      <c r="P2198" s="22" t="str">
        <f>HYPERLINK("https://ceds.ed.gov/cedselementdetails.aspx?termid=22348")</f>
        <v>https://ceds.ed.gov/cedselementdetails.aspx?termid=22348</v>
      </c>
      <c r="Q2198" s="22">
        <v>61501</v>
      </c>
    </row>
    <row r="2199" spans="1:17" ht="409.6" x14ac:dyDescent="0.3">
      <c r="A2199" s="22" t="s">
        <v>7779</v>
      </c>
      <c r="B2199" s="22" t="s">
        <v>7835</v>
      </c>
      <c r="C2199" s="22"/>
      <c r="D2199" s="22" t="s">
        <v>7710</v>
      </c>
      <c r="E2199" s="22" t="s">
        <v>4614</v>
      </c>
      <c r="F2199" s="24" t="s">
        <v>4615</v>
      </c>
      <c r="G2199" s="26" t="s">
        <v>8948</v>
      </c>
      <c r="H2199" s="22"/>
      <c r="I2199" s="22"/>
      <c r="J2199" s="22"/>
      <c r="K2199" s="24"/>
      <c r="L2199" s="24"/>
      <c r="M2199" s="25" t="s">
        <v>4616</v>
      </c>
      <c r="N2199" s="22"/>
      <c r="O2199" s="22" t="s">
        <v>4617</v>
      </c>
      <c r="P2199" s="22" t="str">
        <f>HYPERLINK("https://ceds.ed.gov/cedselementdetails.aspx?termid=22349")</f>
        <v>https://ceds.ed.gov/cedselementdetails.aspx?termid=22349</v>
      </c>
      <c r="Q2199" s="22">
        <v>61502</v>
      </c>
    </row>
    <row r="2200" spans="1:17" ht="57.6" x14ac:dyDescent="0.3">
      <c r="A2200" s="22" t="s">
        <v>7779</v>
      </c>
      <c r="B2200" s="22" t="s">
        <v>7835</v>
      </c>
      <c r="C2200" s="22"/>
      <c r="D2200" s="22" t="s">
        <v>7710</v>
      </c>
      <c r="E2200" s="22" t="s">
        <v>6420</v>
      </c>
      <c r="F2200" s="24" t="s">
        <v>6421</v>
      </c>
      <c r="G2200" s="26" t="s">
        <v>22</v>
      </c>
      <c r="H2200" s="22"/>
      <c r="I2200" s="22"/>
      <c r="J2200" s="22"/>
      <c r="K2200" s="24"/>
      <c r="L2200" s="24"/>
      <c r="M2200" s="25" t="s">
        <v>6422</v>
      </c>
      <c r="N2200" s="22"/>
      <c r="O2200" s="22" t="s">
        <v>6423</v>
      </c>
      <c r="P2200" s="22" t="str">
        <f>HYPERLINK("https://ceds.ed.gov/cedselementdetails.aspx?termid=21503")</f>
        <v>https://ceds.ed.gov/cedselementdetails.aspx?termid=21503</v>
      </c>
      <c r="Q2200" s="22">
        <v>59051</v>
      </c>
    </row>
    <row r="2201" spans="1:17" ht="72" x14ac:dyDescent="0.3">
      <c r="A2201" s="22" t="s">
        <v>7779</v>
      </c>
      <c r="B2201" s="22" t="s">
        <v>7835</v>
      </c>
      <c r="C2201" s="22"/>
      <c r="D2201" s="22" t="s">
        <v>7710</v>
      </c>
      <c r="E2201" s="22" t="s">
        <v>4577</v>
      </c>
      <c r="F2201" s="24" t="s">
        <v>4578</v>
      </c>
      <c r="G2201" s="23" t="s">
        <v>32</v>
      </c>
      <c r="H2201" s="22"/>
      <c r="I2201" s="22"/>
      <c r="J2201" s="22" t="s">
        <v>780</v>
      </c>
      <c r="K2201" s="24"/>
      <c r="L2201" s="24"/>
      <c r="M2201" s="25" t="s">
        <v>4579</v>
      </c>
      <c r="N2201" s="22"/>
      <c r="O2201" s="22" t="s">
        <v>4580</v>
      </c>
      <c r="P2201" s="22" t="str">
        <f>HYPERLINK("https://ceds.ed.gov/cedselementdetails.aspx?termid=22342")</f>
        <v>https://ceds.ed.gov/cedselementdetails.aspx?termid=22342</v>
      </c>
      <c r="Q2201" s="22">
        <v>61495</v>
      </c>
    </row>
    <row r="2202" spans="1:17" ht="72" x14ac:dyDescent="0.3">
      <c r="A2202" s="22" t="s">
        <v>7779</v>
      </c>
      <c r="B2202" s="22" t="s">
        <v>7835</v>
      </c>
      <c r="C2202" s="22"/>
      <c r="D2202" s="22" t="s">
        <v>7710</v>
      </c>
      <c r="E2202" s="22" t="s">
        <v>4581</v>
      </c>
      <c r="F2202" s="24" t="s">
        <v>4582</v>
      </c>
      <c r="G2202" s="26" t="s">
        <v>22</v>
      </c>
      <c r="H2202" s="22"/>
      <c r="I2202" s="22"/>
      <c r="J2202" s="22"/>
      <c r="K2202" s="24"/>
      <c r="L2202" s="24" t="s">
        <v>4583</v>
      </c>
      <c r="M2202" s="25" t="s">
        <v>4584</v>
      </c>
      <c r="N2202" s="22"/>
      <c r="O2202" s="22" t="s">
        <v>4585</v>
      </c>
      <c r="P2202" s="22" t="str">
        <f>HYPERLINK("https://ceds.ed.gov/cedselementdetails.aspx?termid=22343")</f>
        <v>https://ceds.ed.gov/cedselementdetails.aspx?termid=22343</v>
      </c>
      <c r="Q2202" s="22">
        <v>61496</v>
      </c>
    </row>
    <row r="2203" spans="1:17" ht="72" x14ac:dyDescent="0.3">
      <c r="A2203" s="22" t="s">
        <v>7779</v>
      </c>
      <c r="B2203" s="22" t="s">
        <v>7835</v>
      </c>
      <c r="C2203" s="22"/>
      <c r="D2203" s="22" t="s">
        <v>7710</v>
      </c>
      <c r="E2203" s="22" t="s">
        <v>4586</v>
      </c>
      <c r="F2203" s="24" t="s">
        <v>4587</v>
      </c>
      <c r="G2203" s="26" t="s">
        <v>22</v>
      </c>
      <c r="H2203" s="22"/>
      <c r="I2203" s="22"/>
      <c r="J2203" s="22"/>
      <c r="K2203" s="24"/>
      <c r="L2203" s="24"/>
      <c r="M2203" s="25" t="s">
        <v>4588</v>
      </c>
      <c r="N2203" s="22"/>
      <c r="O2203" s="22" t="s">
        <v>4589</v>
      </c>
      <c r="P2203" s="22" t="str">
        <f>HYPERLINK("https://ceds.ed.gov/cedselementdetails.aspx?termid=22345")</f>
        <v>https://ceds.ed.gov/cedselementdetails.aspx?termid=22345</v>
      </c>
      <c r="Q2203" s="22">
        <v>61498</v>
      </c>
    </row>
    <row r="2204" spans="1:17" ht="230.4" x14ac:dyDescent="0.3">
      <c r="A2204" s="22" t="s">
        <v>7779</v>
      </c>
      <c r="B2204" s="22" t="s">
        <v>7835</v>
      </c>
      <c r="C2204" s="22"/>
      <c r="D2204" s="22" t="s">
        <v>7710</v>
      </c>
      <c r="E2204" s="22" t="s">
        <v>7365</v>
      </c>
      <c r="F2204" s="24" t="s">
        <v>7366</v>
      </c>
      <c r="G2204" s="26" t="s">
        <v>9188</v>
      </c>
      <c r="H2204" s="22"/>
      <c r="I2204" s="22"/>
      <c r="J2204" s="22"/>
      <c r="K2204" s="24"/>
      <c r="L2204" s="24" t="s">
        <v>7367</v>
      </c>
      <c r="M2204" s="25" t="s">
        <v>7368</v>
      </c>
      <c r="N2204" s="22"/>
      <c r="O2204" s="22" t="s">
        <v>7369</v>
      </c>
      <c r="P2204" s="22" t="str">
        <f>HYPERLINK("https://ceds.ed.gov/cedselementdetails.aspx?termid=22178")</f>
        <v>https://ceds.ed.gov/cedselementdetails.aspx?termid=22178</v>
      </c>
      <c r="Q2204" s="22">
        <v>59624</v>
      </c>
    </row>
    <row r="2205" spans="1:17" ht="72" x14ac:dyDescent="0.3">
      <c r="A2205" s="22" t="s">
        <v>7779</v>
      </c>
      <c r="B2205" s="22" t="s">
        <v>7835</v>
      </c>
      <c r="C2205" s="22"/>
      <c r="D2205" s="22" t="s">
        <v>7710</v>
      </c>
      <c r="E2205" s="22" t="s">
        <v>4032</v>
      </c>
      <c r="F2205" s="24" t="s">
        <v>4033</v>
      </c>
      <c r="G2205" s="26" t="s">
        <v>8901</v>
      </c>
      <c r="H2205" s="22" t="s">
        <v>226</v>
      </c>
      <c r="I2205" s="22"/>
      <c r="J2205" s="22"/>
      <c r="K2205" s="24"/>
      <c r="L2205" s="24"/>
      <c r="M2205" s="25" t="s">
        <v>4035</v>
      </c>
      <c r="N2205" s="22"/>
      <c r="O2205" s="22" t="s">
        <v>4036</v>
      </c>
      <c r="P2205" s="22" t="str">
        <f>HYPERLINK("https://ceds.ed.gov/cedselementdetails.aspx?termid=21548")</f>
        <v>https://ceds.ed.gov/cedselementdetails.aspx?termid=21548</v>
      </c>
      <c r="Q2205" s="22">
        <v>59058</v>
      </c>
    </row>
    <row r="2206" spans="1:17" ht="115.2" x14ac:dyDescent="0.3">
      <c r="A2206" s="22" t="s">
        <v>7779</v>
      </c>
      <c r="B2206" s="22" t="s">
        <v>7835</v>
      </c>
      <c r="C2206" s="22"/>
      <c r="D2206" s="22" t="s">
        <v>7710</v>
      </c>
      <c r="E2206" s="22" t="s">
        <v>3203</v>
      </c>
      <c r="F2206" s="24" t="s">
        <v>3204</v>
      </c>
      <c r="G2206" s="26" t="s">
        <v>8805</v>
      </c>
      <c r="H2206" s="22" t="s">
        <v>226</v>
      </c>
      <c r="I2206" s="22"/>
      <c r="J2206" s="22"/>
      <c r="K2206" s="24"/>
      <c r="L2206" s="24"/>
      <c r="M2206" s="25" t="s">
        <v>3205</v>
      </c>
      <c r="N2206" s="22"/>
      <c r="O2206" s="22" t="s">
        <v>3206</v>
      </c>
      <c r="P2206" s="22" t="str">
        <f>HYPERLINK("https://ceds.ed.gov/cedselementdetails.aspx?termid=21536")</f>
        <v>https://ceds.ed.gov/cedselementdetails.aspx?termid=21536</v>
      </c>
      <c r="Q2206" s="22">
        <v>59057</v>
      </c>
    </row>
    <row r="2207" spans="1:17" ht="28.8" x14ac:dyDescent="0.3">
      <c r="A2207" s="22" t="s">
        <v>7779</v>
      </c>
      <c r="B2207" s="22" t="s">
        <v>7835</v>
      </c>
      <c r="C2207" s="22"/>
      <c r="D2207" s="22" t="s">
        <v>7710</v>
      </c>
      <c r="E2207" s="22" t="s">
        <v>3183</v>
      </c>
      <c r="F2207" s="24" t="s">
        <v>3184</v>
      </c>
      <c r="G2207" s="23" t="s">
        <v>32</v>
      </c>
      <c r="H2207" s="22" t="s">
        <v>25</v>
      </c>
      <c r="I2207" s="22"/>
      <c r="J2207" s="22" t="s">
        <v>118</v>
      </c>
      <c r="K2207" s="24"/>
      <c r="L2207" s="24"/>
      <c r="M2207" s="25" t="s">
        <v>3185</v>
      </c>
      <c r="N2207" s="22"/>
      <c r="O2207" s="22" t="s">
        <v>3186</v>
      </c>
      <c r="P2207" s="22" t="str">
        <f>HYPERLINK("https://ceds.ed.gov/cedselementdetails.aspx?termid=21083")</f>
        <v>https://ceds.ed.gov/cedselementdetails.aspx?termid=21083</v>
      </c>
      <c r="Q2207" s="22">
        <v>59039</v>
      </c>
    </row>
    <row r="2208" spans="1:17" ht="57.6" x14ac:dyDescent="0.3">
      <c r="A2208" s="22" t="s">
        <v>7779</v>
      </c>
      <c r="B2208" s="22" t="s">
        <v>7835</v>
      </c>
      <c r="C2208" s="22"/>
      <c r="D2208" s="22" t="s">
        <v>7710</v>
      </c>
      <c r="E2208" s="22" t="s">
        <v>3173</v>
      </c>
      <c r="F2208" s="24" t="s">
        <v>3174</v>
      </c>
      <c r="G2208" s="23" t="s">
        <v>32</v>
      </c>
      <c r="H2208" s="22" t="s">
        <v>25</v>
      </c>
      <c r="I2208" s="22"/>
      <c r="J2208" s="22" t="s">
        <v>118</v>
      </c>
      <c r="K2208" s="24"/>
      <c r="L2208" s="24" t="s">
        <v>143</v>
      </c>
      <c r="M2208" s="25" t="s">
        <v>3176</v>
      </c>
      <c r="N2208" s="22"/>
      <c r="O2208" s="22" t="s">
        <v>3177</v>
      </c>
      <c r="P2208" s="22" t="str">
        <f>HYPERLINK("https://ceds.ed.gov/cedselementdetails.aspx?termid=21082")</f>
        <v>https://ceds.ed.gov/cedselementdetails.aspx?termid=21082</v>
      </c>
      <c r="Q2208" s="22">
        <v>59038</v>
      </c>
    </row>
    <row r="2209" spans="1:17" ht="409.6" x14ac:dyDescent="0.3">
      <c r="A2209" s="22" t="s">
        <v>7779</v>
      </c>
      <c r="B2209" s="22" t="s">
        <v>7835</v>
      </c>
      <c r="C2209" s="22"/>
      <c r="D2209" s="22" t="s">
        <v>7710</v>
      </c>
      <c r="E2209" s="22" t="s">
        <v>3187</v>
      </c>
      <c r="F2209" s="24" t="s">
        <v>3188</v>
      </c>
      <c r="G2209" s="26" t="s">
        <v>8801</v>
      </c>
      <c r="H2209" s="22" t="s">
        <v>25</v>
      </c>
      <c r="I2209" s="22"/>
      <c r="J2209" s="22"/>
      <c r="K2209" s="24"/>
      <c r="L2209" s="24"/>
      <c r="M2209" s="25" t="s">
        <v>3189</v>
      </c>
      <c r="N2209" s="22"/>
      <c r="O2209" s="22" t="s">
        <v>3190</v>
      </c>
      <c r="P2209" s="22" t="str">
        <f>HYPERLINK("https://ceds.ed.gov/cedselementdetails.aspx?termid=21479")</f>
        <v>https://ceds.ed.gov/cedselementdetails.aspx?termid=21479</v>
      </c>
      <c r="Q2209" s="22">
        <v>59040</v>
      </c>
    </row>
    <row r="2210" spans="1:17" ht="28.8" x14ac:dyDescent="0.3">
      <c r="A2210" s="22" t="s">
        <v>7779</v>
      </c>
      <c r="B2210" s="22" t="s">
        <v>7835</v>
      </c>
      <c r="C2210" s="22"/>
      <c r="D2210" s="22" t="s">
        <v>7710</v>
      </c>
      <c r="E2210" s="22" t="s">
        <v>3261</v>
      </c>
      <c r="F2210" s="24" t="s">
        <v>3262</v>
      </c>
      <c r="G2210" s="23" t="s">
        <v>32</v>
      </c>
      <c r="H2210" s="22"/>
      <c r="I2210" s="22"/>
      <c r="J2210" s="22" t="s">
        <v>1518</v>
      </c>
      <c r="K2210" s="24"/>
      <c r="L2210" s="24"/>
      <c r="M2210" s="25" t="s">
        <v>3263</v>
      </c>
      <c r="N2210" s="22"/>
      <c r="O2210" s="22" t="s">
        <v>3264</v>
      </c>
      <c r="P2210" s="22" t="str">
        <f>HYPERLINK("https://ceds.ed.gov/cedselementdetails.aspx?termid=21502")</f>
        <v>https://ceds.ed.gov/cedselementdetails.aspx?termid=21502</v>
      </c>
      <c r="Q2210" s="22">
        <v>59050</v>
      </c>
    </row>
    <row r="2211" spans="1:17" ht="244.8" x14ac:dyDescent="0.3">
      <c r="A2211" s="22" t="s">
        <v>7779</v>
      </c>
      <c r="B2211" s="22" t="s">
        <v>7835</v>
      </c>
      <c r="C2211" s="22"/>
      <c r="D2211" s="22" t="s">
        <v>7710</v>
      </c>
      <c r="E2211" s="22" t="s">
        <v>3191</v>
      </c>
      <c r="F2211" s="24" t="s">
        <v>3192</v>
      </c>
      <c r="G2211" s="26" t="s">
        <v>8802</v>
      </c>
      <c r="H2211" s="22"/>
      <c r="I2211" s="22"/>
      <c r="J2211" s="22"/>
      <c r="K2211" s="24"/>
      <c r="L2211" s="24"/>
      <c r="M2211" s="25" t="s">
        <v>3193</v>
      </c>
      <c r="N2211" s="22"/>
      <c r="O2211" s="22" t="s">
        <v>3194</v>
      </c>
      <c r="P2211" s="22" t="str">
        <f>HYPERLINK("https://ceds.ed.gov/cedselementdetails.aspx?termid=21602")</f>
        <v>https://ceds.ed.gov/cedselementdetails.aspx?termid=21602</v>
      </c>
      <c r="Q2211" s="22">
        <v>59060</v>
      </c>
    </row>
    <row r="2212" spans="1:17" ht="43.2" x14ac:dyDescent="0.3">
      <c r="A2212" s="22" t="s">
        <v>7779</v>
      </c>
      <c r="B2212" s="22" t="s">
        <v>7835</v>
      </c>
      <c r="C2212" s="22"/>
      <c r="D2212" s="22" t="s">
        <v>7710</v>
      </c>
      <c r="E2212" s="22" t="s">
        <v>4093</v>
      </c>
      <c r="F2212" s="24" t="s">
        <v>4094</v>
      </c>
      <c r="G2212" s="26" t="s">
        <v>22</v>
      </c>
      <c r="H2212" s="22"/>
      <c r="I2212" s="22"/>
      <c r="J2212" s="22"/>
      <c r="K2212" s="24"/>
      <c r="L2212" s="24"/>
      <c r="M2212" s="25" t="s">
        <v>4095</v>
      </c>
      <c r="N2212" s="22"/>
      <c r="O2212" s="22" t="s">
        <v>4096</v>
      </c>
      <c r="P2212" s="22" t="str">
        <f>HYPERLINK("https://ceds.ed.gov/cedselementdetails.aspx?termid=21504")</f>
        <v>https://ceds.ed.gov/cedselementdetails.aspx?termid=21504</v>
      </c>
      <c r="Q2212" s="22">
        <v>59052</v>
      </c>
    </row>
    <row r="2213" spans="1:17" ht="57.6" x14ac:dyDescent="0.3">
      <c r="A2213" s="22" t="s">
        <v>7779</v>
      </c>
      <c r="B2213" s="22" t="s">
        <v>7835</v>
      </c>
      <c r="C2213" s="22"/>
      <c r="D2213" s="22" t="s">
        <v>7710</v>
      </c>
      <c r="E2213" s="22" t="s">
        <v>6774</v>
      </c>
      <c r="F2213" s="24" t="s">
        <v>6775</v>
      </c>
      <c r="G2213" s="26" t="s">
        <v>22</v>
      </c>
      <c r="H2213" s="22"/>
      <c r="I2213" s="22"/>
      <c r="J2213" s="22"/>
      <c r="K2213" s="24"/>
      <c r="L2213" s="24"/>
      <c r="M2213" s="25" t="s">
        <v>6776</v>
      </c>
      <c r="N2213" s="22"/>
      <c r="O2213" s="22" t="s">
        <v>6777</v>
      </c>
      <c r="P2213" s="22" t="str">
        <f>HYPERLINK("https://ceds.ed.gov/cedselementdetails.aspx?termid=21505")</f>
        <v>https://ceds.ed.gov/cedselementdetails.aspx?termid=21505</v>
      </c>
      <c r="Q2213" s="22">
        <v>59053</v>
      </c>
    </row>
    <row r="2214" spans="1:17" ht="57.6" x14ac:dyDescent="0.3">
      <c r="A2214" s="22" t="s">
        <v>7779</v>
      </c>
      <c r="B2214" s="22" t="s">
        <v>7835</v>
      </c>
      <c r="C2214" s="22"/>
      <c r="D2214" s="22" t="s">
        <v>7710</v>
      </c>
      <c r="E2214" s="22" t="s">
        <v>4420</v>
      </c>
      <c r="F2214" s="24" t="s">
        <v>4421</v>
      </c>
      <c r="G2214" s="26" t="s">
        <v>8937</v>
      </c>
      <c r="H2214" s="22" t="s">
        <v>226</v>
      </c>
      <c r="I2214" s="22"/>
      <c r="J2214" s="22"/>
      <c r="K2214" s="24"/>
      <c r="L2214" s="24"/>
      <c r="M2214" s="25" t="s">
        <v>4422</v>
      </c>
      <c r="N2214" s="22"/>
      <c r="O2214" s="22" t="s">
        <v>4423</v>
      </c>
      <c r="P2214" s="22" t="str">
        <f>HYPERLINK("https://ceds.ed.gov/cedselementdetails.aspx?termid=21530")</f>
        <v>https://ceds.ed.gov/cedselementdetails.aspx?termid=21530</v>
      </c>
      <c r="Q2214" s="22">
        <v>59055</v>
      </c>
    </row>
    <row r="2215" spans="1:17" ht="43.2" x14ac:dyDescent="0.3">
      <c r="A2215" s="22" t="s">
        <v>7779</v>
      </c>
      <c r="B2215" s="22" t="s">
        <v>7835</v>
      </c>
      <c r="C2215" s="22"/>
      <c r="D2215" s="22" t="s">
        <v>7710</v>
      </c>
      <c r="E2215" s="22" t="s">
        <v>4416</v>
      </c>
      <c r="F2215" s="24" t="s">
        <v>4417</v>
      </c>
      <c r="G2215" s="26" t="s">
        <v>8936</v>
      </c>
      <c r="H2215" s="22" t="s">
        <v>226</v>
      </c>
      <c r="I2215" s="22"/>
      <c r="J2215" s="22"/>
      <c r="K2215" s="24"/>
      <c r="L2215" s="24"/>
      <c r="M2215" s="25" t="s">
        <v>4418</v>
      </c>
      <c r="N2215" s="22"/>
      <c r="O2215" s="22" t="s">
        <v>4419</v>
      </c>
      <c r="P2215" s="22" t="str">
        <f>HYPERLINK("https://ceds.ed.gov/cedselementdetails.aspx?termid=21532")</f>
        <v>https://ceds.ed.gov/cedselementdetails.aspx?termid=21532</v>
      </c>
      <c r="Q2215" s="22">
        <v>59056</v>
      </c>
    </row>
    <row r="2216" spans="1:17" ht="57.6" x14ac:dyDescent="0.3">
      <c r="A2216" s="22" t="s">
        <v>7779</v>
      </c>
      <c r="B2216" s="22" t="s">
        <v>7835</v>
      </c>
      <c r="C2216" s="22"/>
      <c r="D2216" s="22" t="s">
        <v>7710</v>
      </c>
      <c r="E2216" s="22" t="s">
        <v>3457</v>
      </c>
      <c r="F2216" s="24" t="s">
        <v>3458</v>
      </c>
      <c r="G2216" s="26" t="s">
        <v>22</v>
      </c>
      <c r="H2216" s="22"/>
      <c r="I2216" s="22"/>
      <c r="J2216" s="22"/>
      <c r="K2216" s="24"/>
      <c r="L2216" s="24"/>
      <c r="M2216" s="25" t="s">
        <v>3459</v>
      </c>
      <c r="N2216" s="22"/>
      <c r="O2216" s="22" t="s">
        <v>3460</v>
      </c>
      <c r="P2216" s="22" t="str">
        <f>HYPERLINK("https://ceds.ed.gov/cedselementdetails.aspx?termid=21570")</f>
        <v>https://ceds.ed.gov/cedselementdetails.aspx?termid=21570</v>
      </c>
      <c r="Q2216" s="22">
        <v>59059</v>
      </c>
    </row>
    <row r="2217" spans="1:17" ht="172.8" x14ac:dyDescent="0.3">
      <c r="A2217" s="22" t="s">
        <v>7779</v>
      </c>
      <c r="B2217" s="22" t="s">
        <v>7835</v>
      </c>
      <c r="C2217" s="22"/>
      <c r="D2217" s="22" t="s">
        <v>7710</v>
      </c>
      <c r="E2217" s="22" t="s">
        <v>4533</v>
      </c>
      <c r="F2217" s="24" t="s">
        <v>8216</v>
      </c>
      <c r="G2217" s="23" t="s">
        <v>32</v>
      </c>
      <c r="H2217" s="22"/>
      <c r="I2217" s="22"/>
      <c r="J2217" s="22" t="s">
        <v>85</v>
      </c>
      <c r="K2217" s="24"/>
      <c r="L2217" s="24"/>
      <c r="M2217" s="25" t="s">
        <v>4534</v>
      </c>
      <c r="N2217" s="22"/>
      <c r="O2217" s="22" t="s">
        <v>4535</v>
      </c>
      <c r="P2217" s="22" t="str">
        <f>HYPERLINK("https://ceds.ed.gov/cedselementdetails.aspx?termid=21496")</f>
        <v>https://ceds.ed.gov/cedselementdetails.aspx?termid=21496</v>
      </c>
      <c r="Q2217" s="22">
        <v>59044</v>
      </c>
    </row>
    <row r="2218" spans="1:17" ht="43.2" x14ac:dyDescent="0.3">
      <c r="A2218" s="22" t="s">
        <v>7779</v>
      </c>
      <c r="B2218" s="22" t="s">
        <v>7836</v>
      </c>
      <c r="C2218" s="22" t="s">
        <v>7787</v>
      </c>
      <c r="D2218" s="22" t="s">
        <v>7710</v>
      </c>
      <c r="E2218" s="22" t="s">
        <v>6663</v>
      </c>
      <c r="F2218" s="24" t="s">
        <v>6664</v>
      </c>
      <c r="G2218" s="23" t="s">
        <v>32</v>
      </c>
      <c r="H2218" s="22" t="s">
        <v>2493</v>
      </c>
      <c r="I2218" s="22"/>
      <c r="J2218" s="22" t="s">
        <v>1844</v>
      </c>
      <c r="K2218" s="24"/>
      <c r="L2218" s="24" t="s">
        <v>8311</v>
      </c>
      <c r="M2218" s="25" t="s">
        <v>6666</v>
      </c>
      <c r="N2218" s="22"/>
      <c r="O2218" s="22" t="s">
        <v>6667</v>
      </c>
      <c r="P2218" s="22" t="str">
        <f>HYPERLINK("https://ceds.ed.gov/cedselementdetails.aspx?termid=21243")</f>
        <v>https://ceds.ed.gov/cedselementdetails.aspx?termid=21243</v>
      </c>
      <c r="Q2218" s="22">
        <v>59063</v>
      </c>
    </row>
    <row r="2219" spans="1:17" ht="28.8" x14ac:dyDescent="0.3">
      <c r="A2219" s="22" t="s">
        <v>7779</v>
      </c>
      <c r="B2219" s="22" t="s">
        <v>7836</v>
      </c>
      <c r="C2219" s="22" t="s">
        <v>7787</v>
      </c>
      <c r="D2219" s="22" t="s">
        <v>7710</v>
      </c>
      <c r="E2219" s="22" t="s">
        <v>1851</v>
      </c>
      <c r="F2219" s="24" t="s">
        <v>1852</v>
      </c>
      <c r="G2219" s="23" t="s">
        <v>32</v>
      </c>
      <c r="H2219" s="22"/>
      <c r="I2219" s="22"/>
      <c r="J2219" s="22" t="s">
        <v>85</v>
      </c>
      <c r="K2219" s="24"/>
      <c r="L2219" s="24"/>
      <c r="M2219" s="25" t="s">
        <v>1853</v>
      </c>
      <c r="N2219" s="22"/>
      <c r="O2219" s="22" t="s">
        <v>1854</v>
      </c>
      <c r="P2219" s="22" t="str">
        <f>HYPERLINK("https://ceds.ed.gov/cedselementdetails.aspx?termid=21485")</f>
        <v>https://ceds.ed.gov/cedselementdetails.aspx?termid=21485</v>
      </c>
      <c r="Q2219" s="22">
        <v>59064</v>
      </c>
    </row>
    <row r="2220" spans="1:17" ht="28.8" x14ac:dyDescent="0.3">
      <c r="A2220" s="22" t="s">
        <v>7779</v>
      </c>
      <c r="B2220" s="22" t="s">
        <v>7836</v>
      </c>
      <c r="C2220" s="22" t="s">
        <v>7787</v>
      </c>
      <c r="D2220" s="22" t="s">
        <v>7710</v>
      </c>
      <c r="E2220" s="22" t="s">
        <v>1855</v>
      </c>
      <c r="F2220" s="24" t="s">
        <v>1856</v>
      </c>
      <c r="G2220" s="23" t="s">
        <v>32</v>
      </c>
      <c r="H2220" s="22"/>
      <c r="I2220" s="22"/>
      <c r="J2220" s="22" t="s">
        <v>157</v>
      </c>
      <c r="K2220" s="24"/>
      <c r="L2220" s="24"/>
      <c r="M2220" s="25" t="s">
        <v>1857</v>
      </c>
      <c r="N2220" s="22"/>
      <c r="O2220" s="22" t="s">
        <v>1858</v>
      </c>
      <c r="P2220" s="22" t="str">
        <f>HYPERLINK("https://ceds.ed.gov/cedselementdetails.aspx?termid=21486")</f>
        <v>https://ceds.ed.gov/cedselementdetails.aspx?termid=21486</v>
      </c>
      <c r="Q2220" s="22">
        <v>59065</v>
      </c>
    </row>
    <row r="2221" spans="1:17" ht="43.2" x14ac:dyDescent="0.3">
      <c r="A2221" s="22" t="s">
        <v>7779</v>
      </c>
      <c r="B2221" s="22" t="s">
        <v>7836</v>
      </c>
      <c r="C2221" s="22" t="s">
        <v>7787</v>
      </c>
      <c r="D2221" s="22" t="s">
        <v>7710</v>
      </c>
      <c r="E2221" s="22" t="s">
        <v>345</v>
      </c>
      <c r="F2221" s="24" t="s">
        <v>346</v>
      </c>
      <c r="G2221" s="23" t="s">
        <v>32</v>
      </c>
      <c r="H2221" s="22"/>
      <c r="I2221" s="22"/>
      <c r="J2221" s="22" t="s">
        <v>85</v>
      </c>
      <c r="K2221" s="24"/>
      <c r="L2221" s="24"/>
      <c r="M2221" s="25" t="s">
        <v>348</v>
      </c>
      <c r="N2221" s="22"/>
      <c r="O2221" s="22" t="s">
        <v>349</v>
      </c>
      <c r="P2221" s="22" t="str">
        <f>HYPERLINK("https://ceds.ed.gov/cedselementdetails.aspx?termid=21591")</f>
        <v>https://ceds.ed.gov/cedselementdetails.aspx?termid=21591</v>
      </c>
      <c r="Q2221" s="22">
        <v>59066</v>
      </c>
    </row>
    <row r="2222" spans="1:17" ht="43.2" x14ac:dyDescent="0.3">
      <c r="A2222" s="22" t="s">
        <v>7779</v>
      </c>
      <c r="B2222" s="22" t="s">
        <v>7836</v>
      </c>
      <c r="C2222" s="22" t="s">
        <v>7787</v>
      </c>
      <c r="D2222" s="22" t="s">
        <v>7710</v>
      </c>
      <c r="E2222" s="22" t="s">
        <v>6725</v>
      </c>
      <c r="F2222" s="24" t="s">
        <v>6726</v>
      </c>
      <c r="G2222" s="23" t="s">
        <v>32</v>
      </c>
      <c r="H2222" s="22"/>
      <c r="I2222" s="22"/>
      <c r="J2222" s="22" t="s">
        <v>85</v>
      </c>
      <c r="K2222" s="24"/>
      <c r="L2222" s="24"/>
      <c r="M2222" s="25" t="s">
        <v>6727</v>
      </c>
      <c r="N2222" s="22"/>
      <c r="O2222" s="22" t="s">
        <v>6728</v>
      </c>
      <c r="P2222" s="22" t="str">
        <f>HYPERLINK("https://ceds.ed.gov/cedselementdetails.aspx?termid=22236")</f>
        <v>https://ceds.ed.gov/cedselementdetails.aspx?termid=22236</v>
      </c>
      <c r="Q2222" s="22">
        <v>60900</v>
      </c>
    </row>
    <row r="2223" spans="1:17" x14ac:dyDescent="0.3">
      <c r="A2223" s="22" t="s">
        <v>7779</v>
      </c>
      <c r="B2223" s="22" t="s">
        <v>7836</v>
      </c>
      <c r="C2223" s="22" t="s">
        <v>7787</v>
      </c>
      <c r="D2223" s="22" t="s">
        <v>7710</v>
      </c>
      <c r="E2223" s="22" t="s">
        <v>6729</v>
      </c>
      <c r="F2223" s="24" t="s">
        <v>6730</v>
      </c>
      <c r="G2223" s="23" t="s">
        <v>32</v>
      </c>
      <c r="H2223" s="22"/>
      <c r="I2223" s="22"/>
      <c r="J2223" s="22" t="s">
        <v>328</v>
      </c>
      <c r="K2223" s="24"/>
      <c r="L2223" s="24"/>
      <c r="M2223" s="25" t="s">
        <v>6731</v>
      </c>
      <c r="N2223" s="22"/>
      <c r="O2223" s="22" t="s">
        <v>6732</v>
      </c>
      <c r="P2223" s="22" t="str">
        <f>HYPERLINK("https://ceds.ed.gov/cedselementdetails.aspx?termid=22237")</f>
        <v>https://ceds.ed.gov/cedselementdetails.aspx?termid=22237</v>
      </c>
      <c r="Q2223" s="22">
        <v>61029</v>
      </c>
    </row>
    <row r="2224" spans="1:17" ht="43.2" x14ac:dyDescent="0.3">
      <c r="A2224" s="22" t="s">
        <v>7779</v>
      </c>
      <c r="B2224" s="22" t="s">
        <v>7836</v>
      </c>
      <c r="C2224" s="22" t="s">
        <v>7787</v>
      </c>
      <c r="D2224" s="22" t="s">
        <v>7710</v>
      </c>
      <c r="E2224" s="22" t="s">
        <v>6746</v>
      </c>
      <c r="F2224" s="24" t="s">
        <v>6747</v>
      </c>
      <c r="G2224" s="26" t="s">
        <v>22</v>
      </c>
      <c r="H2224" s="22"/>
      <c r="I2224" s="22"/>
      <c r="J2224" s="22"/>
      <c r="K2224" s="24"/>
      <c r="L2224" s="24"/>
      <c r="M2224" s="25" t="s">
        <v>6748</v>
      </c>
      <c r="N2224" s="22"/>
      <c r="O2224" s="22" t="s">
        <v>6749</v>
      </c>
      <c r="P2224" s="22" t="str">
        <f>HYPERLINK("https://ceds.ed.gov/cedselementdetails.aspx?termid=22238")</f>
        <v>https://ceds.ed.gov/cedselementdetails.aspx?termid=22238</v>
      </c>
      <c r="Q2224" s="22">
        <v>60901</v>
      </c>
    </row>
    <row r="2225" spans="1:17" ht="43.2" x14ac:dyDescent="0.3">
      <c r="A2225" s="22" t="s">
        <v>7779</v>
      </c>
      <c r="B2225" s="22" t="s">
        <v>7836</v>
      </c>
      <c r="C2225" s="22" t="s">
        <v>7787</v>
      </c>
      <c r="D2225" s="22" t="s">
        <v>7710</v>
      </c>
      <c r="E2225" s="22" t="s">
        <v>6750</v>
      </c>
      <c r="F2225" s="24" t="s">
        <v>6751</v>
      </c>
      <c r="G2225" s="26" t="s">
        <v>22</v>
      </c>
      <c r="H2225" s="22"/>
      <c r="I2225" s="22"/>
      <c r="J2225" s="22"/>
      <c r="K2225" s="24"/>
      <c r="L2225" s="24"/>
      <c r="M2225" s="25" t="s">
        <v>6752</v>
      </c>
      <c r="N2225" s="22"/>
      <c r="O2225" s="22" t="s">
        <v>6753</v>
      </c>
      <c r="P2225" s="22" t="str">
        <f>HYPERLINK("https://ceds.ed.gov/cedselementdetails.aspx?termid=22239")</f>
        <v>https://ceds.ed.gov/cedselementdetails.aspx?termid=22239</v>
      </c>
      <c r="Q2225" s="22">
        <v>60902</v>
      </c>
    </row>
    <row r="2226" spans="1:17" ht="43.2" x14ac:dyDescent="0.3">
      <c r="A2226" s="22" t="s">
        <v>7779</v>
      </c>
      <c r="B2226" s="22" t="s">
        <v>7836</v>
      </c>
      <c r="C2226" s="22" t="s">
        <v>7787</v>
      </c>
      <c r="D2226" s="22" t="s">
        <v>7710</v>
      </c>
      <c r="E2226" s="22" t="s">
        <v>6716</v>
      </c>
      <c r="F2226" s="24" t="s">
        <v>6717</v>
      </c>
      <c r="G2226" s="26" t="s">
        <v>22</v>
      </c>
      <c r="H2226" s="22"/>
      <c r="I2226" s="22"/>
      <c r="J2226" s="22"/>
      <c r="K2226" s="24"/>
      <c r="L2226" s="24"/>
      <c r="M2226" s="25" t="s">
        <v>6719</v>
      </c>
      <c r="N2226" s="22"/>
      <c r="O2226" s="22" t="s">
        <v>6720</v>
      </c>
      <c r="P2226" s="22" t="str">
        <f>HYPERLINK("https://ceds.ed.gov/cedselementdetails.aspx?termid=22240")</f>
        <v>https://ceds.ed.gov/cedselementdetails.aspx?termid=22240</v>
      </c>
      <c r="Q2226" s="22">
        <v>60903</v>
      </c>
    </row>
    <row r="2227" spans="1:17" ht="100.8" x14ac:dyDescent="0.3">
      <c r="A2227" s="22" t="s">
        <v>7779</v>
      </c>
      <c r="B2227" s="22" t="s">
        <v>7836</v>
      </c>
      <c r="C2227" s="22" t="s">
        <v>7787</v>
      </c>
      <c r="D2227" s="22" t="s">
        <v>7710</v>
      </c>
      <c r="E2227" s="22" t="s">
        <v>6721</v>
      </c>
      <c r="F2227" s="24" t="s">
        <v>6722</v>
      </c>
      <c r="G2227" s="23" t="s">
        <v>32</v>
      </c>
      <c r="H2227" s="24" t="s">
        <v>1521</v>
      </c>
      <c r="I2227" s="22"/>
      <c r="J2227" s="22" t="s">
        <v>118</v>
      </c>
      <c r="K2227" s="24"/>
      <c r="L2227" s="24"/>
      <c r="M2227" s="25" t="s">
        <v>6723</v>
      </c>
      <c r="N2227" s="22"/>
      <c r="O2227" s="22" t="s">
        <v>6724</v>
      </c>
      <c r="P2227" s="22" t="str">
        <f>HYPERLINK("https://ceds.ed.gov/cedselementdetails.aspx?termid=21251")</f>
        <v>https://ceds.ed.gov/cedselementdetails.aspx?termid=21251</v>
      </c>
      <c r="Q2227" s="22">
        <v>61916</v>
      </c>
    </row>
    <row r="2228" spans="1:17" ht="100.8" x14ac:dyDescent="0.3">
      <c r="A2228" s="22" t="s">
        <v>7779</v>
      </c>
      <c r="B2228" s="22" t="s">
        <v>7836</v>
      </c>
      <c r="C2228" s="22" t="s">
        <v>7787</v>
      </c>
      <c r="D2228" s="22" t="s">
        <v>7710</v>
      </c>
      <c r="E2228" s="22" t="s">
        <v>6738</v>
      </c>
      <c r="F2228" s="24" t="s">
        <v>6739</v>
      </c>
      <c r="G2228" s="23" t="s">
        <v>32</v>
      </c>
      <c r="H2228" s="24" t="s">
        <v>1521</v>
      </c>
      <c r="I2228" s="22"/>
      <c r="J2228" s="22" t="s">
        <v>118</v>
      </c>
      <c r="K2228" s="24"/>
      <c r="L2228" s="24" t="s">
        <v>143</v>
      </c>
      <c r="M2228" s="25" t="s">
        <v>6740</v>
      </c>
      <c r="N2228" s="22"/>
      <c r="O2228" s="22" t="s">
        <v>6741</v>
      </c>
      <c r="P2228" s="22" t="str">
        <f>HYPERLINK("https://ceds.ed.gov/cedselementdetails.aspx?termid=21253")</f>
        <v>https://ceds.ed.gov/cedselementdetails.aspx?termid=21253</v>
      </c>
      <c r="Q2228" s="22">
        <v>61917</v>
      </c>
    </row>
    <row r="2229" spans="1:17" ht="28.8" x14ac:dyDescent="0.3">
      <c r="A2229" s="22" t="s">
        <v>7779</v>
      </c>
      <c r="B2229" s="22" t="s">
        <v>7836</v>
      </c>
      <c r="C2229" s="22" t="s">
        <v>7787</v>
      </c>
      <c r="D2229" s="22" t="s">
        <v>7710</v>
      </c>
      <c r="E2229" s="22" t="s">
        <v>6754</v>
      </c>
      <c r="F2229" s="24" t="s">
        <v>6755</v>
      </c>
      <c r="G2229" s="23" t="s">
        <v>32</v>
      </c>
      <c r="H2229" s="24" t="s">
        <v>2063</v>
      </c>
      <c r="I2229" s="22" t="s">
        <v>172</v>
      </c>
      <c r="J2229" s="22" t="s">
        <v>430</v>
      </c>
      <c r="K2229" s="24" t="s">
        <v>8050</v>
      </c>
      <c r="L2229" s="24"/>
      <c r="M2229" s="25" t="s">
        <v>6756</v>
      </c>
      <c r="N2229" s="22"/>
      <c r="O2229" s="22" t="s">
        <v>6757</v>
      </c>
      <c r="P2229" s="22" t="str">
        <f>HYPERLINK("https://ceds.ed.gov/cedselementdetails.aspx?termid=21986")</f>
        <v>https://ceds.ed.gov/cedselementdetails.aspx?termid=21986</v>
      </c>
      <c r="Q2229" s="22">
        <v>61919</v>
      </c>
    </row>
    <row r="2230" spans="1:17" ht="28.8" x14ac:dyDescent="0.3">
      <c r="A2230" s="22" t="s">
        <v>7779</v>
      </c>
      <c r="B2230" s="22" t="s">
        <v>7836</v>
      </c>
      <c r="C2230" s="22" t="s">
        <v>7787</v>
      </c>
      <c r="D2230" s="22" t="s">
        <v>7710</v>
      </c>
      <c r="E2230" s="22" t="s">
        <v>6742</v>
      </c>
      <c r="F2230" s="24" t="s">
        <v>6743</v>
      </c>
      <c r="G2230" s="23" t="s">
        <v>32</v>
      </c>
      <c r="H2230" s="24" t="s">
        <v>2063</v>
      </c>
      <c r="I2230" s="22" t="s">
        <v>172</v>
      </c>
      <c r="J2230" s="22" t="s">
        <v>430</v>
      </c>
      <c r="K2230" s="24" t="s">
        <v>8050</v>
      </c>
      <c r="L2230" s="24"/>
      <c r="M2230" s="25" t="s">
        <v>6744</v>
      </c>
      <c r="N2230" s="22"/>
      <c r="O2230" s="22" t="s">
        <v>6745</v>
      </c>
      <c r="P2230" s="22" t="str">
        <f>HYPERLINK("https://ceds.ed.gov/cedselementdetails.aspx?termid=21988")</f>
        <v>https://ceds.ed.gov/cedselementdetails.aspx?termid=21988</v>
      </c>
      <c r="Q2230" s="22">
        <v>61918</v>
      </c>
    </row>
    <row r="2231" spans="1:17" ht="172.8" x14ac:dyDescent="0.3">
      <c r="A2231" s="22" t="s">
        <v>7779</v>
      </c>
      <c r="B2231" s="22" t="s">
        <v>7836</v>
      </c>
      <c r="C2231" s="22" t="s">
        <v>7837</v>
      </c>
      <c r="D2231" s="22" t="s">
        <v>7710</v>
      </c>
      <c r="E2231" s="22" t="s">
        <v>2992</v>
      </c>
      <c r="F2231" s="24" t="s">
        <v>2993</v>
      </c>
      <c r="G2231" s="23" t="s">
        <v>32</v>
      </c>
      <c r="H2231" s="22"/>
      <c r="I2231" s="22"/>
      <c r="J2231" s="22" t="s">
        <v>85</v>
      </c>
      <c r="K2231" s="24"/>
      <c r="L2231" s="24"/>
      <c r="M2231" s="25" t="s">
        <v>2995</v>
      </c>
      <c r="N2231" s="22"/>
      <c r="O2231" s="22" t="s">
        <v>2996</v>
      </c>
      <c r="P2231" s="22" t="str">
        <f>HYPERLINK("https://ceds.ed.gov/cedselementdetails.aspx?termid=21604")</f>
        <v>https://ceds.ed.gov/cedselementdetails.aspx?termid=21604</v>
      </c>
      <c r="Q2231" s="22">
        <v>59068</v>
      </c>
    </row>
    <row r="2232" spans="1:17" ht="28.8" x14ac:dyDescent="0.3">
      <c r="A2232" s="22" t="s">
        <v>7779</v>
      </c>
      <c r="B2232" s="22" t="s">
        <v>7836</v>
      </c>
      <c r="C2232" s="22" t="s">
        <v>7837</v>
      </c>
      <c r="D2232" s="22" t="s">
        <v>7710</v>
      </c>
      <c r="E2232" s="22" t="s">
        <v>3005</v>
      </c>
      <c r="F2232" s="24" t="s">
        <v>3006</v>
      </c>
      <c r="G2232" s="23" t="s">
        <v>32</v>
      </c>
      <c r="H2232" s="22"/>
      <c r="I2232" s="22"/>
      <c r="J2232" s="22" t="s">
        <v>1339</v>
      </c>
      <c r="K2232" s="24"/>
      <c r="L2232" s="24"/>
      <c r="M2232" s="25" t="s">
        <v>3007</v>
      </c>
      <c r="N2232" s="22"/>
      <c r="O2232" s="22" t="s">
        <v>3008</v>
      </c>
      <c r="P2232" s="22" t="str">
        <f>HYPERLINK("https://ceds.ed.gov/cedselementdetails.aspx?termid=21605")</f>
        <v>https://ceds.ed.gov/cedselementdetails.aspx?termid=21605</v>
      </c>
      <c r="Q2232" s="22">
        <v>59069</v>
      </c>
    </row>
    <row r="2233" spans="1:17" ht="28.8" x14ac:dyDescent="0.3">
      <c r="A2233" s="22" t="s">
        <v>7779</v>
      </c>
      <c r="B2233" s="22" t="s">
        <v>7836</v>
      </c>
      <c r="C2233" s="22" t="s">
        <v>7837</v>
      </c>
      <c r="D2233" s="22" t="s">
        <v>7710</v>
      </c>
      <c r="E2233" s="22" t="s">
        <v>3013</v>
      </c>
      <c r="F2233" s="24" t="s">
        <v>3014</v>
      </c>
      <c r="G2233" s="23" t="s">
        <v>32</v>
      </c>
      <c r="H2233" s="22"/>
      <c r="I2233" s="22"/>
      <c r="J2233" s="22" t="s">
        <v>1339</v>
      </c>
      <c r="K2233" s="24"/>
      <c r="L2233" s="24"/>
      <c r="M2233" s="25" t="s">
        <v>3015</v>
      </c>
      <c r="N2233" s="22"/>
      <c r="O2233" s="22" t="s">
        <v>3016</v>
      </c>
      <c r="P2233" s="22" t="str">
        <f>HYPERLINK("https://ceds.ed.gov/cedselementdetails.aspx?termid=21606")</f>
        <v>https://ceds.ed.gov/cedselementdetails.aspx?termid=21606</v>
      </c>
      <c r="Q2233" s="22">
        <v>59070</v>
      </c>
    </row>
    <row r="2234" spans="1:17" ht="28.8" x14ac:dyDescent="0.3">
      <c r="A2234" s="22" t="s">
        <v>7779</v>
      </c>
      <c r="B2234" s="22" t="s">
        <v>7836</v>
      </c>
      <c r="C2234" s="22" t="s">
        <v>7837</v>
      </c>
      <c r="D2234" s="22" t="s">
        <v>7710</v>
      </c>
      <c r="E2234" s="22" t="s">
        <v>2997</v>
      </c>
      <c r="F2234" s="24" t="s">
        <v>2998</v>
      </c>
      <c r="G2234" s="23" t="s">
        <v>32</v>
      </c>
      <c r="H2234" s="22"/>
      <c r="I2234" s="22"/>
      <c r="J2234" s="22" t="s">
        <v>113</v>
      </c>
      <c r="K2234" s="24"/>
      <c r="L2234" s="24"/>
      <c r="M2234" s="25" t="s">
        <v>2999</v>
      </c>
      <c r="N2234" s="22"/>
      <c r="O2234" s="22" t="s">
        <v>3000</v>
      </c>
      <c r="P2234" s="22" t="str">
        <f>HYPERLINK("https://ceds.ed.gov/cedselementdetails.aspx?termid=22526")</f>
        <v>https://ceds.ed.gov/cedselementdetails.aspx?termid=22526</v>
      </c>
      <c r="Q2234" s="22">
        <v>61837</v>
      </c>
    </row>
    <row r="2235" spans="1:17" ht="72" x14ac:dyDescent="0.3">
      <c r="A2235" s="22" t="s">
        <v>7779</v>
      </c>
      <c r="B2235" s="22" t="s">
        <v>7836</v>
      </c>
      <c r="C2235" s="22" t="s">
        <v>7837</v>
      </c>
      <c r="D2235" s="22" t="s">
        <v>7710</v>
      </c>
      <c r="E2235" s="22" t="s">
        <v>3009</v>
      </c>
      <c r="F2235" s="24" t="s">
        <v>3010</v>
      </c>
      <c r="G2235" s="23" t="s">
        <v>32</v>
      </c>
      <c r="H2235" s="22"/>
      <c r="I2235" s="22"/>
      <c r="J2235" s="22" t="s">
        <v>118</v>
      </c>
      <c r="K2235" s="24"/>
      <c r="L2235" s="24"/>
      <c r="M2235" s="25" t="s">
        <v>3011</v>
      </c>
      <c r="N2235" s="22"/>
      <c r="O2235" s="22" t="s">
        <v>3012</v>
      </c>
      <c r="P2235" s="22" t="str">
        <f>HYPERLINK("https://ceds.ed.gov/cedselementdetails.aspx?termid=21607")</f>
        <v>https://ceds.ed.gov/cedselementdetails.aspx?termid=21607</v>
      </c>
      <c r="Q2235" s="22">
        <v>59071</v>
      </c>
    </row>
    <row r="2236" spans="1:17" ht="57.6" x14ac:dyDescent="0.3">
      <c r="A2236" s="22" t="s">
        <v>7779</v>
      </c>
      <c r="B2236" s="22" t="s">
        <v>7836</v>
      </c>
      <c r="C2236" s="22" t="s">
        <v>7837</v>
      </c>
      <c r="D2236" s="22" t="s">
        <v>7710</v>
      </c>
      <c r="E2236" s="22" t="s">
        <v>3001</v>
      </c>
      <c r="F2236" s="24" t="s">
        <v>3002</v>
      </c>
      <c r="G2236" s="23" t="s">
        <v>32</v>
      </c>
      <c r="H2236" s="22"/>
      <c r="I2236" s="22"/>
      <c r="J2236" s="22" t="s">
        <v>118</v>
      </c>
      <c r="K2236" s="24"/>
      <c r="L2236" s="24" t="s">
        <v>143</v>
      </c>
      <c r="M2236" s="25" t="s">
        <v>3003</v>
      </c>
      <c r="N2236" s="22"/>
      <c r="O2236" s="22" t="s">
        <v>3004</v>
      </c>
      <c r="P2236" s="22" t="str">
        <f>HYPERLINK("https://ceds.ed.gov/cedselementdetails.aspx?termid=22528")</f>
        <v>https://ceds.ed.gov/cedselementdetails.aspx?termid=22528</v>
      </c>
      <c r="Q2236" s="22">
        <v>61839</v>
      </c>
    </row>
    <row r="2237" spans="1:17" ht="115.2" x14ac:dyDescent="0.3">
      <c r="A2237" s="22" t="s">
        <v>7779</v>
      </c>
      <c r="B2237" s="22" t="s">
        <v>7836</v>
      </c>
      <c r="C2237" s="22" t="s">
        <v>7838</v>
      </c>
      <c r="D2237" s="22" t="s">
        <v>7710</v>
      </c>
      <c r="E2237" s="22" t="s">
        <v>1868</v>
      </c>
      <c r="F2237" s="24" t="s">
        <v>1869</v>
      </c>
      <c r="G2237" s="26" t="s">
        <v>8705</v>
      </c>
      <c r="H2237" s="22"/>
      <c r="I2237" s="22"/>
      <c r="J2237" s="22"/>
      <c r="K2237" s="24"/>
      <c r="L2237" s="24"/>
      <c r="M2237" s="25" t="s">
        <v>1870</v>
      </c>
      <c r="N2237" s="22"/>
      <c r="O2237" s="22" t="s">
        <v>1871</v>
      </c>
      <c r="P2237" s="22" t="str">
        <f>HYPERLINK("https://ceds.ed.gov/cedselementdetails.aspx?termid=21596")</f>
        <v>https://ceds.ed.gov/cedselementdetails.aspx?termid=21596</v>
      </c>
      <c r="Q2237" s="22">
        <v>59067</v>
      </c>
    </row>
    <row r="2238" spans="1:17" ht="28.8" x14ac:dyDescent="0.3">
      <c r="A2238" s="22" t="s">
        <v>7779</v>
      </c>
      <c r="B2238" s="22" t="s">
        <v>7836</v>
      </c>
      <c r="C2238" s="22" t="s">
        <v>7838</v>
      </c>
      <c r="D2238" s="22" t="s">
        <v>7710</v>
      </c>
      <c r="E2238" s="22" t="s">
        <v>1859</v>
      </c>
      <c r="F2238" s="24" t="s">
        <v>1860</v>
      </c>
      <c r="G2238" s="23" t="s">
        <v>32</v>
      </c>
      <c r="H2238" s="22"/>
      <c r="I2238" s="22"/>
      <c r="J2238" s="22" t="s">
        <v>118</v>
      </c>
      <c r="K2238" s="24"/>
      <c r="L2238" s="24"/>
      <c r="M2238" s="25" t="s">
        <v>1862</v>
      </c>
      <c r="N2238" s="22"/>
      <c r="O2238" s="22" t="s">
        <v>1863</v>
      </c>
      <c r="P2238" s="22" t="str">
        <f>HYPERLINK("https://ceds.ed.gov/cedselementdetails.aspx?termid=22241")</f>
        <v>https://ceds.ed.gov/cedselementdetails.aspx?termid=22241</v>
      </c>
      <c r="Q2238" s="22">
        <v>60915</v>
      </c>
    </row>
    <row r="2239" spans="1:17" ht="28.8" x14ac:dyDescent="0.3">
      <c r="A2239" s="22" t="s">
        <v>7779</v>
      </c>
      <c r="B2239" s="22" t="s">
        <v>7836</v>
      </c>
      <c r="C2239" s="22" t="s">
        <v>7838</v>
      </c>
      <c r="D2239" s="22" t="s">
        <v>7710</v>
      </c>
      <c r="E2239" s="22" t="s">
        <v>1864</v>
      </c>
      <c r="F2239" s="24" t="s">
        <v>1865</v>
      </c>
      <c r="G2239" s="23" t="s">
        <v>32</v>
      </c>
      <c r="H2239" s="22"/>
      <c r="I2239" s="22"/>
      <c r="J2239" s="22" t="s">
        <v>85</v>
      </c>
      <c r="K2239" s="24"/>
      <c r="L2239" s="24"/>
      <c r="M2239" s="25" t="s">
        <v>1866</v>
      </c>
      <c r="N2239" s="22"/>
      <c r="O2239" s="22" t="s">
        <v>1867</v>
      </c>
      <c r="P2239" s="22" t="str">
        <f>HYPERLINK("https://ceds.ed.gov/cedselementdetails.aspx?termid=22242")</f>
        <v>https://ceds.ed.gov/cedselementdetails.aspx?termid=22242</v>
      </c>
      <c r="Q2239" s="22">
        <v>60916</v>
      </c>
    </row>
    <row r="2240" spans="1:17" x14ac:dyDescent="0.3">
      <c r="A2240" s="22" t="s">
        <v>7779</v>
      </c>
      <c r="B2240" s="22" t="s">
        <v>7836</v>
      </c>
      <c r="C2240" s="22" t="s">
        <v>7838</v>
      </c>
      <c r="D2240" s="22" t="s">
        <v>7710</v>
      </c>
      <c r="E2240" s="22" t="s">
        <v>3572</v>
      </c>
      <c r="F2240" s="24" t="s">
        <v>3573</v>
      </c>
      <c r="G2240" s="23" t="s">
        <v>32</v>
      </c>
      <c r="H2240" s="22"/>
      <c r="I2240" s="22"/>
      <c r="J2240" s="22"/>
      <c r="K2240" s="24"/>
      <c r="L2240" s="24"/>
      <c r="M2240" s="25" t="s">
        <v>3575</v>
      </c>
      <c r="N2240" s="22"/>
      <c r="O2240" s="22" t="s">
        <v>3576</v>
      </c>
      <c r="P2240" s="22" t="str">
        <f>HYPERLINK("https://ceds.ed.gov/cedselementdetails.aspx?termid=22901")</f>
        <v>https://ceds.ed.gov/cedselementdetails.aspx?termid=22901</v>
      </c>
      <c r="Q2240" s="22">
        <v>63193</v>
      </c>
    </row>
    <row r="2241" spans="1:17" x14ac:dyDescent="0.3">
      <c r="A2241" s="22" t="s">
        <v>7779</v>
      </c>
      <c r="B2241" s="22" t="s">
        <v>7836</v>
      </c>
      <c r="C2241" s="22" t="s">
        <v>7838</v>
      </c>
      <c r="D2241" s="22" t="s">
        <v>7710</v>
      </c>
      <c r="E2241" s="22" t="s">
        <v>6937</v>
      </c>
      <c r="F2241" s="24" t="s">
        <v>6938</v>
      </c>
      <c r="G2241" s="23" t="s">
        <v>32</v>
      </c>
      <c r="H2241" s="22"/>
      <c r="I2241" s="22"/>
      <c r="J2241" s="22"/>
      <c r="K2241" s="24"/>
      <c r="L2241" s="24"/>
      <c r="M2241" s="25" t="s">
        <v>6939</v>
      </c>
      <c r="N2241" s="22"/>
      <c r="O2241" s="22" t="s">
        <v>6940</v>
      </c>
      <c r="P2241" s="22" t="str">
        <f>HYPERLINK("https://ceds.ed.gov/cedselementdetails.aspx?termid=22900")</f>
        <v>https://ceds.ed.gov/cedselementdetails.aspx?termid=22900</v>
      </c>
      <c r="Q2241" s="22">
        <v>63194</v>
      </c>
    </row>
    <row r="2242" spans="1:17" ht="43.2" x14ac:dyDescent="0.3">
      <c r="A2242" s="22" t="s">
        <v>7839</v>
      </c>
      <c r="B2242" s="22" t="s">
        <v>7780</v>
      </c>
      <c r="C2242" s="22"/>
      <c r="D2242" s="22" t="s">
        <v>7710</v>
      </c>
      <c r="E2242" s="22" t="s">
        <v>5699</v>
      </c>
      <c r="F2242" s="24" t="s">
        <v>5700</v>
      </c>
      <c r="G2242" s="26" t="s">
        <v>8489</v>
      </c>
      <c r="H2242" s="22"/>
      <c r="I2242" s="22" t="s">
        <v>172</v>
      </c>
      <c r="J2242" s="22"/>
      <c r="K2242" s="24" t="s">
        <v>7946</v>
      </c>
      <c r="L2242" s="24"/>
      <c r="M2242" s="25" t="s">
        <v>5701</v>
      </c>
      <c r="N2242" s="22"/>
      <c r="O2242" s="22" t="s">
        <v>5702</v>
      </c>
      <c r="P2242" s="22" t="str">
        <f>HYPERLINK("https://ceds.ed.gov/cedselementdetails.aspx?termid=22387")</f>
        <v>https://ceds.ed.gov/cedselementdetails.aspx?termid=22387</v>
      </c>
      <c r="Q2242" s="22">
        <v>62397</v>
      </c>
    </row>
    <row r="2243" spans="1:17" ht="43.2" x14ac:dyDescent="0.3">
      <c r="A2243" s="22" t="s">
        <v>7839</v>
      </c>
      <c r="B2243" s="22" t="s">
        <v>7780</v>
      </c>
      <c r="C2243" s="22"/>
      <c r="D2243" s="22" t="s">
        <v>7710</v>
      </c>
      <c r="E2243" s="22" t="s">
        <v>5687</v>
      </c>
      <c r="F2243" s="24" t="s">
        <v>5688</v>
      </c>
      <c r="G2243" s="23" t="s">
        <v>32</v>
      </c>
      <c r="H2243" s="22"/>
      <c r="I2243" s="22"/>
      <c r="J2243" s="22" t="s">
        <v>50</v>
      </c>
      <c r="K2243" s="24"/>
      <c r="L2243" s="24"/>
      <c r="M2243" s="25" t="s">
        <v>5689</v>
      </c>
      <c r="N2243" s="22"/>
      <c r="O2243" s="22" t="s">
        <v>5690</v>
      </c>
      <c r="P2243" s="22" t="str">
        <f>HYPERLINK("https://ceds.ed.gov/cedselementdetails.aspx?termid=22644")</f>
        <v>https://ceds.ed.gov/cedselementdetails.aspx?termid=22644</v>
      </c>
      <c r="Q2243" s="22">
        <v>62980</v>
      </c>
    </row>
    <row r="2244" spans="1:17" ht="28.8" x14ac:dyDescent="0.3">
      <c r="A2244" s="22" t="s">
        <v>7839</v>
      </c>
      <c r="B2244" s="22" t="s">
        <v>7780</v>
      </c>
      <c r="C2244" s="22"/>
      <c r="D2244" s="22" t="s">
        <v>7710</v>
      </c>
      <c r="E2244" s="22" t="s">
        <v>5703</v>
      </c>
      <c r="F2244" s="24" t="s">
        <v>5704</v>
      </c>
      <c r="G2244" s="23" t="s">
        <v>32</v>
      </c>
      <c r="H2244" s="22"/>
      <c r="I2244" s="22"/>
      <c r="J2244" s="22" t="s">
        <v>2856</v>
      </c>
      <c r="K2244" s="24"/>
      <c r="L2244" s="24"/>
      <c r="M2244" s="25" t="s">
        <v>5705</v>
      </c>
      <c r="N2244" s="22"/>
      <c r="O2244" s="22" t="s">
        <v>5706</v>
      </c>
      <c r="P2244" s="22" t="str">
        <f>HYPERLINK("https://ceds.ed.gov/cedselementdetails.aspx?termid=22731")</f>
        <v>https://ceds.ed.gov/cedselementdetails.aspx?termid=22731</v>
      </c>
      <c r="Q2244" s="22">
        <v>62987</v>
      </c>
    </row>
    <row r="2245" spans="1:17" ht="172.8" x14ac:dyDescent="0.3">
      <c r="A2245" s="22" t="s">
        <v>7839</v>
      </c>
      <c r="B2245" s="22" t="s">
        <v>7780</v>
      </c>
      <c r="C2245" s="22" t="s">
        <v>7711</v>
      </c>
      <c r="D2245" s="22" t="s">
        <v>7710</v>
      </c>
      <c r="E2245" s="22" t="s">
        <v>5683</v>
      </c>
      <c r="F2245" s="24" t="s">
        <v>5684</v>
      </c>
      <c r="G2245" s="23" t="s">
        <v>32</v>
      </c>
      <c r="H2245" s="22" t="s">
        <v>109</v>
      </c>
      <c r="I2245" s="22" t="s">
        <v>172</v>
      </c>
      <c r="J2245" s="22" t="s">
        <v>132</v>
      </c>
      <c r="K2245" s="24" t="s">
        <v>7946</v>
      </c>
      <c r="L2245" s="24" t="s">
        <v>7945</v>
      </c>
      <c r="M2245" s="25" t="s">
        <v>5685</v>
      </c>
      <c r="N2245" s="22"/>
      <c r="O2245" s="22" t="s">
        <v>5686</v>
      </c>
      <c r="P2245" s="22" t="str">
        <f>HYPERLINK("https://ceds.ed.gov/cedselementdetails.aspx?termid=21825")</f>
        <v>https://ceds.ed.gov/cedselementdetails.aspx?termid=21825</v>
      </c>
      <c r="Q2245" s="22">
        <v>62400</v>
      </c>
    </row>
    <row r="2246" spans="1:17" ht="187.2" x14ac:dyDescent="0.3">
      <c r="A2246" s="22" t="s">
        <v>7839</v>
      </c>
      <c r="B2246" s="22" t="s">
        <v>7780</v>
      </c>
      <c r="C2246" s="22" t="s">
        <v>7711</v>
      </c>
      <c r="D2246" s="22" t="s">
        <v>7710</v>
      </c>
      <c r="E2246" s="22" t="s">
        <v>5679</v>
      </c>
      <c r="F2246" s="24" t="s">
        <v>5680</v>
      </c>
      <c r="G2246" s="26" t="s">
        <v>8485</v>
      </c>
      <c r="H2246" s="22" t="s">
        <v>109</v>
      </c>
      <c r="I2246" s="22" t="s">
        <v>172</v>
      </c>
      <c r="J2246" s="22"/>
      <c r="K2246" s="24" t="s">
        <v>7946</v>
      </c>
      <c r="L2246" s="24"/>
      <c r="M2246" s="25" t="s">
        <v>5681</v>
      </c>
      <c r="N2246" s="22"/>
      <c r="O2246" s="22" t="s">
        <v>5682</v>
      </c>
      <c r="P2246" s="22" t="str">
        <f>HYPERLINK("https://ceds.ed.gov/cedselementdetails.aspx?termid=21827")</f>
        <v>https://ceds.ed.gov/cedselementdetails.aspx?termid=21827</v>
      </c>
      <c r="Q2246" s="22">
        <v>62401</v>
      </c>
    </row>
    <row r="2247" spans="1:17" ht="43.2" x14ac:dyDescent="0.3">
      <c r="A2247" s="22" t="s">
        <v>7839</v>
      </c>
      <c r="B2247" s="22" t="s">
        <v>7780</v>
      </c>
      <c r="C2247" s="22" t="s">
        <v>7711</v>
      </c>
      <c r="D2247" s="22" t="s">
        <v>7710</v>
      </c>
      <c r="E2247" s="22" t="s">
        <v>5695</v>
      </c>
      <c r="F2247" s="24" t="s">
        <v>5696</v>
      </c>
      <c r="G2247" s="23" t="s">
        <v>32</v>
      </c>
      <c r="H2247" s="22" t="s">
        <v>207</v>
      </c>
      <c r="I2247" s="22" t="s">
        <v>172</v>
      </c>
      <c r="J2247" s="22" t="s">
        <v>157</v>
      </c>
      <c r="K2247" s="24" t="s">
        <v>7946</v>
      </c>
      <c r="L2247" s="24"/>
      <c r="M2247" s="25" t="s">
        <v>5697</v>
      </c>
      <c r="N2247" s="22"/>
      <c r="O2247" s="22" t="s">
        <v>5698</v>
      </c>
      <c r="P2247" s="22" t="str">
        <f>HYPERLINK("https://ceds.ed.gov/cedselementdetails.aspx?termid=21204")</f>
        <v>https://ceds.ed.gov/cedselementdetails.aspx?termid=21204</v>
      </c>
      <c r="Q2247" s="22">
        <v>62399</v>
      </c>
    </row>
    <row r="2248" spans="1:17" ht="409.6" x14ac:dyDescent="0.3">
      <c r="A2248" s="22" t="s">
        <v>7839</v>
      </c>
      <c r="B2248" s="22" t="s">
        <v>7780</v>
      </c>
      <c r="C2248" s="22" t="s">
        <v>7711</v>
      </c>
      <c r="D2248" s="22" t="s">
        <v>7710</v>
      </c>
      <c r="E2248" s="22" t="s">
        <v>5715</v>
      </c>
      <c r="F2248" s="24" t="s">
        <v>5716</v>
      </c>
      <c r="G2248" s="26" t="s">
        <v>8493</v>
      </c>
      <c r="H2248" s="22"/>
      <c r="I2248" s="22" t="s">
        <v>172</v>
      </c>
      <c r="J2248" s="22"/>
      <c r="K2248" s="24" t="s">
        <v>8265</v>
      </c>
      <c r="L2248" s="24" t="s">
        <v>5717</v>
      </c>
      <c r="M2248" s="25" t="s">
        <v>5718</v>
      </c>
      <c r="N2248" s="22"/>
      <c r="O2248" s="22" t="s">
        <v>5719</v>
      </c>
      <c r="P2248" s="22" t="str">
        <f>HYPERLINK("https://ceds.ed.gov/cedselementdetails.aspx?termid=22165")</f>
        <v>https://ceds.ed.gov/cedselementdetails.aspx?termid=22165</v>
      </c>
      <c r="Q2248" s="22">
        <v>62402</v>
      </c>
    </row>
    <row r="2249" spans="1:17" ht="86.4" x14ac:dyDescent="0.3">
      <c r="A2249" s="22" t="s">
        <v>7839</v>
      </c>
      <c r="B2249" s="22" t="s">
        <v>7780</v>
      </c>
      <c r="C2249" s="22" t="s">
        <v>7711</v>
      </c>
      <c r="D2249" s="22" t="s">
        <v>7710</v>
      </c>
      <c r="E2249" s="22" t="s">
        <v>5707</v>
      </c>
      <c r="F2249" s="24" t="s">
        <v>5708</v>
      </c>
      <c r="G2249" s="26" t="s">
        <v>8491</v>
      </c>
      <c r="H2249" s="22"/>
      <c r="I2249" s="22" t="s">
        <v>172</v>
      </c>
      <c r="J2249" s="22"/>
      <c r="K2249" s="24" t="s">
        <v>8263</v>
      </c>
      <c r="L2249" s="24" t="s">
        <v>8264</v>
      </c>
      <c r="M2249" s="25" t="s">
        <v>5709</v>
      </c>
      <c r="N2249" s="22"/>
      <c r="O2249" s="22" t="s">
        <v>5710</v>
      </c>
      <c r="P2249" s="22" t="str">
        <f>HYPERLINK("https://ceds.ed.gov/cedselementdetails.aspx?termid=22886")</f>
        <v>https://ceds.ed.gov/cedselementdetails.aspx?termid=22886</v>
      </c>
      <c r="Q2249" s="22">
        <v>63156</v>
      </c>
    </row>
    <row r="2250" spans="1:17" ht="86.4" x14ac:dyDescent="0.3">
      <c r="A2250" s="22" t="s">
        <v>7839</v>
      </c>
      <c r="B2250" s="22" t="s">
        <v>7780</v>
      </c>
      <c r="C2250" s="22" t="s">
        <v>7711</v>
      </c>
      <c r="D2250" s="22" t="s">
        <v>7741</v>
      </c>
      <c r="E2250" s="22" t="s">
        <v>8312</v>
      </c>
      <c r="F2250" s="24" t="s">
        <v>8313</v>
      </c>
      <c r="G2250" s="23" t="s">
        <v>32</v>
      </c>
      <c r="H2250" s="22"/>
      <c r="I2250" s="22" t="s">
        <v>172</v>
      </c>
      <c r="J2250" s="22" t="s">
        <v>85</v>
      </c>
      <c r="K2250" s="24" t="s">
        <v>8314</v>
      </c>
      <c r="L2250" s="24" t="s">
        <v>6772</v>
      </c>
      <c r="M2250" s="25" t="s">
        <v>6773</v>
      </c>
      <c r="N2250" s="22"/>
      <c r="O2250" s="22" t="s">
        <v>8315</v>
      </c>
      <c r="P2250" s="22" t="str">
        <f>HYPERLINK("https://ceds.ed.gov/cedselementdetails.aspx?termid=22459")</f>
        <v>https://ceds.ed.gov/cedselementdetails.aspx?termid=22459</v>
      </c>
      <c r="Q2250" s="22">
        <v>63949</v>
      </c>
    </row>
    <row r="2251" spans="1:17" ht="72" x14ac:dyDescent="0.3">
      <c r="A2251" s="22" t="s">
        <v>7839</v>
      </c>
      <c r="B2251" s="22" t="s">
        <v>7780</v>
      </c>
      <c r="C2251" s="22" t="s">
        <v>7712</v>
      </c>
      <c r="D2251" s="22" t="s">
        <v>7710</v>
      </c>
      <c r="E2251" s="22" t="s">
        <v>199</v>
      </c>
      <c r="F2251" s="24" t="s">
        <v>200</v>
      </c>
      <c r="G2251" s="26" t="s">
        <v>8394</v>
      </c>
      <c r="H2251" s="24" t="s">
        <v>64</v>
      </c>
      <c r="I2251" s="22" t="s">
        <v>172</v>
      </c>
      <c r="J2251" s="22" t="s">
        <v>85</v>
      </c>
      <c r="K2251" s="24" t="s">
        <v>7946</v>
      </c>
      <c r="L2251" s="24"/>
      <c r="M2251" s="25" t="s">
        <v>201</v>
      </c>
      <c r="N2251" s="22"/>
      <c r="O2251" s="22" t="s">
        <v>202</v>
      </c>
      <c r="P2251" s="22" t="str">
        <f>HYPERLINK("https://ceds.ed.gov/cedselementdetails.aspx?termid=21644")</f>
        <v>https://ceds.ed.gov/cedselementdetails.aspx?termid=21644</v>
      </c>
      <c r="Q2251" s="22">
        <v>62403</v>
      </c>
    </row>
    <row r="2252" spans="1:17" ht="187.2" x14ac:dyDescent="0.3">
      <c r="A2252" s="22" t="s">
        <v>7839</v>
      </c>
      <c r="B2252" s="22" t="s">
        <v>7780</v>
      </c>
      <c r="C2252" s="22" t="s">
        <v>7712</v>
      </c>
      <c r="D2252" s="22" t="s">
        <v>7710</v>
      </c>
      <c r="E2252" s="22" t="s">
        <v>189</v>
      </c>
      <c r="F2252" s="24" t="s">
        <v>190</v>
      </c>
      <c r="G2252" s="23" t="s">
        <v>32</v>
      </c>
      <c r="H2252" s="24" t="s">
        <v>175</v>
      </c>
      <c r="I2252" s="22" t="s">
        <v>172</v>
      </c>
      <c r="J2252" s="22" t="s">
        <v>191</v>
      </c>
      <c r="K2252" s="24" t="s">
        <v>7946</v>
      </c>
      <c r="L2252" s="24"/>
      <c r="M2252" s="25" t="s">
        <v>192</v>
      </c>
      <c r="N2252" s="22"/>
      <c r="O2252" s="22" t="s">
        <v>193</v>
      </c>
      <c r="P2252" s="22" t="str">
        <f>HYPERLINK("https://ceds.ed.gov/cedselementdetails.aspx?termid=21269")</f>
        <v>https://ceds.ed.gov/cedselementdetails.aspx?termid=21269</v>
      </c>
      <c r="Q2252" s="22">
        <v>62404</v>
      </c>
    </row>
    <row r="2253" spans="1:17" ht="187.2" x14ac:dyDescent="0.3">
      <c r="A2253" s="22" t="s">
        <v>7839</v>
      </c>
      <c r="B2253" s="22" t="s">
        <v>7780</v>
      </c>
      <c r="C2253" s="22" t="s">
        <v>7712</v>
      </c>
      <c r="D2253" s="22" t="s">
        <v>7710</v>
      </c>
      <c r="E2253" s="22" t="s">
        <v>170</v>
      </c>
      <c r="F2253" s="24" t="s">
        <v>171</v>
      </c>
      <c r="G2253" s="23" t="s">
        <v>32</v>
      </c>
      <c r="H2253" s="24" t="s">
        <v>175</v>
      </c>
      <c r="I2253" s="22" t="s">
        <v>172</v>
      </c>
      <c r="J2253" s="22" t="s">
        <v>157</v>
      </c>
      <c r="K2253" s="24" t="s">
        <v>7946</v>
      </c>
      <c r="L2253" s="24"/>
      <c r="M2253" s="25" t="s">
        <v>173</v>
      </c>
      <c r="N2253" s="22"/>
      <c r="O2253" s="22" t="s">
        <v>174</v>
      </c>
      <c r="P2253" s="22" t="str">
        <f>HYPERLINK("https://ceds.ed.gov/cedselementdetails.aspx?termid=21019")</f>
        <v>https://ceds.ed.gov/cedselementdetails.aspx?termid=21019</v>
      </c>
      <c r="Q2253" s="22">
        <v>62405</v>
      </c>
    </row>
    <row r="2254" spans="1:17" ht="187.2" x14ac:dyDescent="0.3">
      <c r="A2254" s="22" t="s">
        <v>7839</v>
      </c>
      <c r="B2254" s="22" t="s">
        <v>7780</v>
      </c>
      <c r="C2254" s="22" t="s">
        <v>7712</v>
      </c>
      <c r="D2254" s="22" t="s">
        <v>7710</v>
      </c>
      <c r="E2254" s="22" t="s">
        <v>176</v>
      </c>
      <c r="F2254" s="24" t="s">
        <v>177</v>
      </c>
      <c r="G2254" s="23" t="s">
        <v>32</v>
      </c>
      <c r="H2254" s="24" t="s">
        <v>175</v>
      </c>
      <c r="I2254" s="22" t="s">
        <v>172</v>
      </c>
      <c r="J2254" s="22" t="s">
        <v>85</v>
      </c>
      <c r="K2254" s="24" t="s">
        <v>7946</v>
      </c>
      <c r="L2254" s="24"/>
      <c r="M2254" s="25" t="s">
        <v>178</v>
      </c>
      <c r="N2254" s="22"/>
      <c r="O2254" s="22" t="s">
        <v>179</v>
      </c>
      <c r="P2254" s="22" t="str">
        <f>HYPERLINK("https://ceds.ed.gov/cedselementdetails.aspx?termid=21040")</f>
        <v>https://ceds.ed.gov/cedselementdetails.aspx?termid=21040</v>
      </c>
      <c r="Q2254" s="22">
        <v>62406</v>
      </c>
    </row>
    <row r="2255" spans="1:17" ht="409.6" x14ac:dyDescent="0.3">
      <c r="A2255" s="22" t="s">
        <v>7839</v>
      </c>
      <c r="B2255" s="22" t="s">
        <v>7780</v>
      </c>
      <c r="C2255" s="22" t="s">
        <v>7712</v>
      </c>
      <c r="D2255" s="22" t="s">
        <v>7710</v>
      </c>
      <c r="E2255" s="22" t="s">
        <v>6941</v>
      </c>
      <c r="F2255" s="24" t="s">
        <v>6942</v>
      </c>
      <c r="G2255" s="26" t="s">
        <v>8533</v>
      </c>
      <c r="H2255" s="24" t="s">
        <v>6945</v>
      </c>
      <c r="I2255" s="22" t="s">
        <v>172</v>
      </c>
      <c r="J2255" s="22"/>
      <c r="K2255" s="24" t="s">
        <v>8327</v>
      </c>
      <c r="L2255" s="24"/>
      <c r="M2255" s="25" t="s">
        <v>6943</v>
      </c>
      <c r="N2255" s="22"/>
      <c r="O2255" s="22" t="s">
        <v>6944</v>
      </c>
      <c r="P2255" s="22" t="str">
        <f>HYPERLINK("https://ceds.ed.gov/cedselementdetails.aspx?termid=21267")</f>
        <v>https://ceds.ed.gov/cedselementdetails.aspx?termid=21267</v>
      </c>
      <c r="Q2255" s="22">
        <v>62407</v>
      </c>
    </row>
    <row r="2256" spans="1:17" ht="187.2" x14ac:dyDescent="0.3">
      <c r="A2256" s="22" t="s">
        <v>7839</v>
      </c>
      <c r="B2256" s="22" t="s">
        <v>7780</v>
      </c>
      <c r="C2256" s="22" t="s">
        <v>7712</v>
      </c>
      <c r="D2256" s="22" t="s">
        <v>7710</v>
      </c>
      <c r="E2256" s="22" t="s">
        <v>184</v>
      </c>
      <c r="F2256" s="24" t="s">
        <v>185</v>
      </c>
      <c r="G2256" s="23" t="s">
        <v>32</v>
      </c>
      <c r="H2256" s="24" t="s">
        <v>175</v>
      </c>
      <c r="I2256" s="22" t="s">
        <v>172</v>
      </c>
      <c r="J2256" s="22" t="s">
        <v>186</v>
      </c>
      <c r="K2256" s="24" t="s">
        <v>7946</v>
      </c>
      <c r="L2256" s="24"/>
      <c r="M2256" s="25" t="s">
        <v>187</v>
      </c>
      <c r="N2256" s="22"/>
      <c r="O2256" s="22" t="s">
        <v>188</v>
      </c>
      <c r="P2256" s="22" t="str">
        <f>HYPERLINK("https://ceds.ed.gov/cedselementdetails.aspx?termid=21214")</f>
        <v>https://ceds.ed.gov/cedselementdetails.aspx?termid=21214</v>
      </c>
      <c r="Q2256" s="22">
        <v>62408</v>
      </c>
    </row>
    <row r="2257" spans="1:17" ht="187.2" x14ac:dyDescent="0.3">
      <c r="A2257" s="22" t="s">
        <v>7839</v>
      </c>
      <c r="B2257" s="22" t="s">
        <v>7780</v>
      </c>
      <c r="C2257" s="22" t="s">
        <v>7712</v>
      </c>
      <c r="D2257" s="22" t="s">
        <v>7710</v>
      </c>
      <c r="E2257" s="22" t="s">
        <v>180</v>
      </c>
      <c r="F2257" s="24" t="s">
        <v>181</v>
      </c>
      <c r="G2257" s="23" t="s">
        <v>32</v>
      </c>
      <c r="H2257" s="24" t="s">
        <v>175</v>
      </c>
      <c r="I2257" s="22" t="s">
        <v>172</v>
      </c>
      <c r="J2257" s="22" t="s">
        <v>85</v>
      </c>
      <c r="K2257" s="24" t="s">
        <v>7946</v>
      </c>
      <c r="L2257" s="24"/>
      <c r="M2257" s="25" t="s">
        <v>182</v>
      </c>
      <c r="N2257" s="22"/>
      <c r="O2257" s="22" t="s">
        <v>183</v>
      </c>
      <c r="P2257" s="22" t="str">
        <f>HYPERLINK("https://ceds.ed.gov/cedselementdetails.aspx?termid=21190")</f>
        <v>https://ceds.ed.gov/cedselementdetails.aspx?termid=21190</v>
      </c>
      <c r="Q2257" s="22">
        <v>62409</v>
      </c>
    </row>
    <row r="2258" spans="1:17" ht="158.4" x14ac:dyDescent="0.3">
      <c r="A2258" s="22" t="s">
        <v>7839</v>
      </c>
      <c r="B2258" s="22" t="s">
        <v>7780</v>
      </c>
      <c r="C2258" s="22" t="s">
        <v>7712</v>
      </c>
      <c r="D2258" s="22" t="s">
        <v>7710</v>
      </c>
      <c r="E2258" s="22" t="s">
        <v>2536</v>
      </c>
      <c r="F2258" s="24" t="s">
        <v>2537</v>
      </c>
      <c r="G2258" s="23" t="s">
        <v>32</v>
      </c>
      <c r="H2258" s="22"/>
      <c r="I2258" s="22"/>
      <c r="J2258" s="22" t="s">
        <v>2538</v>
      </c>
      <c r="K2258" s="24"/>
      <c r="L2258" s="24"/>
      <c r="M2258" s="25" t="s">
        <v>2539</v>
      </c>
      <c r="N2258" s="22"/>
      <c r="O2258" s="22" t="s">
        <v>2540</v>
      </c>
      <c r="P2258" s="22" t="str">
        <f>HYPERLINK("https://ceds.ed.gov/cedselementdetails.aspx?termid=22176")</f>
        <v>https://ceds.ed.gov/cedselementdetails.aspx?termid=22176</v>
      </c>
      <c r="Q2258" s="22">
        <v>62413</v>
      </c>
    </row>
    <row r="2259" spans="1:17" ht="43.2" x14ac:dyDescent="0.3">
      <c r="A2259" s="22" t="s">
        <v>7839</v>
      </c>
      <c r="B2259" s="22" t="s">
        <v>7780</v>
      </c>
      <c r="C2259" s="22" t="s">
        <v>7712</v>
      </c>
      <c r="D2259" s="22" t="s">
        <v>7710</v>
      </c>
      <c r="E2259" s="22" t="s">
        <v>1798</v>
      </c>
      <c r="F2259" s="24" t="s">
        <v>1799</v>
      </c>
      <c r="G2259" s="23" t="s">
        <v>32</v>
      </c>
      <c r="H2259" s="22"/>
      <c r="I2259" s="22" t="s">
        <v>172</v>
      </c>
      <c r="J2259" s="22" t="s">
        <v>157</v>
      </c>
      <c r="K2259" s="24" t="s">
        <v>7946</v>
      </c>
      <c r="L2259" s="24"/>
      <c r="M2259" s="25" t="s">
        <v>1800</v>
      </c>
      <c r="N2259" s="22"/>
      <c r="O2259" s="22" t="s">
        <v>1801</v>
      </c>
      <c r="P2259" s="22" t="str">
        <f>HYPERLINK("https://ceds.ed.gov/cedselementdetails.aspx?termid=21595")</f>
        <v>https://ceds.ed.gov/cedselementdetails.aspx?termid=21595</v>
      </c>
      <c r="Q2259" s="22">
        <v>62410</v>
      </c>
    </row>
    <row r="2260" spans="1:17" ht="57.6" x14ac:dyDescent="0.3">
      <c r="A2260" s="22" t="s">
        <v>7839</v>
      </c>
      <c r="B2260" s="22" t="s">
        <v>7780</v>
      </c>
      <c r="C2260" s="22" t="s">
        <v>7712</v>
      </c>
      <c r="D2260" s="22" t="s">
        <v>7710</v>
      </c>
      <c r="E2260" s="22" t="s">
        <v>4982</v>
      </c>
      <c r="F2260" s="24" t="s">
        <v>4983</v>
      </c>
      <c r="G2260" s="23" t="s">
        <v>32</v>
      </c>
      <c r="H2260" s="22"/>
      <c r="I2260" s="22"/>
      <c r="J2260" s="22" t="s">
        <v>1165</v>
      </c>
      <c r="K2260" s="24"/>
      <c r="L2260" s="24"/>
      <c r="M2260" s="25" t="s">
        <v>4984</v>
      </c>
      <c r="N2260" s="22"/>
      <c r="O2260" s="22" t="s">
        <v>4982</v>
      </c>
      <c r="P2260" s="22" t="str">
        <f>HYPERLINK("https://ceds.ed.gov/cedselementdetails.aspx?termid=21599")</f>
        <v>https://ceds.ed.gov/cedselementdetails.aspx?termid=21599</v>
      </c>
      <c r="Q2260" s="22">
        <v>62411</v>
      </c>
    </row>
    <row r="2261" spans="1:17" ht="57.6" x14ac:dyDescent="0.3">
      <c r="A2261" s="22" t="s">
        <v>7839</v>
      </c>
      <c r="B2261" s="22" t="s">
        <v>7780</v>
      </c>
      <c r="C2261" s="22" t="s">
        <v>7712</v>
      </c>
      <c r="D2261" s="22" t="s">
        <v>7710</v>
      </c>
      <c r="E2261" s="22" t="s">
        <v>5372</v>
      </c>
      <c r="F2261" s="24" t="s">
        <v>5373</v>
      </c>
      <c r="G2261" s="23" t="s">
        <v>32</v>
      </c>
      <c r="H2261" s="22"/>
      <c r="I2261" s="22"/>
      <c r="J2261" s="22" t="s">
        <v>1165</v>
      </c>
      <c r="K2261" s="24"/>
      <c r="L2261" s="24"/>
      <c r="M2261" s="25" t="s">
        <v>5374</v>
      </c>
      <c r="N2261" s="22"/>
      <c r="O2261" s="22" t="s">
        <v>5372</v>
      </c>
      <c r="P2261" s="22" t="str">
        <f>HYPERLINK("https://ceds.ed.gov/cedselementdetails.aspx?termid=21600")</f>
        <v>https://ceds.ed.gov/cedselementdetails.aspx?termid=21600</v>
      </c>
      <c r="Q2261" s="22">
        <v>62412</v>
      </c>
    </row>
    <row r="2262" spans="1:17" ht="57.6" x14ac:dyDescent="0.3">
      <c r="A2262" s="22" t="s">
        <v>7839</v>
      </c>
      <c r="B2262" s="22" t="s">
        <v>7780</v>
      </c>
      <c r="C2262" s="22" t="s">
        <v>7712</v>
      </c>
      <c r="D2262" s="22" t="s">
        <v>7710</v>
      </c>
      <c r="E2262" s="22" t="s">
        <v>3228</v>
      </c>
      <c r="F2262" s="24" t="s">
        <v>3229</v>
      </c>
      <c r="G2262" s="26" t="s">
        <v>3039</v>
      </c>
      <c r="H2262" s="22"/>
      <c r="I2262" s="22" t="s">
        <v>172</v>
      </c>
      <c r="J2262" s="22"/>
      <c r="K2262" s="24" t="s">
        <v>7946</v>
      </c>
      <c r="L2262" s="24"/>
      <c r="M2262" s="25" t="s">
        <v>3230</v>
      </c>
      <c r="N2262" s="22"/>
      <c r="O2262" s="22" t="s">
        <v>3231</v>
      </c>
      <c r="P2262" s="22" t="str">
        <f>HYPERLINK("https://ceds.ed.gov/cedselementdetails.aspx?termid=22905")</f>
        <v>https://ceds.ed.gov/cedselementdetails.aspx?termid=22905</v>
      </c>
      <c r="Q2262" s="22">
        <v>63388</v>
      </c>
    </row>
    <row r="2263" spans="1:17" ht="72" x14ac:dyDescent="0.3">
      <c r="A2263" s="22" t="s">
        <v>7839</v>
      </c>
      <c r="B2263" s="22" t="s">
        <v>7780</v>
      </c>
      <c r="C2263" s="22" t="s">
        <v>7713</v>
      </c>
      <c r="D2263" s="22" t="s">
        <v>7710</v>
      </c>
      <c r="E2263" s="22" t="s">
        <v>7159</v>
      </c>
      <c r="F2263" s="24" t="s">
        <v>7160</v>
      </c>
      <c r="G2263" s="23" t="s">
        <v>32</v>
      </c>
      <c r="H2263" s="24" t="s">
        <v>64</v>
      </c>
      <c r="I2263" s="22"/>
      <c r="J2263" s="22" t="s">
        <v>7161</v>
      </c>
      <c r="K2263" s="24"/>
      <c r="L2263" s="24"/>
      <c r="M2263" s="25" t="s">
        <v>7162</v>
      </c>
      <c r="N2263" s="22"/>
      <c r="O2263" s="22" t="s">
        <v>7163</v>
      </c>
      <c r="P2263" s="22" t="str">
        <f>HYPERLINK("https://ceds.ed.gov/cedselementdetails.aspx?termid=21279")</f>
        <v>https://ceds.ed.gov/cedselementdetails.aspx?termid=21279</v>
      </c>
      <c r="Q2263" s="22">
        <v>62416</v>
      </c>
    </row>
    <row r="2264" spans="1:17" ht="115.2" x14ac:dyDescent="0.3">
      <c r="A2264" s="22" t="s">
        <v>7839</v>
      </c>
      <c r="B2264" s="22" t="s">
        <v>7780</v>
      </c>
      <c r="C2264" s="22" t="s">
        <v>7713</v>
      </c>
      <c r="D2264" s="22" t="s">
        <v>7710</v>
      </c>
      <c r="E2264" s="22" t="s">
        <v>4776</v>
      </c>
      <c r="F2264" s="24" t="s">
        <v>4777</v>
      </c>
      <c r="G2264" s="26" t="s">
        <v>8967</v>
      </c>
      <c r="H2264" s="22"/>
      <c r="I2264" s="22"/>
      <c r="J2264" s="22"/>
      <c r="K2264" s="24"/>
      <c r="L2264" s="24"/>
      <c r="M2264" s="25" t="s">
        <v>4778</v>
      </c>
      <c r="N2264" s="22"/>
      <c r="O2264" s="22" t="s">
        <v>4779</v>
      </c>
      <c r="P2264" s="22" t="str">
        <f>HYPERLINK("https://ceds.ed.gov/cedselementdetails.aspx?termid=21167")</f>
        <v>https://ceds.ed.gov/cedselementdetails.aspx?termid=21167</v>
      </c>
      <c r="Q2264" s="22">
        <v>62414</v>
      </c>
    </row>
    <row r="2265" spans="1:17" ht="72" x14ac:dyDescent="0.3">
      <c r="A2265" s="22" t="s">
        <v>7839</v>
      </c>
      <c r="B2265" s="22" t="s">
        <v>7780</v>
      </c>
      <c r="C2265" s="22" t="s">
        <v>7713</v>
      </c>
      <c r="D2265" s="22" t="s">
        <v>7710</v>
      </c>
      <c r="E2265" s="22" t="s">
        <v>5965</v>
      </c>
      <c r="F2265" s="24" t="s">
        <v>5966</v>
      </c>
      <c r="G2265" s="26" t="s">
        <v>22</v>
      </c>
      <c r="H2265" s="24" t="s">
        <v>64</v>
      </c>
      <c r="I2265" s="22"/>
      <c r="J2265" s="22"/>
      <c r="K2265" s="24"/>
      <c r="L2265" s="24"/>
      <c r="M2265" s="25" t="s">
        <v>5967</v>
      </c>
      <c r="N2265" s="22"/>
      <c r="O2265" s="22" t="s">
        <v>5968</v>
      </c>
      <c r="P2265" s="22" t="str">
        <f>HYPERLINK("https://ceds.ed.gov/cedselementdetails.aspx?termid=21219")</f>
        <v>https://ceds.ed.gov/cedselementdetails.aspx?termid=21219</v>
      </c>
      <c r="Q2265" s="22">
        <v>62415</v>
      </c>
    </row>
    <row r="2266" spans="1:17" ht="57.6" x14ac:dyDescent="0.3">
      <c r="A2266" s="22" t="s">
        <v>7839</v>
      </c>
      <c r="B2266" s="22" t="s">
        <v>7780</v>
      </c>
      <c r="C2266" s="22" t="s">
        <v>7713</v>
      </c>
      <c r="D2266" s="22" t="s">
        <v>7710</v>
      </c>
      <c r="E2266" s="22" t="s">
        <v>3228</v>
      </c>
      <c r="F2266" s="24" t="s">
        <v>3229</v>
      </c>
      <c r="G2266" s="26" t="s">
        <v>3039</v>
      </c>
      <c r="H2266" s="22"/>
      <c r="I2266" s="22" t="s">
        <v>172</v>
      </c>
      <c r="J2266" s="22"/>
      <c r="K2266" s="24" t="s">
        <v>7946</v>
      </c>
      <c r="L2266" s="24"/>
      <c r="M2266" s="25" t="s">
        <v>3230</v>
      </c>
      <c r="N2266" s="22"/>
      <c r="O2266" s="22" t="s">
        <v>3231</v>
      </c>
      <c r="P2266" s="22" t="str">
        <f>HYPERLINK("https://ceds.ed.gov/cedselementdetails.aspx?termid=22905")</f>
        <v>https://ceds.ed.gov/cedselementdetails.aspx?termid=22905</v>
      </c>
      <c r="Q2266" s="22">
        <v>63395</v>
      </c>
    </row>
    <row r="2267" spans="1:17" ht="57.6" x14ac:dyDescent="0.3">
      <c r="A2267" s="22" t="s">
        <v>7839</v>
      </c>
      <c r="B2267" s="22" t="s">
        <v>7780</v>
      </c>
      <c r="C2267" s="22" t="s">
        <v>7713</v>
      </c>
      <c r="D2267" s="22" t="s">
        <v>7710</v>
      </c>
      <c r="E2267" s="22" t="s">
        <v>7164</v>
      </c>
      <c r="F2267" s="24" t="s">
        <v>7165</v>
      </c>
      <c r="G2267" s="26" t="s">
        <v>9167</v>
      </c>
      <c r="H2267" s="22"/>
      <c r="I2267" s="22"/>
      <c r="J2267" s="22"/>
      <c r="K2267" s="24"/>
      <c r="L2267" s="24"/>
      <c r="M2267" s="25" t="s">
        <v>7166</v>
      </c>
      <c r="N2267" s="22"/>
      <c r="O2267" s="22" t="s">
        <v>7167</v>
      </c>
      <c r="P2267" s="22" t="str">
        <f>HYPERLINK("https://ceds.ed.gov/cedselementdetails.aspx?termid=22911")</f>
        <v>https://ceds.ed.gov/cedselementdetails.aspx?termid=22911</v>
      </c>
      <c r="Q2267" s="22">
        <v>63396</v>
      </c>
    </row>
    <row r="2268" spans="1:17" ht="72" x14ac:dyDescent="0.3">
      <c r="A2268" s="22" t="s">
        <v>7839</v>
      </c>
      <c r="B2268" s="22" t="s">
        <v>7780</v>
      </c>
      <c r="C2268" s="22" t="s">
        <v>7714</v>
      </c>
      <c r="D2268" s="22" t="s">
        <v>7710</v>
      </c>
      <c r="E2268" s="22" t="s">
        <v>5873</v>
      </c>
      <c r="F2268" s="24" t="s">
        <v>5874</v>
      </c>
      <c r="G2268" s="23" t="s">
        <v>32</v>
      </c>
      <c r="H2268" s="24" t="s">
        <v>64</v>
      </c>
      <c r="I2268" s="22" t="s">
        <v>172</v>
      </c>
      <c r="J2268" s="22" t="s">
        <v>1339</v>
      </c>
      <c r="K2268" s="24" t="s">
        <v>7946</v>
      </c>
      <c r="L2268" s="24"/>
      <c r="M2268" s="25" t="s">
        <v>5875</v>
      </c>
      <c r="N2268" s="22"/>
      <c r="O2268" s="22" t="s">
        <v>5876</v>
      </c>
      <c r="P2268" s="22" t="str">
        <f>HYPERLINK("https://ceds.ed.gov/cedselementdetails.aspx?termid=21213")</f>
        <v>https://ceds.ed.gov/cedselementdetails.aspx?termid=21213</v>
      </c>
      <c r="Q2268" s="22">
        <v>62417</v>
      </c>
    </row>
    <row r="2269" spans="1:17" ht="86.4" x14ac:dyDescent="0.3">
      <c r="A2269" s="22" t="s">
        <v>7839</v>
      </c>
      <c r="B2269" s="22" t="s">
        <v>7780</v>
      </c>
      <c r="C2269" s="22" t="s">
        <v>7714</v>
      </c>
      <c r="D2269" s="22" t="s">
        <v>7710</v>
      </c>
      <c r="E2269" s="22" t="s">
        <v>5955</v>
      </c>
      <c r="F2269" s="24" t="s">
        <v>5956</v>
      </c>
      <c r="G2269" s="26" t="s">
        <v>22</v>
      </c>
      <c r="H2269" s="22"/>
      <c r="I2269" s="22"/>
      <c r="J2269" s="22"/>
      <c r="K2269" s="24"/>
      <c r="L2269" s="24"/>
      <c r="M2269" s="25" t="s">
        <v>5957</v>
      </c>
      <c r="N2269" s="22"/>
      <c r="O2269" s="22" t="s">
        <v>5958</v>
      </c>
      <c r="P2269" s="22" t="str">
        <f>HYPERLINK("https://ceds.ed.gov/cedselementdetails.aspx?termid=22397")</f>
        <v>https://ceds.ed.gov/cedselementdetails.aspx?termid=22397</v>
      </c>
      <c r="Q2269" s="22">
        <v>62419</v>
      </c>
    </row>
    <row r="2270" spans="1:17" ht="28.8" x14ac:dyDescent="0.3">
      <c r="A2270" s="22" t="s">
        <v>7839</v>
      </c>
      <c r="B2270" s="22" t="s">
        <v>7780</v>
      </c>
      <c r="C2270" s="22" t="s">
        <v>7714</v>
      </c>
      <c r="D2270" s="22" t="s">
        <v>7710</v>
      </c>
      <c r="E2270" s="22" t="s">
        <v>7370</v>
      </c>
      <c r="F2270" s="24" t="s">
        <v>7371</v>
      </c>
      <c r="G2270" s="23" t="s">
        <v>32</v>
      </c>
      <c r="H2270" s="22" t="s">
        <v>226</v>
      </c>
      <c r="I2270" s="22" t="s">
        <v>172</v>
      </c>
      <c r="J2270" s="22" t="s">
        <v>113</v>
      </c>
      <c r="K2270" s="24" t="s">
        <v>7946</v>
      </c>
      <c r="L2270" s="24"/>
      <c r="M2270" s="25" t="s">
        <v>7372</v>
      </c>
      <c r="N2270" s="22"/>
      <c r="O2270" s="22" t="s">
        <v>7373</v>
      </c>
      <c r="P2270" s="22" t="str">
        <f>HYPERLINK("https://ceds.ed.gov/cedselementdetails.aspx?termid=21300")</f>
        <v>https://ceds.ed.gov/cedselementdetails.aspx?termid=21300</v>
      </c>
      <c r="Q2270" s="22">
        <v>62418</v>
      </c>
    </row>
    <row r="2271" spans="1:17" ht="158.4" x14ac:dyDescent="0.3">
      <c r="A2271" s="22" t="s">
        <v>7839</v>
      </c>
      <c r="B2271" s="22" t="s">
        <v>7780</v>
      </c>
      <c r="C2271" s="22" t="s">
        <v>7715</v>
      </c>
      <c r="D2271" s="22" t="s">
        <v>7710</v>
      </c>
      <c r="E2271" s="22" t="s">
        <v>4050</v>
      </c>
      <c r="F2271" s="24" t="s">
        <v>4051</v>
      </c>
      <c r="G2271" s="23" t="s">
        <v>32</v>
      </c>
      <c r="H2271" s="24" t="s">
        <v>4054</v>
      </c>
      <c r="I2271" s="22"/>
      <c r="J2271" s="22" t="s">
        <v>7536</v>
      </c>
      <c r="K2271" s="24"/>
      <c r="L2271" s="24" t="s">
        <v>8200</v>
      </c>
      <c r="M2271" s="25" t="s">
        <v>4052</v>
      </c>
      <c r="N2271" s="22"/>
      <c r="O2271" s="22" t="s">
        <v>4053</v>
      </c>
      <c r="P2271" s="22" t="str">
        <f>HYPERLINK("https://ceds.ed.gov/cedselementdetails.aspx?termid=21115")</f>
        <v>https://ceds.ed.gov/cedselementdetails.aspx?termid=21115</v>
      </c>
      <c r="Q2271" s="22">
        <v>62420</v>
      </c>
    </row>
    <row r="2272" spans="1:17" ht="158.4" x14ac:dyDescent="0.3">
      <c r="A2272" s="22" t="s">
        <v>7839</v>
      </c>
      <c r="B2272" s="22" t="s">
        <v>7780</v>
      </c>
      <c r="C2272" s="22" t="s">
        <v>7715</v>
      </c>
      <c r="D2272" s="22" t="s">
        <v>7710</v>
      </c>
      <c r="E2272" s="22" t="s">
        <v>5415</v>
      </c>
      <c r="F2272" s="24" t="s">
        <v>5416</v>
      </c>
      <c r="G2272" s="23" t="s">
        <v>32</v>
      </c>
      <c r="H2272" s="24" t="s">
        <v>4054</v>
      </c>
      <c r="I2272" s="22"/>
      <c r="J2272" s="22" t="s">
        <v>7536</v>
      </c>
      <c r="K2272" s="24"/>
      <c r="L2272" s="24" t="s">
        <v>8207</v>
      </c>
      <c r="M2272" s="25" t="s">
        <v>5417</v>
      </c>
      <c r="N2272" s="22"/>
      <c r="O2272" s="22" t="s">
        <v>5418</v>
      </c>
      <c r="P2272" s="22" t="str">
        <f>HYPERLINK("https://ceds.ed.gov/cedselementdetails.aspx?termid=21184")</f>
        <v>https://ceds.ed.gov/cedselementdetails.aspx?termid=21184</v>
      </c>
      <c r="Q2272" s="22">
        <v>62421</v>
      </c>
    </row>
    <row r="2273" spans="1:17" ht="158.4" x14ac:dyDescent="0.3">
      <c r="A2273" s="22" t="s">
        <v>7839</v>
      </c>
      <c r="B2273" s="22" t="s">
        <v>7780</v>
      </c>
      <c r="C2273" s="22" t="s">
        <v>7715</v>
      </c>
      <c r="D2273" s="22" t="s">
        <v>7710</v>
      </c>
      <c r="E2273" s="22" t="s">
        <v>4973</v>
      </c>
      <c r="F2273" s="24" t="s">
        <v>4974</v>
      </c>
      <c r="G2273" s="23" t="s">
        <v>32</v>
      </c>
      <c r="H2273" s="24" t="s">
        <v>4054</v>
      </c>
      <c r="I2273" s="22"/>
      <c r="J2273" s="22" t="s">
        <v>7536</v>
      </c>
      <c r="K2273" s="24"/>
      <c r="L2273" s="24" t="s">
        <v>8207</v>
      </c>
      <c r="M2273" s="25" t="s">
        <v>4975</v>
      </c>
      <c r="N2273" s="22" t="s">
        <v>4976</v>
      </c>
      <c r="O2273" s="22" t="s">
        <v>4977</v>
      </c>
      <c r="P2273" s="22" t="str">
        <f>HYPERLINK("https://ceds.ed.gov/cedselementdetails.aspx?termid=21172")</f>
        <v>https://ceds.ed.gov/cedselementdetails.aspx?termid=21172</v>
      </c>
      <c r="Q2273" s="22">
        <v>62422</v>
      </c>
    </row>
    <row r="2274" spans="1:17" ht="129.6" x14ac:dyDescent="0.3">
      <c r="A2274" s="22" t="s">
        <v>7839</v>
      </c>
      <c r="B2274" s="22" t="s">
        <v>7780</v>
      </c>
      <c r="C2274" s="22" t="s">
        <v>7715</v>
      </c>
      <c r="D2274" s="22" t="s">
        <v>7710</v>
      </c>
      <c r="E2274" s="22" t="s">
        <v>4114</v>
      </c>
      <c r="F2274" s="24" t="s">
        <v>4115</v>
      </c>
      <c r="G2274" s="23" t="s">
        <v>32</v>
      </c>
      <c r="H2274" s="24" t="s">
        <v>4119</v>
      </c>
      <c r="I2274" s="22"/>
      <c r="J2274" s="22" t="s">
        <v>2743</v>
      </c>
      <c r="K2274" s="24"/>
      <c r="L2274" s="24" t="s">
        <v>8207</v>
      </c>
      <c r="M2274" s="25" t="s">
        <v>4117</v>
      </c>
      <c r="N2274" s="22"/>
      <c r="O2274" s="22" t="s">
        <v>4118</v>
      </c>
      <c r="P2274" s="22" t="str">
        <f>HYPERLINK("https://ceds.ed.gov/cedselementdetails.aspx?termid=21121")</f>
        <v>https://ceds.ed.gov/cedselementdetails.aspx?termid=21121</v>
      </c>
      <c r="Q2274" s="22">
        <v>62423</v>
      </c>
    </row>
    <row r="2275" spans="1:17" ht="86.4" x14ac:dyDescent="0.3">
      <c r="A2275" s="22" t="s">
        <v>7839</v>
      </c>
      <c r="B2275" s="22" t="s">
        <v>7780</v>
      </c>
      <c r="C2275" s="22" t="s">
        <v>7715</v>
      </c>
      <c r="D2275" s="22" t="s">
        <v>7710</v>
      </c>
      <c r="E2275" s="22" t="s">
        <v>5860</v>
      </c>
      <c r="F2275" s="24" t="s">
        <v>5861</v>
      </c>
      <c r="G2275" s="23" t="s">
        <v>32</v>
      </c>
      <c r="H2275" s="24" t="s">
        <v>5865</v>
      </c>
      <c r="I2275" s="22"/>
      <c r="J2275" s="22" t="s">
        <v>85</v>
      </c>
      <c r="K2275" s="24"/>
      <c r="L2275" s="24"/>
      <c r="M2275" s="25" t="s">
        <v>5862</v>
      </c>
      <c r="N2275" s="22" t="s">
        <v>5863</v>
      </c>
      <c r="O2275" s="22" t="s">
        <v>5864</v>
      </c>
      <c r="P2275" s="22" t="str">
        <f>HYPERLINK("https://ceds.ed.gov/cedselementdetails.aspx?termid=21212")</f>
        <v>https://ceds.ed.gov/cedselementdetails.aspx?termid=21212</v>
      </c>
      <c r="Q2275" s="22">
        <v>62424</v>
      </c>
    </row>
    <row r="2276" spans="1:17" ht="72" x14ac:dyDescent="0.3">
      <c r="A2276" s="22" t="s">
        <v>7839</v>
      </c>
      <c r="B2276" s="22" t="s">
        <v>7780</v>
      </c>
      <c r="C2276" s="22" t="s">
        <v>7716</v>
      </c>
      <c r="D2276" s="22" t="s">
        <v>7710</v>
      </c>
      <c r="E2276" s="22" t="s">
        <v>199</v>
      </c>
      <c r="F2276" s="24" t="s">
        <v>200</v>
      </c>
      <c r="G2276" s="26" t="s">
        <v>8394</v>
      </c>
      <c r="H2276" s="24" t="s">
        <v>64</v>
      </c>
      <c r="I2276" s="22" t="s">
        <v>172</v>
      </c>
      <c r="J2276" s="22" t="s">
        <v>85</v>
      </c>
      <c r="K2276" s="24" t="s">
        <v>7946</v>
      </c>
      <c r="L2276" s="24"/>
      <c r="M2276" s="25" t="s">
        <v>201</v>
      </c>
      <c r="N2276" s="22"/>
      <c r="O2276" s="22" t="s">
        <v>202</v>
      </c>
      <c r="P2276" s="22" t="str">
        <f>HYPERLINK("https://ceds.ed.gov/cedselementdetails.aspx?termid=21644")</f>
        <v>https://ceds.ed.gov/cedselementdetails.aspx?termid=21644</v>
      </c>
      <c r="Q2276" s="22">
        <v>62425</v>
      </c>
    </row>
    <row r="2277" spans="1:17" ht="187.2" x14ac:dyDescent="0.3">
      <c r="A2277" s="22" t="s">
        <v>7839</v>
      </c>
      <c r="B2277" s="22" t="s">
        <v>7780</v>
      </c>
      <c r="C2277" s="22" t="s">
        <v>7716</v>
      </c>
      <c r="D2277" s="22" t="s">
        <v>7710</v>
      </c>
      <c r="E2277" s="22" t="s">
        <v>189</v>
      </c>
      <c r="F2277" s="24" t="s">
        <v>190</v>
      </c>
      <c r="G2277" s="23" t="s">
        <v>32</v>
      </c>
      <c r="H2277" s="24" t="s">
        <v>175</v>
      </c>
      <c r="I2277" s="22" t="s">
        <v>172</v>
      </c>
      <c r="J2277" s="22" t="s">
        <v>191</v>
      </c>
      <c r="K2277" s="24" t="s">
        <v>7946</v>
      </c>
      <c r="L2277" s="24"/>
      <c r="M2277" s="25" t="s">
        <v>192</v>
      </c>
      <c r="N2277" s="22"/>
      <c r="O2277" s="22" t="s">
        <v>193</v>
      </c>
      <c r="P2277" s="22" t="str">
        <f>HYPERLINK("https://ceds.ed.gov/cedselementdetails.aspx?termid=21269")</f>
        <v>https://ceds.ed.gov/cedselementdetails.aspx?termid=21269</v>
      </c>
      <c r="Q2277" s="22">
        <v>62426</v>
      </c>
    </row>
    <row r="2278" spans="1:17" ht="187.2" x14ac:dyDescent="0.3">
      <c r="A2278" s="22" t="s">
        <v>7839</v>
      </c>
      <c r="B2278" s="22" t="s">
        <v>7780</v>
      </c>
      <c r="C2278" s="22" t="s">
        <v>7716</v>
      </c>
      <c r="D2278" s="22" t="s">
        <v>7710</v>
      </c>
      <c r="E2278" s="22" t="s">
        <v>170</v>
      </c>
      <c r="F2278" s="24" t="s">
        <v>171</v>
      </c>
      <c r="G2278" s="23" t="s">
        <v>32</v>
      </c>
      <c r="H2278" s="24" t="s">
        <v>175</v>
      </c>
      <c r="I2278" s="22" t="s">
        <v>172</v>
      </c>
      <c r="J2278" s="22" t="s">
        <v>157</v>
      </c>
      <c r="K2278" s="24" t="s">
        <v>7946</v>
      </c>
      <c r="L2278" s="24"/>
      <c r="M2278" s="25" t="s">
        <v>173</v>
      </c>
      <c r="N2278" s="22"/>
      <c r="O2278" s="22" t="s">
        <v>174</v>
      </c>
      <c r="P2278" s="22" t="str">
        <f>HYPERLINK("https://ceds.ed.gov/cedselementdetails.aspx?termid=21019")</f>
        <v>https://ceds.ed.gov/cedselementdetails.aspx?termid=21019</v>
      </c>
      <c r="Q2278" s="22">
        <v>62427</v>
      </c>
    </row>
    <row r="2279" spans="1:17" ht="187.2" x14ac:dyDescent="0.3">
      <c r="A2279" s="22" t="s">
        <v>7839</v>
      </c>
      <c r="B2279" s="22" t="s">
        <v>7780</v>
      </c>
      <c r="C2279" s="22" t="s">
        <v>7716</v>
      </c>
      <c r="D2279" s="22" t="s">
        <v>7710</v>
      </c>
      <c r="E2279" s="22" t="s">
        <v>176</v>
      </c>
      <c r="F2279" s="24" t="s">
        <v>177</v>
      </c>
      <c r="G2279" s="23" t="s">
        <v>32</v>
      </c>
      <c r="H2279" s="24" t="s">
        <v>175</v>
      </c>
      <c r="I2279" s="22" t="s">
        <v>172</v>
      </c>
      <c r="J2279" s="22" t="s">
        <v>85</v>
      </c>
      <c r="K2279" s="24" t="s">
        <v>7946</v>
      </c>
      <c r="L2279" s="24"/>
      <c r="M2279" s="25" t="s">
        <v>178</v>
      </c>
      <c r="N2279" s="22"/>
      <c r="O2279" s="22" t="s">
        <v>179</v>
      </c>
      <c r="P2279" s="22" t="str">
        <f>HYPERLINK("https://ceds.ed.gov/cedselementdetails.aspx?termid=21040")</f>
        <v>https://ceds.ed.gov/cedselementdetails.aspx?termid=21040</v>
      </c>
      <c r="Q2279" s="22">
        <v>62428</v>
      </c>
    </row>
    <row r="2280" spans="1:17" ht="409.6" x14ac:dyDescent="0.3">
      <c r="A2280" s="22" t="s">
        <v>7839</v>
      </c>
      <c r="B2280" s="22" t="s">
        <v>7780</v>
      </c>
      <c r="C2280" s="22" t="s">
        <v>7716</v>
      </c>
      <c r="D2280" s="22" t="s">
        <v>7710</v>
      </c>
      <c r="E2280" s="22" t="s">
        <v>6941</v>
      </c>
      <c r="F2280" s="24" t="s">
        <v>6942</v>
      </c>
      <c r="G2280" s="26" t="s">
        <v>8533</v>
      </c>
      <c r="H2280" s="24" t="s">
        <v>6945</v>
      </c>
      <c r="I2280" s="22" t="s">
        <v>172</v>
      </c>
      <c r="J2280" s="22"/>
      <c r="K2280" s="24" t="s">
        <v>8327</v>
      </c>
      <c r="L2280" s="24"/>
      <c r="M2280" s="25" t="s">
        <v>6943</v>
      </c>
      <c r="N2280" s="22"/>
      <c r="O2280" s="22" t="s">
        <v>6944</v>
      </c>
      <c r="P2280" s="22" t="str">
        <f>HYPERLINK("https://ceds.ed.gov/cedselementdetails.aspx?termid=21267")</f>
        <v>https://ceds.ed.gov/cedselementdetails.aspx?termid=21267</v>
      </c>
      <c r="Q2280" s="22">
        <v>62429</v>
      </c>
    </row>
    <row r="2281" spans="1:17" ht="187.2" x14ac:dyDescent="0.3">
      <c r="A2281" s="22" t="s">
        <v>7839</v>
      </c>
      <c r="B2281" s="22" t="s">
        <v>7780</v>
      </c>
      <c r="C2281" s="22" t="s">
        <v>7716</v>
      </c>
      <c r="D2281" s="22" t="s">
        <v>7710</v>
      </c>
      <c r="E2281" s="22" t="s">
        <v>184</v>
      </c>
      <c r="F2281" s="24" t="s">
        <v>185</v>
      </c>
      <c r="G2281" s="23" t="s">
        <v>32</v>
      </c>
      <c r="H2281" s="24" t="s">
        <v>175</v>
      </c>
      <c r="I2281" s="22" t="s">
        <v>172</v>
      </c>
      <c r="J2281" s="22" t="s">
        <v>186</v>
      </c>
      <c r="K2281" s="24" t="s">
        <v>7946</v>
      </c>
      <c r="L2281" s="24"/>
      <c r="M2281" s="25" t="s">
        <v>187</v>
      </c>
      <c r="N2281" s="22"/>
      <c r="O2281" s="22" t="s">
        <v>188</v>
      </c>
      <c r="P2281" s="22" t="str">
        <f>HYPERLINK("https://ceds.ed.gov/cedselementdetails.aspx?termid=21214")</f>
        <v>https://ceds.ed.gov/cedselementdetails.aspx?termid=21214</v>
      </c>
      <c r="Q2281" s="22">
        <v>62430</v>
      </c>
    </row>
    <row r="2282" spans="1:17" ht="187.2" x14ac:dyDescent="0.3">
      <c r="A2282" s="22" t="s">
        <v>7839</v>
      </c>
      <c r="B2282" s="22" t="s">
        <v>7780</v>
      </c>
      <c r="C2282" s="22" t="s">
        <v>7716</v>
      </c>
      <c r="D2282" s="22" t="s">
        <v>7710</v>
      </c>
      <c r="E2282" s="22" t="s">
        <v>180</v>
      </c>
      <c r="F2282" s="24" t="s">
        <v>181</v>
      </c>
      <c r="G2282" s="23" t="s">
        <v>32</v>
      </c>
      <c r="H2282" s="24" t="s">
        <v>175</v>
      </c>
      <c r="I2282" s="22" t="s">
        <v>172</v>
      </c>
      <c r="J2282" s="22" t="s">
        <v>85</v>
      </c>
      <c r="K2282" s="24" t="s">
        <v>7946</v>
      </c>
      <c r="L2282" s="24"/>
      <c r="M2282" s="25" t="s">
        <v>182</v>
      </c>
      <c r="N2282" s="22"/>
      <c r="O2282" s="22" t="s">
        <v>183</v>
      </c>
      <c r="P2282" s="22" t="str">
        <f>HYPERLINK("https://ceds.ed.gov/cedselementdetails.aspx?termid=21190")</f>
        <v>https://ceds.ed.gov/cedselementdetails.aspx?termid=21190</v>
      </c>
      <c r="Q2282" s="22">
        <v>62431</v>
      </c>
    </row>
    <row r="2283" spans="1:17" ht="409.6" x14ac:dyDescent="0.3">
      <c r="A2283" s="22" t="s">
        <v>7839</v>
      </c>
      <c r="B2283" s="22" t="s">
        <v>7780</v>
      </c>
      <c r="C2283" s="22" t="s">
        <v>7716</v>
      </c>
      <c r="D2283" s="22" t="s">
        <v>7710</v>
      </c>
      <c r="E2283" s="22" t="s">
        <v>2526</v>
      </c>
      <c r="F2283" s="24" t="s">
        <v>2527</v>
      </c>
      <c r="G2283" s="26" t="s">
        <v>8743</v>
      </c>
      <c r="H2283" s="24" t="s">
        <v>2530</v>
      </c>
      <c r="I2283" s="22"/>
      <c r="J2283" s="22"/>
      <c r="K2283" s="24"/>
      <c r="L2283" s="24" t="s">
        <v>8055</v>
      </c>
      <c r="M2283" s="25" t="s">
        <v>2528</v>
      </c>
      <c r="N2283" s="22"/>
      <c r="O2283" s="22" t="s">
        <v>2529</v>
      </c>
      <c r="P2283" s="22" t="str">
        <f>HYPERLINK("https://ceds.ed.gov/cedselementdetails.aspx?termid=21050")</f>
        <v>https://ceds.ed.gov/cedselementdetails.aspx?termid=21050</v>
      </c>
      <c r="Q2283" s="22">
        <v>62432</v>
      </c>
    </row>
    <row r="2284" spans="1:17" ht="158.4" x14ac:dyDescent="0.3">
      <c r="A2284" s="22" t="s">
        <v>7839</v>
      </c>
      <c r="B2284" s="22" t="s">
        <v>7780</v>
      </c>
      <c r="C2284" s="22" t="s">
        <v>7716</v>
      </c>
      <c r="D2284" s="22" t="s">
        <v>7710</v>
      </c>
      <c r="E2284" s="22" t="s">
        <v>2536</v>
      </c>
      <c r="F2284" s="24" t="s">
        <v>2537</v>
      </c>
      <c r="G2284" s="23" t="s">
        <v>32</v>
      </c>
      <c r="H2284" s="22"/>
      <c r="I2284" s="22"/>
      <c r="J2284" s="22" t="s">
        <v>2538</v>
      </c>
      <c r="K2284" s="24"/>
      <c r="L2284" s="24"/>
      <c r="M2284" s="25" t="s">
        <v>2539</v>
      </c>
      <c r="N2284" s="22"/>
      <c r="O2284" s="22" t="s">
        <v>2540</v>
      </c>
      <c r="P2284" s="22" t="str">
        <f>HYPERLINK("https://ceds.ed.gov/cedselementdetails.aspx?termid=22176")</f>
        <v>https://ceds.ed.gov/cedselementdetails.aspx?termid=22176</v>
      </c>
      <c r="Q2284" s="22">
        <v>62435</v>
      </c>
    </row>
    <row r="2285" spans="1:17" ht="57.6" x14ac:dyDescent="0.3">
      <c r="A2285" s="22" t="s">
        <v>7839</v>
      </c>
      <c r="B2285" s="22" t="s">
        <v>7780</v>
      </c>
      <c r="C2285" s="22" t="s">
        <v>7716</v>
      </c>
      <c r="D2285" s="22" t="s">
        <v>7710</v>
      </c>
      <c r="E2285" s="22" t="s">
        <v>4982</v>
      </c>
      <c r="F2285" s="24" t="s">
        <v>4983</v>
      </c>
      <c r="G2285" s="23" t="s">
        <v>32</v>
      </c>
      <c r="H2285" s="22"/>
      <c r="I2285" s="22"/>
      <c r="J2285" s="22" t="s">
        <v>1165</v>
      </c>
      <c r="K2285" s="24"/>
      <c r="L2285" s="24"/>
      <c r="M2285" s="25" t="s">
        <v>4984</v>
      </c>
      <c r="N2285" s="22"/>
      <c r="O2285" s="22" t="s">
        <v>4982</v>
      </c>
      <c r="P2285" s="22" t="str">
        <f>HYPERLINK("https://ceds.ed.gov/cedselementdetails.aspx?termid=21599")</f>
        <v>https://ceds.ed.gov/cedselementdetails.aspx?termid=21599</v>
      </c>
      <c r="Q2285" s="22">
        <v>62433</v>
      </c>
    </row>
    <row r="2286" spans="1:17" ht="57.6" x14ac:dyDescent="0.3">
      <c r="A2286" s="22" t="s">
        <v>7839</v>
      </c>
      <c r="B2286" s="22" t="s">
        <v>7780</v>
      </c>
      <c r="C2286" s="22" t="s">
        <v>7716</v>
      </c>
      <c r="D2286" s="22" t="s">
        <v>7710</v>
      </c>
      <c r="E2286" s="22" t="s">
        <v>5372</v>
      </c>
      <c r="F2286" s="24" t="s">
        <v>5373</v>
      </c>
      <c r="G2286" s="23" t="s">
        <v>32</v>
      </c>
      <c r="H2286" s="22"/>
      <c r="I2286" s="22"/>
      <c r="J2286" s="22" t="s">
        <v>1165</v>
      </c>
      <c r="K2286" s="24"/>
      <c r="L2286" s="24"/>
      <c r="M2286" s="25" t="s">
        <v>5374</v>
      </c>
      <c r="N2286" s="22"/>
      <c r="O2286" s="22" t="s">
        <v>5372</v>
      </c>
      <c r="P2286" s="22" t="str">
        <f>HYPERLINK("https://ceds.ed.gov/cedselementdetails.aspx?termid=21600")</f>
        <v>https://ceds.ed.gov/cedselementdetails.aspx?termid=21600</v>
      </c>
      <c r="Q2286" s="22">
        <v>62434</v>
      </c>
    </row>
    <row r="2287" spans="1:17" ht="57.6" x14ac:dyDescent="0.3">
      <c r="A2287" s="22" t="s">
        <v>7839</v>
      </c>
      <c r="B2287" s="22" t="s">
        <v>7780</v>
      </c>
      <c r="C2287" s="22" t="s">
        <v>7716</v>
      </c>
      <c r="D2287" s="22" t="s">
        <v>7710</v>
      </c>
      <c r="E2287" s="22" t="s">
        <v>3228</v>
      </c>
      <c r="F2287" s="24" t="s">
        <v>3229</v>
      </c>
      <c r="G2287" s="26" t="s">
        <v>3039</v>
      </c>
      <c r="H2287" s="22"/>
      <c r="I2287" s="22" t="s">
        <v>172</v>
      </c>
      <c r="J2287" s="22"/>
      <c r="K2287" s="24" t="s">
        <v>7946</v>
      </c>
      <c r="L2287" s="24"/>
      <c r="M2287" s="25" t="s">
        <v>3230</v>
      </c>
      <c r="N2287" s="22"/>
      <c r="O2287" s="22" t="s">
        <v>3231</v>
      </c>
      <c r="P2287" s="22" t="str">
        <f>HYPERLINK("https://ceds.ed.gov/cedselementdetails.aspx?termid=22905")</f>
        <v>https://ceds.ed.gov/cedselementdetails.aspx?termid=22905</v>
      </c>
      <c r="Q2287" s="22">
        <v>63389</v>
      </c>
    </row>
    <row r="2288" spans="1:17" ht="72" x14ac:dyDescent="0.3">
      <c r="A2288" s="22" t="s">
        <v>7839</v>
      </c>
      <c r="B2288" s="22" t="s">
        <v>7780</v>
      </c>
      <c r="C2288" s="22" t="s">
        <v>7718</v>
      </c>
      <c r="D2288" s="22" t="s">
        <v>7710</v>
      </c>
      <c r="E2288" s="22" t="s">
        <v>3461</v>
      </c>
      <c r="F2288" s="24" t="s">
        <v>3462</v>
      </c>
      <c r="G2288" s="23" t="s">
        <v>32</v>
      </c>
      <c r="H2288" s="24" t="s">
        <v>64</v>
      </c>
      <c r="I2288" s="22" t="s">
        <v>172</v>
      </c>
      <c r="J2288" s="22" t="s">
        <v>3463</v>
      </c>
      <c r="K2288" s="24" t="s">
        <v>7946</v>
      </c>
      <c r="L2288" s="24"/>
      <c r="M2288" s="25" t="s">
        <v>3464</v>
      </c>
      <c r="N2288" s="22" t="s">
        <v>3465</v>
      </c>
      <c r="O2288" s="22" t="s">
        <v>3466</v>
      </c>
      <c r="P2288" s="22" t="str">
        <f>HYPERLINK("https://ceds.ed.gov/cedselementdetails.aspx?termid=21088")</f>
        <v>https://ceds.ed.gov/cedselementdetails.aspx?termid=21088</v>
      </c>
      <c r="Q2288" s="22">
        <v>62436</v>
      </c>
    </row>
    <row r="2289" spans="1:17" ht="72" x14ac:dyDescent="0.3">
      <c r="A2289" s="22" t="s">
        <v>7839</v>
      </c>
      <c r="B2289" s="22" t="s">
        <v>7780</v>
      </c>
      <c r="C2289" s="22" t="s">
        <v>7718</v>
      </c>
      <c r="D2289" s="22" t="s">
        <v>7710</v>
      </c>
      <c r="E2289" s="22" t="s">
        <v>3467</v>
      </c>
      <c r="F2289" s="24" t="s">
        <v>3468</v>
      </c>
      <c r="G2289" s="26" t="s">
        <v>8430</v>
      </c>
      <c r="H2289" s="24" t="s">
        <v>64</v>
      </c>
      <c r="I2289" s="22" t="s">
        <v>172</v>
      </c>
      <c r="J2289" s="22"/>
      <c r="K2289" s="24" t="s">
        <v>7946</v>
      </c>
      <c r="L2289" s="24"/>
      <c r="M2289" s="25" t="s">
        <v>3469</v>
      </c>
      <c r="N2289" s="22" t="s">
        <v>3470</v>
      </c>
      <c r="O2289" s="22" t="s">
        <v>3471</v>
      </c>
      <c r="P2289" s="22" t="str">
        <f>HYPERLINK("https://ceds.ed.gov/cedselementdetails.aspx?termid=21089")</f>
        <v>https://ceds.ed.gov/cedselementdetails.aspx?termid=21089</v>
      </c>
      <c r="Q2289" s="22">
        <v>62437</v>
      </c>
    </row>
    <row r="2290" spans="1:17" ht="57.6" x14ac:dyDescent="0.3">
      <c r="A2290" s="22" t="s">
        <v>7839</v>
      </c>
      <c r="B2290" s="22" t="s">
        <v>7780</v>
      </c>
      <c r="C2290" s="22" t="s">
        <v>7718</v>
      </c>
      <c r="D2290" s="22" t="s">
        <v>7710</v>
      </c>
      <c r="E2290" s="22" t="s">
        <v>3228</v>
      </c>
      <c r="F2290" s="24" t="s">
        <v>3229</v>
      </c>
      <c r="G2290" s="26" t="s">
        <v>3039</v>
      </c>
      <c r="H2290" s="22"/>
      <c r="I2290" s="22" t="s">
        <v>172</v>
      </c>
      <c r="J2290" s="22"/>
      <c r="K2290" s="24" t="s">
        <v>7946</v>
      </c>
      <c r="L2290" s="24"/>
      <c r="M2290" s="25" t="s">
        <v>3230</v>
      </c>
      <c r="N2290" s="22"/>
      <c r="O2290" s="22" t="s">
        <v>3231</v>
      </c>
      <c r="P2290" s="22" t="str">
        <f>HYPERLINK("https://ceds.ed.gov/cedselementdetails.aspx?termid=22905")</f>
        <v>https://ceds.ed.gov/cedselementdetails.aspx?termid=22905</v>
      </c>
      <c r="Q2290" s="22">
        <v>63390</v>
      </c>
    </row>
    <row r="2291" spans="1:17" ht="72" x14ac:dyDescent="0.3">
      <c r="A2291" s="22" t="s">
        <v>7839</v>
      </c>
      <c r="B2291" s="22" t="s">
        <v>7780</v>
      </c>
      <c r="C2291" s="22" t="s">
        <v>7717</v>
      </c>
      <c r="D2291" s="22" t="s">
        <v>7710</v>
      </c>
      <c r="E2291" s="22" t="s">
        <v>7159</v>
      </c>
      <c r="F2291" s="24" t="s">
        <v>7160</v>
      </c>
      <c r="G2291" s="23" t="s">
        <v>32</v>
      </c>
      <c r="H2291" s="24" t="s">
        <v>64</v>
      </c>
      <c r="I2291" s="22"/>
      <c r="J2291" s="22" t="s">
        <v>7161</v>
      </c>
      <c r="K2291" s="24"/>
      <c r="L2291" s="24"/>
      <c r="M2291" s="25" t="s">
        <v>7162</v>
      </c>
      <c r="N2291" s="22"/>
      <c r="O2291" s="22" t="s">
        <v>7163</v>
      </c>
      <c r="P2291" s="22" t="str">
        <f>HYPERLINK("https://ceds.ed.gov/cedselementdetails.aspx?termid=21279")</f>
        <v>https://ceds.ed.gov/cedselementdetails.aspx?termid=21279</v>
      </c>
      <c r="Q2291" s="22">
        <v>62438</v>
      </c>
    </row>
    <row r="2292" spans="1:17" ht="86.4" x14ac:dyDescent="0.3">
      <c r="A2292" s="22" t="s">
        <v>7839</v>
      </c>
      <c r="B2292" s="22" t="s">
        <v>7780</v>
      </c>
      <c r="C2292" s="22" t="s">
        <v>7717</v>
      </c>
      <c r="D2292" s="22" t="s">
        <v>7710</v>
      </c>
      <c r="E2292" s="22" t="s">
        <v>7168</v>
      </c>
      <c r="F2292" s="24" t="s">
        <v>7169</v>
      </c>
      <c r="G2292" s="26" t="s">
        <v>9168</v>
      </c>
      <c r="H2292" s="24" t="s">
        <v>64</v>
      </c>
      <c r="I2292" s="22"/>
      <c r="J2292" s="22" t="s">
        <v>2543</v>
      </c>
      <c r="K2292" s="24"/>
      <c r="L2292" s="24"/>
      <c r="M2292" s="25" t="s">
        <v>7170</v>
      </c>
      <c r="N2292" s="22"/>
      <c r="O2292" s="22" t="s">
        <v>7171</v>
      </c>
      <c r="P2292" s="22" t="str">
        <f>HYPERLINK("https://ceds.ed.gov/cedselementdetails.aspx?termid=21280")</f>
        <v>https://ceds.ed.gov/cedselementdetails.aspx?termid=21280</v>
      </c>
      <c r="Q2292" s="22">
        <v>62439</v>
      </c>
    </row>
    <row r="2293" spans="1:17" ht="72" x14ac:dyDescent="0.3">
      <c r="A2293" s="22" t="s">
        <v>7839</v>
      </c>
      <c r="B2293" s="22" t="s">
        <v>7780</v>
      </c>
      <c r="C2293" s="22" t="s">
        <v>7717</v>
      </c>
      <c r="D2293" s="22" t="s">
        <v>7710</v>
      </c>
      <c r="E2293" s="22" t="s">
        <v>5965</v>
      </c>
      <c r="F2293" s="24" t="s">
        <v>5966</v>
      </c>
      <c r="G2293" s="26" t="s">
        <v>22</v>
      </c>
      <c r="H2293" s="24" t="s">
        <v>64</v>
      </c>
      <c r="I2293" s="22"/>
      <c r="J2293" s="22"/>
      <c r="K2293" s="24"/>
      <c r="L2293" s="24"/>
      <c r="M2293" s="25" t="s">
        <v>5967</v>
      </c>
      <c r="N2293" s="22"/>
      <c r="O2293" s="22" t="s">
        <v>5968</v>
      </c>
      <c r="P2293" s="22" t="str">
        <f>HYPERLINK("https://ceds.ed.gov/cedselementdetails.aspx?termid=21219")</f>
        <v>https://ceds.ed.gov/cedselementdetails.aspx?termid=21219</v>
      </c>
      <c r="Q2293" s="22">
        <v>62440</v>
      </c>
    </row>
    <row r="2294" spans="1:17" ht="57.6" x14ac:dyDescent="0.3">
      <c r="A2294" s="22" t="s">
        <v>7839</v>
      </c>
      <c r="B2294" s="22" t="s">
        <v>7780</v>
      </c>
      <c r="C2294" s="22" t="s">
        <v>7717</v>
      </c>
      <c r="D2294" s="22" t="s">
        <v>7710</v>
      </c>
      <c r="E2294" s="22" t="s">
        <v>3228</v>
      </c>
      <c r="F2294" s="24" t="s">
        <v>3229</v>
      </c>
      <c r="G2294" s="26" t="s">
        <v>3039</v>
      </c>
      <c r="H2294" s="22"/>
      <c r="I2294" s="22" t="s">
        <v>172</v>
      </c>
      <c r="J2294" s="22"/>
      <c r="K2294" s="24" t="s">
        <v>7946</v>
      </c>
      <c r="L2294" s="24"/>
      <c r="M2294" s="25" t="s">
        <v>3230</v>
      </c>
      <c r="N2294" s="22"/>
      <c r="O2294" s="22" t="s">
        <v>3231</v>
      </c>
      <c r="P2294" s="22" t="str">
        <f>HYPERLINK("https://ceds.ed.gov/cedselementdetails.aspx?termid=22905")</f>
        <v>https://ceds.ed.gov/cedselementdetails.aspx?termid=22905</v>
      </c>
      <c r="Q2294" s="22">
        <v>63391</v>
      </c>
    </row>
    <row r="2295" spans="1:17" ht="57.6" x14ac:dyDescent="0.3">
      <c r="A2295" s="22" t="s">
        <v>7839</v>
      </c>
      <c r="B2295" s="22" t="s">
        <v>7780</v>
      </c>
      <c r="C2295" s="22" t="s">
        <v>7717</v>
      </c>
      <c r="D2295" s="22" t="s">
        <v>7710</v>
      </c>
      <c r="E2295" s="22" t="s">
        <v>7164</v>
      </c>
      <c r="F2295" s="24" t="s">
        <v>7165</v>
      </c>
      <c r="G2295" s="26" t="s">
        <v>9167</v>
      </c>
      <c r="H2295" s="22"/>
      <c r="I2295" s="22"/>
      <c r="J2295" s="22"/>
      <c r="K2295" s="24"/>
      <c r="L2295" s="24"/>
      <c r="M2295" s="25" t="s">
        <v>7166</v>
      </c>
      <c r="N2295" s="22"/>
      <c r="O2295" s="22" t="s">
        <v>7167</v>
      </c>
      <c r="P2295" s="22" t="str">
        <f>HYPERLINK("https://ceds.ed.gov/cedselementdetails.aspx?termid=22911")</f>
        <v>https://ceds.ed.gov/cedselementdetails.aspx?termid=22911</v>
      </c>
      <c r="Q2295" s="22">
        <v>63392</v>
      </c>
    </row>
    <row r="2296" spans="1:17" ht="28.8" x14ac:dyDescent="0.3">
      <c r="A2296" s="22" t="s">
        <v>7839</v>
      </c>
      <c r="B2296" s="22" t="s">
        <v>7780</v>
      </c>
      <c r="C2296" s="22" t="s">
        <v>7719</v>
      </c>
      <c r="D2296" s="22" t="s">
        <v>7710</v>
      </c>
      <c r="E2296" s="22" t="s">
        <v>5728</v>
      </c>
      <c r="F2296" s="24" t="s">
        <v>5729</v>
      </c>
      <c r="G2296" s="23" t="s">
        <v>32</v>
      </c>
      <c r="H2296" s="22"/>
      <c r="I2296" s="22"/>
      <c r="J2296" s="22" t="s">
        <v>1301</v>
      </c>
      <c r="K2296" s="24"/>
      <c r="L2296" s="24" t="s">
        <v>5730</v>
      </c>
      <c r="M2296" s="25" t="s">
        <v>5731</v>
      </c>
      <c r="N2296" s="22"/>
      <c r="O2296" s="22" t="s">
        <v>5732</v>
      </c>
      <c r="P2296" s="22" t="str">
        <f>HYPERLINK("https://ceds.ed.gov/cedselementdetails.aspx?termid=22486")</f>
        <v>https://ceds.ed.gov/cedselementdetails.aspx?termid=22486</v>
      </c>
      <c r="Q2296" s="22">
        <v>62444</v>
      </c>
    </row>
    <row r="2297" spans="1:17" ht="28.8" x14ac:dyDescent="0.3">
      <c r="A2297" s="22" t="s">
        <v>7839</v>
      </c>
      <c r="B2297" s="22" t="s">
        <v>7780</v>
      </c>
      <c r="C2297" s="22" t="s">
        <v>7719</v>
      </c>
      <c r="D2297" s="22" t="s">
        <v>7710</v>
      </c>
      <c r="E2297" s="22" t="s">
        <v>5733</v>
      </c>
      <c r="F2297" s="24" t="s">
        <v>5734</v>
      </c>
      <c r="G2297" s="23" t="s">
        <v>32</v>
      </c>
      <c r="H2297" s="22"/>
      <c r="I2297" s="22"/>
      <c r="J2297" s="22" t="s">
        <v>1301</v>
      </c>
      <c r="K2297" s="24"/>
      <c r="L2297" s="24" t="s">
        <v>5735</v>
      </c>
      <c r="M2297" s="25" t="s">
        <v>5736</v>
      </c>
      <c r="N2297" s="22"/>
      <c r="O2297" s="22" t="s">
        <v>5737</v>
      </c>
      <c r="P2297" s="22" t="str">
        <f>HYPERLINK("https://ceds.ed.gov/cedselementdetails.aspx?termid=22485")</f>
        <v>https://ceds.ed.gov/cedselementdetails.aspx?termid=22485</v>
      </c>
      <c r="Q2297" s="22">
        <v>62443</v>
      </c>
    </row>
    <row r="2298" spans="1:17" ht="28.8" x14ac:dyDescent="0.3">
      <c r="A2298" s="22" t="s">
        <v>7839</v>
      </c>
      <c r="B2298" s="22" t="s">
        <v>7780</v>
      </c>
      <c r="C2298" s="22" t="s">
        <v>7719</v>
      </c>
      <c r="D2298" s="22" t="s">
        <v>7710</v>
      </c>
      <c r="E2298" s="22" t="s">
        <v>5738</v>
      </c>
      <c r="F2298" s="24" t="s">
        <v>5739</v>
      </c>
      <c r="G2298" s="23" t="s">
        <v>32</v>
      </c>
      <c r="H2298" s="22"/>
      <c r="I2298" s="22"/>
      <c r="J2298" s="22" t="s">
        <v>1301</v>
      </c>
      <c r="K2298" s="24"/>
      <c r="L2298" s="24" t="s">
        <v>5740</v>
      </c>
      <c r="M2298" s="25" t="s">
        <v>5741</v>
      </c>
      <c r="N2298" s="22"/>
      <c r="O2298" s="22" t="s">
        <v>5742</v>
      </c>
      <c r="P2298" s="22" t="str">
        <f>HYPERLINK("https://ceds.ed.gov/cedselementdetails.aspx?termid=22487")</f>
        <v>https://ceds.ed.gov/cedselementdetails.aspx?termid=22487</v>
      </c>
      <c r="Q2298" s="22">
        <v>62445</v>
      </c>
    </row>
    <row r="2299" spans="1:17" ht="129.6" x14ac:dyDescent="0.3">
      <c r="A2299" s="22" t="s">
        <v>7839</v>
      </c>
      <c r="B2299" s="22" t="s">
        <v>7780</v>
      </c>
      <c r="C2299" s="22" t="s">
        <v>7719</v>
      </c>
      <c r="D2299" s="22" t="s">
        <v>7710</v>
      </c>
      <c r="E2299" s="22" t="s">
        <v>5743</v>
      </c>
      <c r="F2299" s="24" t="s">
        <v>5744</v>
      </c>
      <c r="G2299" s="23" t="s">
        <v>32</v>
      </c>
      <c r="H2299" s="24" t="s">
        <v>4119</v>
      </c>
      <c r="I2299" s="22"/>
      <c r="J2299" s="22" t="s">
        <v>132</v>
      </c>
      <c r="K2299" s="24"/>
      <c r="L2299" s="24"/>
      <c r="M2299" s="25" t="s">
        <v>5745</v>
      </c>
      <c r="N2299" s="22"/>
      <c r="O2299" s="22" t="s">
        <v>5746</v>
      </c>
      <c r="P2299" s="22" t="str">
        <f>HYPERLINK("https://ceds.ed.gov/cedselementdetails.aspx?termid=21206")</f>
        <v>https://ceds.ed.gov/cedselementdetails.aspx?termid=21206</v>
      </c>
      <c r="Q2299" s="22">
        <v>62441</v>
      </c>
    </row>
    <row r="2300" spans="1:17" ht="115.2" x14ac:dyDescent="0.3">
      <c r="A2300" s="22" t="s">
        <v>7839</v>
      </c>
      <c r="B2300" s="22" t="s">
        <v>7780</v>
      </c>
      <c r="C2300" s="22" t="s">
        <v>7719</v>
      </c>
      <c r="D2300" s="22" t="s">
        <v>7710</v>
      </c>
      <c r="E2300" s="22" t="s">
        <v>5747</v>
      </c>
      <c r="F2300" s="24" t="s">
        <v>5748</v>
      </c>
      <c r="G2300" s="26" t="s">
        <v>9055</v>
      </c>
      <c r="H2300" s="24" t="s">
        <v>5751</v>
      </c>
      <c r="I2300" s="22"/>
      <c r="J2300" s="22" t="s">
        <v>85</v>
      </c>
      <c r="K2300" s="24"/>
      <c r="L2300" s="24"/>
      <c r="M2300" s="25" t="s">
        <v>5749</v>
      </c>
      <c r="N2300" s="22"/>
      <c r="O2300" s="22" t="s">
        <v>5750</v>
      </c>
      <c r="P2300" s="22" t="str">
        <f>HYPERLINK("https://ceds.ed.gov/cedselementdetails.aspx?termid=21627")</f>
        <v>https://ceds.ed.gov/cedselementdetails.aspx?termid=21627</v>
      </c>
      <c r="Q2300" s="22">
        <v>62442</v>
      </c>
    </row>
    <row r="2301" spans="1:17" ht="409.6" x14ac:dyDescent="0.3">
      <c r="A2301" s="22" t="s">
        <v>7839</v>
      </c>
      <c r="B2301" s="22" t="s">
        <v>7780</v>
      </c>
      <c r="C2301" s="22" t="s">
        <v>7720</v>
      </c>
      <c r="D2301" s="22" t="s">
        <v>7710</v>
      </c>
      <c r="E2301" s="22" t="s">
        <v>4097</v>
      </c>
      <c r="F2301" s="24" t="s">
        <v>4098</v>
      </c>
      <c r="G2301" s="26" t="s">
        <v>8904</v>
      </c>
      <c r="H2301" s="24" t="s">
        <v>3452</v>
      </c>
      <c r="I2301" s="22"/>
      <c r="J2301" s="22"/>
      <c r="K2301" s="24"/>
      <c r="L2301" s="24"/>
      <c r="M2301" s="25" t="s">
        <v>4099</v>
      </c>
      <c r="N2301" s="22"/>
      <c r="O2301" s="22" t="s">
        <v>4100</v>
      </c>
      <c r="P2301" s="22" t="str">
        <f>HYPERLINK("https://ceds.ed.gov/cedselementdetails.aspx?termid=21866")</f>
        <v>https://ceds.ed.gov/cedselementdetails.aspx?termid=21866</v>
      </c>
      <c r="Q2301" s="22">
        <v>63393</v>
      </c>
    </row>
    <row r="2302" spans="1:17" ht="409.6" x14ac:dyDescent="0.3">
      <c r="A2302" s="22" t="s">
        <v>7839</v>
      </c>
      <c r="B2302" s="22" t="s">
        <v>7780</v>
      </c>
      <c r="C2302" s="22" t="s">
        <v>7720</v>
      </c>
      <c r="D2302" s="22" t="s">
        <v>7710</v>
      </c>
      <c r="E2302" s="22" t="s">
        <v>5777</v>
      </c>
      <c r="F2302" s="24" t="s">
        <v>5778</v>
      </c>
      <c r="G2302" s="26" t="s">
        <v>8904</v>
      </c>
      <c r="H2302" s="24" t="s">
        <v>3452</v>
      </c>
      <c r="I2302" s="22"/>
      <c r="J2302" s="22"/>
      <c r="K2302" s="24"/>
      <c r="L2302" s="24"/>
      <c r="M2302" s="25" t="s">
        <v>5779</v>
      </c>
      <c r="N2302" s="22"/>
      <c r="O2302" s="22" t="s">
        <v>5780</v>
      </c>
      <c r="P2302" s="22" t="str">
        <f>HYPERLINK("https://ceds.ed.gov/cedselementdetails.aspx?termid=21867")</f>
        <v>https://ceds.ed.gov/cedselementdetails.aspx?termid=21867</v>
      </c>
      <c r="Q2302" s="22">
        <v>63394</v>
      </c>
    </row>
    <row r="2303" spans="1:17" ht="115.2" x14ac:dyDescent="0.3">
      <c r="A2303" s="22" t="s">
        <v>7839</v>
      </c>
      <c r="B2303" s="22" t="s">
        <v>7780</v>
      </c>
      <c r="C2303" s="22" t="s">
        <v>7720</v>
      </c>
      <c r="D2303" s="22" t="s">
        <v>7710</v>
      </c>
      <c r="E2303" s="22" t="s">
        <v>6806</v>
      </c>
      <c r="F2303" s="24" t="s">
        <v>6807</v>
      </c>
      <c r="G2303" s="26" t="s">
        <v>9145</v>
      </c>
      <c r="H2303" s="22" t="s">
        <v>109</v>
      </c>
      <c r="I2303" s="22"/>
      <c r="J2303" s="22"/>
      <c r="K2303" s="24"/>
      <c r="L2303" s="24"/>
      <c r="M2303" s="25" t="s">
        <v>6808</v>
      </c>
      <c r="N2303" s="22"/>
      <c r="O2303" s="22" t="s">
        <v>6809</v>
      </c>
      <c r="P2303" s="22" t="str">
        <f>HYPERLINK("https://ceds.ed.gov/cedselementdetails.aspx?termid=21852")</f>
        <v>https://ceds.ed.gov/cedselementdetails.aspx?termid=21852</v>
      </c>
      <c r="Q2303" s="22">
        <v>63582</v>
      </c>
    </row>
    <row r="2304" spans="1:17" ht="28.8" x14ac:dyDescent="0.3">
      <c r="A2304" s="22" t="s">
        <v>7839</v>
      </c>
      <c r="B2304" s="22" t="s">
        <v>7780</v>
      </c>
      <c r="C2304" s="22" t="s">
        <v>7840</v>
      </c>
      <c r="D2304" s="22" t="s">
        <v>7710</v>
      </c>
      <c r="E2304" s="22" t="s">
        <v>110</v>
      </c>
      <c r="F2304" s="24" t="s">
        <v>111</v>
      </c>
      <c r="G2304" s="23" t="s">
        <v>32</v>
      </c>
      <c r="H2304" s="22"/>
      <c r="I2304" s="22"/>
      <c r="J2304" s="22" t="s">
        <v>113</v>
      </c>
      <c r="K2304" s="24"/>
      <c r="L2304" s="24"/>
      <c r="M2304" s="25" t="s">
        <v>114</v>
      </c>
      <c r="N2304" s="22"/>
      <c r="O2304" s="22" t="s">
        <v>115</v>
      </c>
      <c r="P2304" s="22" t="str">
        <f>HYPERLINK("https://ceds.ed.gov/cedselementdetails.aspx?termid=22500")</f>
        <v>https://ceds.ed.gov/cedselementdetails.aspx?termid=22500</v>
      </c>
      <c r="Q2304" s="22">
        <v>63580</v>
      </c>
    </row>
    <row r="2305" spans="1:17" ht="43.2" x14ac:dyDescent="0.3">
      <c r="A2305" s="22" t="s">
        <v>7839</v>
      </c>
      <c r="B2305" s="22" t="s">
        <v>7780</v>
      </c>
      <c r="C2305" s="22" t="s">
        <v>7840</v>
      </c>
      <c r="D2305" s="22" t="s">
        <v>7710</v>
      </c>
      <c r="E2305" s="22" t="s">
        <v>5711</v>
      </c>
      <c r="F2305" s="24" t="s">
        <v>5712</v>
      </c>
      <c r="G2305" s="23" t="s">
        <v>32</v>
      </c>
      <c r="H2305" s="22"/>
      <c r="I2305" s="22"/>
      <c r="J2305" s="22" t="s">
        <v>118</v>
      </c>
      <c r="K2305" s="24"/>
      <c r="L2305" s="24"/>
      <c r="M2305" s="25" t="s">
        <v>5713</v>
      </c>
      <c r="N2305" s="22"/>
      <c r="O2305" s="22" t="s">
        <v>5714</v>
      </c>
      <c r="P2305" s="22" t="str">
        <f>HYPERLINK("https://ceds.ed.gov/cedselementdetails.aspx?termid=22388")</f>
        <v>https://ceds.ed.gov/cedselementdetails.aspx?termid=22388</v>
      </c>
      <c r="Q2305" s="22">
        <v>63581</v>
      </c>
    </row>
    <row r="2306" spans="1:17" ht="43.2" x14ac:dyDescent="0.3">
      <c r="A2306" s="22" t="s">
        <v>7839</v>
      </c>
      <c r="B2306" s="22" t="s">
        <v>7841</v>
      </c>
      <c r="C2306" s="22"/>
      <c r="D2306" s="22" t="s">
        <v>7710</v>
      </c>
      <c r="E2306" s="22" t="s">
        <v>5687</v>
      </c>
      <c r="F2306" s="24" t="s">
        <v>5688</v>
      </c>
      <c r="G2306" s="23" t="s">
        <v>32</v>
      </c>
      <c r="H2306" s="22"/>
      <c r="I2306" s="22"/>
      <c r="J2306" s="22" t="s">
        <v>50</v>
      </c>
      <c r="K2306" s="24"/>
      <c r="L2306" s="24"/>
      <c r="M2306" s="25" t="s">
        <v>5689</v>
      </c>
      <c r="N2306" s="22"/>
      <c r="O2306" s="22" t="s">
        <v>5690</v>
      </c>
      <c r="P2306" s="22" t="str">
        <f>HYPERLINK("https://ceds.ed.gov/cedselementdetails.aspx?termid=22644")</f>
        <v>https://ceds.ed.gov/cedselementdetails.aspx?termid=22644</v>
      </c>
      <c r="Q2306" s="22">
        <v>62979</v>
      </c>
    </row>
    <row r="2307" spans="1:17" ht="28.8" x14ac:dyDescent="0.3">
      <c r="A2307" s="22" t="s">
        <v>7839</v>
      </c>
      <c r="B2307" s="22" t="s">
        <v>7841</v>
      </c>
      <c r="C2307" s="22"/>
      <c r="D2307" s="22" t="s">
        <v>7710</v>
      </c>
      <c r="E2307" s="22" t="s">
        <v>5703</v>
      </c>
      <c r="F2307" s="24" t="s">
        <v>5704</v>
      </c>
      <c r="G2307" s="23" t="s">
        <v>32</v>
      </c>
      <c r="H2307" s="22"/>
      <c r="I2307" s="22"/>
      <c r="J2307" s="22" t="s">
        <v>2856</v>
      </c>
      <c r="K2307" s="24"/>
      <c r="L2307" s="24"/>
      <c r="M2307" s="25" t="s">
        <v>5705</v>
      </c>
      <c r="N2307" s="22"/>
      <c r="O2307" s="22" t="s">
        <v>5706</v>
      </c>
      <c r="P2307" s="22" t="str">
        <f>HYPERLINK("https://ceds.ed.gov/cedselementdetails.aspx?termid=22731")</f>
        <v>https://ceds.ed.gov/cedselementdetails.aspx?termid=22731</v>
      </c>
      <c r="Q2307" s="22">
        <v>62986</v>
      </c>
    </row>
    <row r="2308" spans="1:17" ht="72" x14ac:dyDescent="0.3">
      <c r="A2308" s="22" t="s">
        <v>7839</v>
      </c>
      <c r="B2308" s="22" t="s">
        <v>7841</v>
      </c>
      <c r="C2308" s="22" t="s">
        <v>7712</v>
      </c>
      <c r="D2308" s="22" t="s">
        <v>7710</v>
      </c>
      <c r="E2308" s="22" t="s">
        <v>199</v>
      </c>
      <c r="F2308" s="24" t="s">
        <v>200</v>
      </c>
      <c r="G2308" s="26" t="s">
        <v>8394</v>
      </c>
      <c r="H2308" s="24" t="s">
        <v>64</v>
      </c>
      <c r="I2308" s="22" t="s">
        <v>172</v>
      </c>
      <c r="J2308" s="22" t="s">
        <v>85</v>
      </c>
      <c r="K2308" s="24" t="s">
        <v>7946</v>
      </c>
      <c r="L2308" s="24"/>
      <c r="M2308" s="25" t="s">
        <v>201</v>
      </c>
      <c r="N2308" s="22"/>
      <c r="O2308" s="22" t="s">
        <v>202</v>
      </c>
      <c r="P2308" s="22" t="str">
        <f>HYPERLINK("https://ceds.ed.gov/cedselementdetails.aspx?termid=21644")</f>
        <v>https://ceds.ed.gov/cedselementdetails.aspx?termid=21644</v>
      </c>
      <c r="Q2308" s="22">
        <v>60190</v>
      </c>
    </row>
    <row r="2309" spans="1:17" ht="187.2" x14ac:dyDescent="0.3">
      <c r="A2309" s="22" t="s">
        <v>7839</v>
      </c>
      <c r="B2309" s="22" t="s">
        <v>7841</v>
      </c>
      <c r="C2309" s="22" t="s">
        <v>7712</v>
      </c>
      <c r="D2309" s="22" t="s">
        <v>7710</v>
      </c>
      <c r="E2309" s="22" t="s">
        <v>189</v>
      </c>
      <c r="F2309" s="24" t="s">
        <v>190</v>
      </c>
      <c r="G2309" s="23" t="s">
        <v>32</v>
      </c>
      <c r="H2309" s="24" t="s">
        <v>175</v>
      </c>
      <c r="I2309" s="22" t="s">
        <v>172</v>
      </c>
      <c r="J2309" s="22" t="s">
        <v>191</v>
      </c>
      <c r="K2309" s="24" t="s">
        <v>7946</v>
      </c>
      <c r="L2309" s="24"/>
      <c r="M2309" s="25" t="s">
        <v>192</v>
      </c>
      <c r="N2309" s="22"/>
      <c r="O2309" s="22" t="s">
        <v>193</v>
      </c>
      <c r="P2309" s="22" t="str">
        <f>HYPERLINK("https://ceds.ed.gov/cedselementdetails.aspx?termid=21269")</f>
        <v>https://ceds.ed.gov/cedselementdetails.aspx?termid=21269</v>
      </c>
      <c r="Q2309" s="22">
        <v>60191</v>
      </c>
    </row>
    <row r="2310" spans="1:17" ht="187.2" x14ac:dyDescent="0.3">
      <c r="A2310" s="22" t="s">
        <v>7839</v>
      </c>
      <c r="B2310" s="22" t="s">
        <v>7841</v>
      </c>
      <c r="C2310" s="22" t="s">
        <v>7712</v>
      </c>
      <c r="D2310" s="22" t="s">
        <v>7710</v>
      </c>
      <c r="E2310" s="22" t="s">
        <v>170</v>
      </c>
      <c r="F2310" s="24" t="s">
        <v>171</v>
      </c>
      <c r="G2310" s="23" t="s">
        <v>32</v>
      </c>
      <c r="H2310" s="24" t="s">
        <v>175</v>
      </c>
      <c r="I2310" s="22" t="s">
        <v>172</v>
      </c>
      <c r="J2310" s="22" t="s">
        <v>157</v>
      </c>
      <c r="K2310" s="24" t="s">
        <v>7946</v>
      </c>
      <c r="L2310" s="24"/>
      <c r="M2310" s="25" t="s">
        <v>173</v>
      </c>
      <c r="N2310" s="22"/>
      <c r="O2310" s="22" t="s">
        <v>174</v>
      </c>
      <c r="P2310" s="22" t="str">
        <f>HYPERLINK("https://ceds.ed.gov/cedselementdetails.aspx?termid=21019")</f>
        <v>https://ceds.ed.gov/cedselementdetails.aspx?termid=21019</v>
      </c>
      <c r="Q2310" s="22">
        <v>60205</v>
      </c>
    </row>
    <row r="2311" spans="1:17" ht="187.2" x14ac:dyDescent="0.3">
      <c r="A2311" s="22" t="s">
        <v>7839</v>
      </c>
      <c r="B2311" s="22" t="s">
        <v>7841</v>
      </c>
      <c r="C2311" s="22" t="s">
        <v>7712</v>
      </c>
      <c r="D2311" s="22" t="s">
        <v>7710</v>
      </c>
      <c r="E2311" s="22" t="s">
        <v>176</v>
      </c>
      <c r="F2311" s="24" t="s">
        <v>177</v>
      </c>
      <c r="G2311" s="23" t="s">
        <v>32</v>
      </c>
      <c r="H2311" s="24" t="s">
        <v>175</v>
      </c>
      <c r="I2311" s="22" t="s">
        <v>172</v>
      </c>
      <c r="J2311" s="22" t="s">
        <v>85</v>
      </c>
      <c r="K2311" s="24" t="s">
        <v>7946</v>
      </c>
      <c r="L2311" s="24"/>
      <c r="M2311" s="25" t="s">
        <v>178</v>
      </c>
      <c r="N2311" s="22"/>
      <c r="O2311" s="22" t="s">
        <v>179</v>
      </c>
      <c r="P2311" s="22" t="str">
        <f>HYPERLINK("https://ceds.ed.gov/cedselementdetails.aspx?termid=21040")</f>
        <v>https://ceds.ed.gov/cedselementdetails.aspx?termid=21040</v>
      </c>
      <c r="Q2311" s="22">
        <v>60206</v>
      </c>
    </row>
    <row r="2312" spans="1:17" ht="409.6" x14ac:dyDescent="0.3">
      <c r="A2312" s="22" t="s">
        <v>7839</v>
      </c>
      <c r="B2312" s="22" t="s">
        <v>7841</v>
      </c>
      <c r="C2312" s="22" t="s">
        <v>7712</v>
      </c>
      <c r="D2312" s="22" t="s">
        <v>7710</v>
      </c>
      <c r="E2312" s="22" t="s">
        <v>6941</v>
      </c>
      <c r="F2312" s="24" t="s">
        <v>6942</v>
      </c>
      <c r="G2312" s="26" t="s">
        <v>8533</v>
      </c>
      <c r="H2312" s="24" t="s">
        <v>6945</v>
      </c>
      <c r="I2312" s="22" t="s">
        <v>172</v>
      </c>
      <c r="J2312" s="22"/>
      <c r="K2312" s="24" t="s">
        <v>8327</v>
      </c>
      <c r="L2312" s="24"/>
      <c r="M2312" s="25" t="s">
        <v>6943</v>
      </c>
      <c r="N2312" s="22"/>
      <c r="O2312" s="22" t="s">
        <v>6944</v>
      </c>
      <c r="P2312" s="22" t="str">
        <f>HYPERLINK("https://ceds.ed.gov/cedselementdetails.aspx?termid=21267")</f>
        <v>https://ceds.ed.gov/cedselementdetails.aspx?termid=21267</v>
      </c>
      <c r="Q2312" s="22">
        <v>60207</v>
      </c>
    </row>
    <row r="2313" spans="1:17" ht="187.2" x14ac:dyDescent="0.3">
      <c r="A2313" s="22" t="s">
        <v>7839</v>
      </c>
      <c r="B2313" s="22" t="s">
        <v>7841</v>
      </c>
      <c r="C2313" s="22" t="s">
        <v>7712</v>
      </c>
      <c r="D2313" s="22" t="s">
        <v>7710</v>
      </c>
      <c r="E2313" s="22" t="s">
        <v>184</v>
      </c>
      <c r="F2313" s="24" t="s">
        <v>185</v>
      </c>
      <c r="G2313" s="23" t="s">
        <v>32</v>
      </c>
      <c r="H2313" s="24" t="s">
        <v>175</v>
      </c>
      <c r="I2313" s="22" t="s">
        <v>172</v>
      </c>
      <c r="J2313" s="22" t="s">
        <v>186</v>
      </c>
      <c r="K2313" s="24" t="s">
        <v>7946</v>
      </c>
      <c r="L2313" s="24"/>
      <c r="M2313" s="25" t="s">
        <v>187</v>
      </c>
      <c r="N2313" s="22"/>
      <c r="O2313" s="22" t="s">
        <v>188</v>
      </c>
      <c r="P2313" s="22" t="str">
        <f>HYPERLINK("https://ceds.ed.gov/cedselementdetails.aspx?termid=21214")</f>
        <v>https://ceds.ed.gov/cedselementdetails.aspx?termid=21214</v>
      </c>
      <c r="Q2313" s="22">
        <v>60208</v>
      </c>
    </row>
    <row r="2314" spans="1:17" ht="187.2" x14ac:dyDescent="0.3">
      <c r="A2314" s="22" t="s">
        <v>7839</v>
      </c>
      <c r="B2314" s="22" t="s">
        <v>7841</v>
      </c>
      <c r="C2314" s="22" t="s">
        <v>7712</v>
      </c>
      <c r="D2314" s="22" t="s">
        <v>7710</v>
      </c>
      <c r="E2314" s="22" t="s">
        <v>180</v>
      </c>
      <c r="F2314" s="24" t="s">
        <v>181</v>
      </c>
      <c r="G2314" s="23" t="s">
        <v>32</v>
      </c>
      <c r="H2314" s="24" t="s">
        <v>175</v>
      </c>
      <c r="I2314" s="22" t="s">
        <v>172</v>
      </c>
      <c r="J2314" s="22" t="s">
        <v>85</v>
      </c>
      <c r="K2314" s="24" t="s">
        <v>7946</v>
      </c>
      <c r="L2314" s="24"/>
      <c r="M2314" s="25" t="s">
        <v>182</v>
      </c>
      <c r="N2314" s="22"/>
      <c r="O2314" s="22" t="s">
        <v>183</v>
      </c>
      <c r="P2314" s="22" t="str">
        <f>HYPERLINK("https://ceds.ed.gov/cedselementdetails.aspx?termid=21190")</f>
        <v>https://ceds.ed.gov/cedselementdetails.aspx?termid=21190</v>
      </c>
      <c r="Q2314" s="22">
        <v>60209</v>
      </c>
    </row>
    <row r="2315" spans="1:17" ht="158.4" x14ac:dyDescent="0.3">
      <c r="A2315" s="22" t="s">
        <v>7839</v>
      </c>
      <c r="B2315" s="22" t="s">
        <v>7841</v>
      </c>
      <c r="C2315" s="22" t="s">
        <v>7712</v>
      </c>
      <c r="D2315" s="22" t="s">
        <v>7710</v>
      </c>
      <c r="E2315" s="22" t="s">
        <v>2536</v>
      </c>
      <c r="F2315" s="24" t="s">
        <v>2537</v>
      </c>
      <c r="G2315" s="23" t="s">
        <v>32</v>
      </c>
      <c r="H2315" s="22"/>
      <c r="I2315" s="22"/>
      <c r="J2315" s="22" t="s">
        <v>2538</v>
      </c>
      <c r="K2315" s="24"/>
      <c r="L2315" s="24"/>
      <c r="M2315" s="25" t="s">
        <v>2539</v>
      </c>
      <c r="N2315" s="22"/>
      <c r="O2315" s="22" t="s">
        <v>2540</v>
      </c>
      <c r="P2315" s="22" t="str">
        <f>HYPERLINK("https://ceds.ed.gov/cedselementdetails.aspx?termid=22176")</f>
        <v>https://ceds.ed.gov/cedselementdetails.aspx?termid=22176</v>
      </c>
      <c r="Q2315" s="22">
        <v>60141</v>
      </c>
    </row>
    <row r="2316" spans="1:17" ht="57.6" x14ac:dyDescent="0.3">
      <c r="A2316" s="22" t="s">
        <v>7839</v>
      </c>
      <c r="B2316" s="22" t="s">
        <v>7841</v>
      </c>
      <c r="C2316" s="22" t="s">
        <v>7712</v>
      </c>
      <c r="D2316" s="22" t="s">
        <v>7710</v>
      </c>
      <c r="E2316" s="22" t="s">
        <v>4982</v>
      </c>
      <c r="F2316" s="24" t="s">
        <v>4983</v>
      </c>
      <c r="G2316" s="23" t="s">
        <v>32</v>
      </c>
      <c r="H2316" s="22"/>
      <c r="I2316" s="22"/>
      <c r="J2316" s="22" t="s">
        <v>1165</v>
      </c>
      <c r="K2316" s="24"/>
      <c r="L2316" s="24"/>
      <c r="M2316" s="25" t="s">
        <v>4984</v>
      </c>
      <c r="N2316" s="22"/>
      <c r="O2316" s="22" t="s">
        <v>4982</v>
      </c>
      <c r="P2316" s="22" t="str">
        <f>HYPERLINK("https://ceds.ed.gov/cedselementdetails.aspx?termid=21599")</f>
        <v>https://ceds.ed.gov/cedselementdetails.aspx?termid=21599</v>
      </c>
      <c r="Q2316" s="22">
        <v>60143</v>
      </c>
    </row>
    <row r="2317" spans="1:17" ht="57.6" x14ac:dyDescent="0.3">
      <c r="A2317" s="22" t="s">
        <v>7839</v>
      </c>
      <c r="B2317" s="22" t="s">
        <v>7841</v>
      </c>
      <c r="C2317" s="22" t="s">
        <v>7712</v>
      </c>
      <c r="D2317" s="22" t="s">
        <v>7710</v>
      </c>
      <c r="E2317" s="22" t="s">
        <v>5372</v>
      </c>
      <c r="F2317" s="24" t="s">
        <v>5373</v>
      </c>
      <c r="G2317" s="23" t="s">
        <v>32</v>
      </c>
      <c r="H2317" s="22"/>
      <c r="I2317" s="22"/>
      <c r="J2317" s="22" t="s">
        <v>1165</v>
      </c>
      <c r="K2317" s="24"/>
      <c r="L2317" s="24"/>
      <c r="M2317" s="25" t="s">
        <v>5374</v>
      </c>
      <c r="N2317" s="22"/>
      <c r="O2317" s="22" t="s">
        <v>5372</v>
      </c>
      <c r="P2317" s="22" t="str">
        <f>HYPERLINK("https://ceds.ed.gov/cedselementdetails.aspx?termid=21600")</f>
        <v>https://ceds.ed.gov/cedselementdetails.aspx?termid=21600</v>
      </c>
      <c r="Q2317" s="22">
        <v>60144</v>
      </c>
    </row>
    <row r="2318" spans="1:17" ht="57.6" x14ac:dyDescent="0.3">
      <c r="A2318" s="22" t="s">
        <v>7839</v>
      </c>
      <c r="B2318" s="22" t="s">
        <v>7841</v>
      </c>
      <c r="C2318" s="22" t="s">
        <v>7712</v>
      </c>
      <c r="D2318" s="22" t="s">
        <v>7710</v>
      </c>
      <c r="E2318" s="22" t="s">
        <v>3228</v>
      </c>
      <c r="F2318" s="24" t="s">
        <v>3229</v>
      </c>
      <c r="G2318" s="26" t="s">
        <v>3039</v>
      </c>
      <c r="H2318" s="22"/>
      <c r="I2318" s="22" t="s">
        <v>172</v>
      </c>
      <c r="J2318" s="22"/>
      <c r="K2318" s="24" t="s">
        <v>7946</v>
      </c>
      <c r="L2318" s="24"/>
      <c r="M2318" s="25" t="s">
        <v>3230</v>
      </c>
      <c r="N2318" s="22"/>
      <c r="O2318" s="22" t="s">
        <v>3231</v>
      </c>
      <c r="P2318" s="22" t="str">
        <f>HYPERLINK("https://ceds.ed.gov/cedselementdetails.aspx?termid=22905")</f>
        <v>https://ceds.ed.gov/cedselementdetails.aspx?termid=22905</v>
      </c>
      <c r="Q2318" s="22">
        <v>63412</v>
      </c>
    </row>
    <row r="2319" spans="1:17" ht="187.2" x14ac:dyDescent="0.3">
      <c r="A2319" s="22" t="s">
        <v>7839</v>
      </c>
      <c r="B2319" s="22" t="s">
        <v>7841</v>
      </c>
      <c r="C2319" s="22" t="s">
        <v>7721</v>
      </c>
      <c r="D2319" s="22" t="s">
        <v>7710</v>
      </c>
      <c r="E2319" s="22" t="s">
        <v>5525</v>
      </c>
      <c r="F2319" s="24" t="s">
        <v>5526</v>
      </c>
      <c r="G2319" s="23" t="s">
        <v>32</v>
      </c>
      <c r="H2319" s="24" t="s">
        <v>5529</v>
      </c>
      <c r="I2319" s="22" t="s">
        <v>172</v>
      </c>
      <c r="J2319" s="22" t="s">
        <v>157</v>
      </c>
      <c r="K2319" s="24" t="s">
        <v>7946</v>
      </c>
      <c r="L2319" s="24"/>
      <c r="M2319" s="25" t="s">
        <v>5527</v>
      </c>
      <c r="N2319" s="22"/>
      <c r="O2319" s="22" t="s">
        <v>5528</v>
      </c>
      <c r="P2319" s="22" t="str">
        <f>HYPERLINK("https://ceds.ed.gov/cedselementdetails.aspx?termid=21191")</f>
        <v>https://ceds.ed.gov/cedselementdetails.aspx?termid=21191</v>
      </c>
      <c r="Q2319" s="22">
        <v>58808</v>
      </c>
    </row>
    <row r="2320" spans="1:17" ht="86.4" x14ac:dyDescent="0.3">
      <c r="A2320" s="22" t="s">
        <v>7839</v>
      </c>
      <c r="B2320" s="22" t="s">
        <v>7841</v>
      </c>
      <c r="C2320" s="22" t="s">
        <v>7721</v>
      </c>
      <c r="D2320" s="22" t="s">
        <v>7710</v>
      </c>
      <c r="E2320" s="22" t="s">
        <v>8312</v>
      </c>
      <c r="F2320" s="24" t="s">
        <v>8313</v>
      </c>
      <c r="G2320" s="23" t="s">
        <v>32</v>
      </c>
      <c r="H2320" s="22"/>
      <c r="I2320" s="22" t="s">
        <v>172</v>
      </c>
      <c r="J2320" s="22" t="s">
        <v>85</v>
      </c>
      <c r="K2320" s="24" t="s">
        <v>8314</v>
      </c>
      <c r="L2320" s="24" t="s">
        <v>6772</v>
      </c>
      <c r="M2320" s="25" t="s">
        <v>6773</v>
      </c>
      <c r="N2320" s="22"/>
      <c r="O2320" s="22" t="s">
        <v>8315</v>
      </c>
      <c r="P2320" s="22" t="str">
        <f>HYPERLINK("https://ceds.ed.gov/cedselementdetails.aspx?termid=22459")</f>
        <v>https://ceds.ed.gov/cedselementdetails.aspx?termid=22459</v>
      </c>
      <c r="Q2320" s="22">
        <v>61422</v>
      </c>
    </row>
    <row r="2321" spans="1:17" ht="172.8" x14ac:dyDescent="0.3">
      <c r="A2321" s="22" t="s">
        <v>7839</v>
      </c>
      <c r="B2321" s="22" t="s">
        <v>7841</v>
      </c>
      <c r="C2321" s="22" t="s">
        <v>7721</v>
      </c>
      <c r="D2321" s="22" t="s">
        <v>7710</v>
      </c>
      <c r="E2321" s="22" t="s">
        <v>5653</v>
      </c>
      <c r="F2321" s="24" t="s">
        <v>5654</v>
      </c>
      <c r="G2321" s="23" t="s">
        <v>32</v>
      </c>
      <c r="H2321" s="22"/>
      <c r="I2321" s="22"/>
      <c r="J2321" s="22" t="s">
        <v>5656</v>
      </c>
      <c r="K2321" s="24"/>
      <c r="L2321" s="24"/>
      <c r="M2321" s="25" t="s">
        <v>5657</v>
      </c>
      <c r="N2321" s="22" t="s">
        <v>5658</v>
      </c>
      <c r="O2321" s="22" t="s">
        <v>5658</v>
      </c>
      <c r="P2321" s="22" t="str">
        <f>HYPERLINK("https://ceds.ed.gov/cedselementdetails.aspx?termid=21203")</f>
        <v>https://ceds.ed.gov/cedselementdetails.aspx?termid=21203</v>
      </c>
      <c r="Q2321" s="22">
        <v>58809</v>
      </c>
    </row>
    <row r="2322" spans="1:17" ht="129.6" x14ac:dyDescent="0.3">
      <c r="A2322" s="22" t="s">
        <v>7839</v>
      </c>
      <c r="B2322" s="22" t="s">
        <v>7841</v>
      </c>
      <c r="C2322" s="22" t="s">
        <v>7721</v>
      </c>
      <c r="D2322" s="22" t="s">
        <v>7710</v>
      </c>
      <c r="E2322" s="22" t="s">
        <v>3929</v>
      </c>
      <c r="F2322" s="24" t="s">
        <v>8126</v>
      </c>
      <c r="G2322" s="23" t="s">
        <v>3930</v>
      </c>
      <c r="H2322" s="22" t="s">
        <v>242</v>
      </c>
      <c r="I2322" s="22"/>
      <c r="J2322" s="22" t="s">
        <v>3931</v>
      </c>
      <c r="K2322" s="24"/>
      <c r="L2322" s="24"/>
      <c r="M2322" s="25" t="s">
        <v>3932</v>
      </c>
      <c r="N2322" s="22"/>
      <c r="O2322" s="22" t="s">
        <v>3933</v>
      </c>
      <c r="P2322" s="22" t="str">
        <f>HYPERLINK("https://ceds.ed.gov/cedselementdetails.aspx?termid=21111")</f>
        <v>https://ceds.ed.gov/cedselementdetails.aspx?termid=21111</v>
      </c>
      <c r="Q2322" s="22">
        <v>58805</v>
      </c>
    </row>
    <row r="2323" spans="1:17" ht="28.8" x14ac:dyDescent="0.3">
      <c r="A2323" s="22" t="s">
        <v>7839</v>
      </c>
      <c r="B2323" s="22" t="s">
        <v>7841</v>
      </c>
      <c r="C2323" s="22" t="s">
        <v>7721</v>
      </c>
      <c r="D2323" s="22" t="s">
        <v>7710</v>
      </c>
      <c r="E2323" s="22" t="s">
        <v>7370</v>
      </c>
      <c r="F2323" s="24" t="s">
        <v>7371</v>
      </c>
      <c r="G2323" s="23" t="s">
        <v>32</v>
      </c>
      <c r="H2323" s="22" t="s">
        <v>226</v>
      </c>
      <c r="I2323" s="22" t="s">
        <v>172</v>
      </c>
      <c r="J2323" s="22" t="s">
        <v>113</v>
      </c>
      <c r="K2323" s="24" t="s">
        <v>7946</v>
      </c>
      <c r="L2323" s="24"/>
      <c r="M2323" s="25" t="s">
        <v>7372</v>
      </c>
      <c r="N2323" s="22"/>
      <c r="O2323" s="22" t="s">
        <v>7373</v>
      </c>
      <c r="P2323" s="22" t="str">
        <f>HYPERLINK("https://ceds.ed.gov/cedselementdetails.aspx?termid=21300")</f>
        <v>https://ceds.ed.gov/cedselementdetails.aspx?termid=21300</v>
      </c>
      <c r="Q2323" s="22">
        <v>62175</v>
      </c>
    </row>
    <row r="2324" spans="1:17" ht="72" x14ac:dyDescent="0.3">
      <c r="A2324" s="22" t="s">
        <v>7839</v>
      </c>
      <c r="B2324" s="22" t="s">
        <v>7841</v>
      </c>
      <c r="C2324" s="22" t="s">
        <v>7721</v>
      </c>
      <c r="D2324" s="22" t="s">
        <v>7710</v>
      </c>
      <c r="E2324" s="22" t="s">
        <v>5294</v>
      </c>
      <c r="F2324" s="24" t="s">
        <v>5295</v>
      </c>
      <c r="G2324" s="26" t="s">
        <v>9015</v>
      </c>
      <c r="H2324" s="24" t="s">
        <v>1965</v>
      </c>
      <c r="I2324" s="22"/>
      <c r="J2324" s="22"/>
      <c r="K2324" s="24"/>
      <c r="L2324" s="24"/>
      <c r="M2324" s="25" t="s">
        <v>5297</v>
      </c>
      <c r="N2324" s="22"/>
      <c r="O2324" s="22" t="s">
        <v>5298</v>
      </c>
      <c r="P2324" s="22" t="str">
        <f>HYPERLINK("https://ceds.ed.gov/cedselementdetails.aspx?termid=21178")</f>
        <v>https://ceds.ed.gov/cedselementdetails.aspx?termid=21178</v>
      </c>
      <c r="Q2324" s="22">
        <v>58807</v>
      </c>
    </row>
    <row r="2325" spans="1:17" ht="100.8" x14ac:dyDescent="0.3">
      <c r="A2325" s="22" t="s">
        <v>7839</v>
      </c>
      <c r="B2325" s="22" t="s">
        <v>7841</v>
      </c>
      <c r="C2325" s="22" t="s">
        <v>7721</v>
      </c>
      <c r="D2325" s="22" t="s">
        <v>7710</v>
      </c>
      <c r="E2325" s="22" t="s">
        <v>2499</v>
      </c>
      <c r="F2325" s="24" t="s">
        <v>8054</v>
      </c>
      <c r="G2325" s="26" t="s">
        <v>8417</v>
      </c>
      <c r="H2325" s="24" t="s">
        <v>1965</v>
      </c>
      <c r="I2325" s="22" t="s">
        <v>172</v>
      </c>
      <c r="J2325" s="22"/>
      <c r="K2325" s="24" t="s">
        <v>7946</v>
      </c>
      <c r="L2325" s="24"/>
      <c r="M2325" s="25" t="s">
        <v>2500</v>
      </c>
      <c r="N2325" s="22"/>
      <c r="O2325" s="22" t="s">
        <v>2501</v>
      </c>
      <c r="P2325" s="22" t="str">
        <f>HYPERLINK("https://ceds.ed.gov/cedselementdetails.aspx?termid=21048")</f>
        <v>https://ceds.ed.gov/cedselementdetails.aspx?termid=21048</v>
      </c>
      <c r="Q2325" s="22">
        <v>58804</v>
      </c>
    </row>
    <row r="2326" spans="1:17" ht="115.2" x14ac:dyDescent="0.3">
      <c r="A2326" s="22" t="s">
        <v>7839</v>
      </c>
      <c r="B2326" s="22" t="s">
        <v>7841</v>
      </c>
      <c r="C2326" s="22" t="s">
        <v>7721</v>
      </c>
      <c r="D2326" s="22" t="s">
        <v>7710</v>
      </c>
      <c r="E2326" s="22" t="s">
        <v>7335</v>
      </c>
      <c r="F2326" s="24" t="s">
        <v>8347</v>
      </c>
      <c r="G2326" s="26" t="s">
        <v>22</v>
      </c>
      <c r="H2326" s="22"/>
      <c r="I2326" s="22" t="s">
        <v>172</v>
      </c>
      <c r="J2326" s="22"/>
      <c r="K2326" s="24" t="s">
        <v>8348</v>
      </c>
      <c r="L2326" s="24"/>
      <c r="M2326" s="25" t="s">
        <v>7336</v>
      </c>
      <c r="N2326" s="22"/>
      <c r="O2326" s="22" t="s">
        <v>7337</v>
      </c>
      <c r="P2326" s="22" t="str">
        <f>HYPERLINK("https://ceds.ed.gov/cedselementdetails.aspx?termid=22167")</f>
        <v>https://ceds.ed.gov/cedselementdetails.aspx?termid=22167</v>
      </c>
      <c r="Q2326" s="22">
        <v>59577</v>
      </c>
    </row>
    <row r="2327" spans="1:17" ht="409.6" x14ac:dyDescent="0.3">
      <c r="A2327" s="22" t="s">
        <v>7839</v>
      </c>
      <c r="B2327" s="22" t="s">
        <v>7841</v>
      </c>
      <c r="C2327" s="22" t="s">
        <v>7721</v>
      </c>
      <c r="D2327" s="22" t="s">
        <v>7710</v>
      </c>
      <c r="E2327" s="22" t="s">
        <v>1960</v>
      </c>
      <c r="F2327" s="24" t="s">
        <v>1961</v>
      </c>
      <c r="G2327" s="26" t="s">
        <v>8716</v>
      </c>
      <c r="H2327" s="24" t="s">
        <v>1965</v>
      </c>
      <c r="I2327" s="22"/>
      <c r="J2327" s="22"/>
      <c r="K2327" s="24"/>
      <c r="L2327" s="24"/>
      <c r="M2327" s="25" t="s">
        <v>1963</v>
      </c>
      <c r="N2327" s="22"/>
      <c r="O2327" s="22" t="s">
        <v>1964</v>
      </c>
      <c r="P2327" s="22" t="str">
        <f>HYPERLINK("https://ceds.ed.gov/cedselementdetails.aspx?termid=21038")</f>
        <v>https://ceds.ed.gov/cedselementdetails.aspx?termid=21038</v>
      </c>
      <c r="Q2327" s="22">
        <v>58803</v>
      </c>
    </row>
    <row r="2328" spans="1:17" ht="28.8" x14ac:dyDescent="0.3">
      <c r="A2328" s="22" t="s">
        <v>7839</v>
      </c>
      <c r="B2328" s="22" t="s">
        <v>7841</v>
      </c>
      <c r="C2328" s="22" t="s">
        <v>7721</v>
      </c>
      <c r="D2328" s="22" t="s">
        <v>7710</v>
      </c>
      <c r="E2328" s="22" t="s">
        <v>6733</v>
      </c>
      <c r="F2328" s="24" t="s">
        <v>6734</v>
      </c>
      <c r="G2328" s="23" t="s">
        <v>32</v>
      </c>
      <c r="H2328" s="24" t="s">
        <v>1965</v>
      </c>
      <c r="I2328" s="22"/>
      <c r="J2328" s="22" t="s">
        <v>3145</v>
      </c>
      <c r="K2328" s="24"/>
      <c r="L2328" s="24"/>
      <c r="M2328" s="25" t="s">
        <v>6736</v>
      </c>
      <c r="N2328" s="22"/>
      <c r="O2328" s="22" t="s">
        <v>6737</v>
      </c>
      <c r="P2328" s="22" t="str">
        <f>HYPERLINK("https://ceds.ed.gov/cedselementdetails.aspx?termid=21252")</f>
        <v>https://ceds.ed.gov/cedselementdetails.aspx?termid=21252</v>
      </c>
      <c r="Q2328" s="22">
        <v>58810</v>
      </c>
    </row>
    <row r="2329" spans="1:17" ht="115.2" x14ac:dyDescent="0.3">
      <c r="A2329" s="22" t="s">
        <v>7839</v>
      </c>
      <c r="B2329" s="22" t="s">
        <v>7841</v>
      </c>
      <c r="C2329" s="22" t="s">
        <v>7721</v>
      </c>
      <c r="D2329" s="22" t="s">
        <v>7710</v>
      </c>
      <c r="E2329" s="22" t="s">
        <v>5927</v>
      </c>
      <c r="F2329" s="24" t="s">
        <v>5928</v>
      </c>
      <c r="G2329" s="26" t="s">
        <v>8500</v>
      </c>
      <c r="H2329" s="24" t="s">
        <v>5932</v>
      </c>
      <c r="I2329" s="22" t="s">
        <v>172</v>
      </c>
      <c r="J2329" s="22"/>
      <c r="K2329" s="24" t="s">
        <v>7946</v>
      </c>
      <c r="L2329" s="24" t="s">
        <v>5929</v>
      </c>
      <c r="M2329" s="25" t="s">
        <v>5930</v>
      </c>
      <c r="N2329" s="22"/>
      <c r="O2329" s="22" t="s">
        <v>5931</v>
      </c>
      <c r="P2329" s="22" t="str">
        <f>HYPERLINK("https://ceds.ed.gov/cedselementdetails.aspx?termid=21705")</f>
        <v>https://ceds.ed.gov/cedselementdetails.aspx?termid=21705</v>
      </c>
      <c r="Q2329" s="22">
        <v>60151</v>
      </c>
    </row>
    <row r="2330" spans="1:17" ht="43.2" x14ac:dyDescent="0.3">
      <c r="A2330" s="22" t="s">
        <v>7839</v>
      </c>
      <c r="B2330" s="22" t="s">
        <v>7841</v>
      </c>
      <c r="C2330" s="22" t="s">
        <v>7721</v>
      </c>
      <c r="D2330" s="22" t="s">
        <v>7710</v>
      </c>
      <c r="E2330" s="22" t="s">
        <v>7172</v>
      </c>
      <c r="F2330" s="24" t="s">
        <v>7173</v>
      </c>
      <c r="G2330" s="26" t="s">
        <v>22</v>
      </c>
      <c r="H2330" s="22" t="s">
        <v>69</v>
      </c>
      <c r="I2330" s="22"/>
      <c r="J2330" s="22"/>
      <c r="K2330" s="24"/>
      <c r="L2330" s="24"/>
      <c r="M2330" s="25" t="s">
        <v>7174</v>
      </c>
      <c r="N2330" s="22"/>
      <c r="O2330" s="22" t="s">
        <v>7175</v>
      </c>
      <c r="P2330" s="22" t="str">
        <f>HYPERLINK("https://ceds.ed.gov/cedselementdetails.aspx?termid=21715")</f>
        <v>https://ceds.ed.gov/cedselementdetails.aspx?termid=21715</v>
      </c>
      <c r="Q2330" s="22">
        <v>60163</v>
      </c>
    </row>
    <row r="2331" spans="1:17" ht="57.6" x14ac:dyDescent="0.3">
      <c r="A2331" s="22" t="s">
        <v>7839</v>
      </c>
      <c r="B2331" s="22" t="s">
        <v>7841</v>
      </c>
      <c r="C2331" s="22" t="s">
        <v>7721</v>
      </c>
      <c r="D2331" s="22" t="s">
        <v>7710</v>
      </c>
      <c r="E2331" s="22" t="s">
        <v>227</v>
      </c>
      <c r="F2331" s="24" t="s">
        <v>228</v>
      </c>
      <c r="G2331" s="26" t="s">
        <v>8396</v>
      </c>
      <c r="H2331" s="22"/>
      <c r="I2331" s="22" t="s">
        <v>172</v>
      </c>
      <c r="J2331" s="22"/>
      <c r="K2331" s="24" t="s">
        <v>7946</v>
      </c>
      <c r="L2331" s="24"/>
      <c r="M2331" s="25" t="s">
        <v>230</v>
      </c>
      <c r="N2331" s="22"/>
      <c r="O2331" s="22" t="s">
        <v>231</v>
      </c>
      <c r="P2331" s="22" t="str">
        <f>HYPERLINK("https://ceds.ed.gov/cedselementdetails.aspx?termid=21012")</f>
        <v>https://ceds.ed.gov/cedselementdetails.aspx?termid=21012</v>
      </c>
      <c r="Q2331" s="22">
        <v>63590</v>
      </c>
    </row>
    <row r="2332" spans="1:17" ht="43.2" x14ac:dyDescent="0.3">
      <c r="A2332" s="22" t="s">
        <v>7839</v>
      </c>
      <c r="B2332" s="22" t="s">
        <v>7841</v>
      </c>
      <c r="C2332" s="22" t="s">
        <v>7721</v>
      </c>
      <c r="D2332" s="22" t="s">
        <v>7741</v>
      </c>
      <c r="E2332" s="22" t="s">
        <v>8109</v>
      </c>
      <c r="F2332" s="24" t="s">
        <v>8110</v>
      </c>
      <c r="G2332" s="23" t="s">
        <v>32</v>
      </c>
      <c r="H2332" s="22"/>
      <c r="I2332" s="22" t="s">
        <v>167</v>
      </c>
      <c r="J2332" s="22" t="s">
        <v>1699</v>
      </c>
      <c r="K2332" s="24" t="s">
        <v>7949</v>
      </c>
      <c r="L2332" s="24" t="s">
        <v>8111</v>
      </c>
      <c r="M2332" s="25" t="s">
        <v>8358</v>
      </c>
      <c r="N2332" s="22"/>
      <c r="O2332" s="22" t="s">
        <v>8112</v>
      </c>
      <c r="P2332" s="22" t="str">
        <f>HYPERLINK("https://ceds.ed.gov/cedselementdetails.aspx?termid=22979")</f>
        <v>https://ceds.ed.gov/cedselementdetails.aspx?termid=22979</v>
      </c>
      <c r="Q2332" s="22">
        <v>63950</v>
      </c>
    </row>
    <row r="2333" spans="1:17" ht="28.8" x14ac:dyDescent="0.3">
      <c r="A2333" s="22" t="s">
        <v>7839</v>
      </c>
      <c r="B2333" s="22" t="s">
        <v>7841</v>
      </c>
      <c r="C2333" s="22" t="s">
        <v>7721</v>
      </c>
      <c r="D2333" s="22" t="s">
        <v>7741</v>
      </c>
      <c r="E2333" s="22" t="s">
        <v>5667</v>
      </c>
      <c r="F2333" s="24" t="s">
        <v>5668</v>
      </c>
      <c r="G2333" s="23" t="s">
        <v>32</v>
      </c>
      <c r="H2333" s="22" t="s">
        <v>226</v>
      </c>
      <c r="I2333" s="22" t="s">
        <v>172</v>
      </c>
      <c r="J2333" s="22" t="s">
        <v>118</v>
      </c>
      <c r="K2333" s="24" t="s">
        <v>7946</v>
      </c>
      <c r="L2333" s="24"/>
      <c r="M2333" s="25" t="s">
        <v>5669</v>
      </c>
      <c r="N2333" s="22"/>
      <c r="O2333" s="22" t="s">
        <v>5670</v>
      </c>
      <c r="P2333" s="22" t="str">
        <f>HYPERLINK("https://ceds.ed.gov/cedselementdetails.aspx?termid=21525")</f>
        <v>https://ceds.ed.gov/cedselementdetails.aspx?termid=21525</v>
      </c>
      <c r="Q2333" s="22">
        <v>63951</v>
      </c>
    </row>
    <row r="2334" spans="1:17" ht="43.2" x14ac:dyDescent="0.3">
      <c r="A2334" s="22" t="s">
        <v>7839</v>
      </c>
      <c r="B2334" s="22" t="s">
        <v>7841</v>
      </c>
      <c r="C2334" s="22" t="s">
        <v>7730</v>
      </c>
      <c r="D2334" s="22" t="s">
        <v>7710</v>
      </c>
      <c r="E2334" s="22" t="s">
        <v>3948</v>
      </c>
      <c r="F2334" s="24" t="s">
        <v>8152</v>
      </c>
      <c r="G2334" s="23" t="s">
        <v>32</v>
      </c>
      <c r="H2334" s="22"/>
      <c r="I2334" s="22" t="s">
        <v>172</v>
      </c>
      <c r="J2334" s="22" t="s">
        <v>780</v>
      </c>
      <c r="K2334" s="24" t="s">
        <v>8135</v>
      </c>
      <c r="L2334" s="24"/>
      <c r="M2334" s="25" t="s">
        <v>3949</v>
      </c>
      <c r="N2334" s="22"/>
      <c r="O2334" s="22" t="s">
        <v>3950</v>
      </c>
      <c r="P2334" s="22" t="str">
        <f>HYPERLINK("https://ceds.ed.gov/cedselementdetails.aspx?termid=22315")</f>
        <v>https://ceds.ed.gov/cedselementdetails.aspx?termid=22315</v>
      </c>
      <c r="Q2334" s="22">
        <v>62825</v>
      </c>
    </row>
    <row r="2335" spans="1:17" ht="86.4" x14ac:dyDescent="0.3">
      <c r="A2335" s="22" t="s">
        <v>7839</v>
      </c>
      <c r="B2335" s="22" t="s">
        <v>7841</v>
      </c>
      <c r="C2335" s="22" t="s">
        <v>7730</v>
      </c>
      <c r="D2335" s="22" t="s">
        <v>7710</v>
      </c>
      <c r="E2335" s="22" t="s">
        <v>3951</v>
      </c>
      <c r="F2335" s="24" t="s">
        <v>8153</v>
      </c>
      <c r="G2335" s="23" t="s">
        <v>32</v>
      </c>
      <c r="H2335" s="22"/>
      <c r="I2335" s="22" t="s">
        <v>172</v>
      </c>
      <c r="J2335" s="22" t="s">
        <v>85</v>
      </c>
      <c r="K2335" s="24" t="s">
        <v>7946</v>
      </c>
      <c r="L2335" s="24"/>
      <c r="M2335" s="25" t="s">
        <v>3952</v>
      </c>
      <c r="N2335" s="22"/>
      <c r="O2335" s="22" t="s">
        <v>3953</v>
      </c>
      <c r="P2335" s="22" t="str">
        <f>HYPERLINK("https://ceds.ed.gov/cedselementdetails.aspx?termid=22530")</f>
        <v>https://ceds.ed.gov/cedselementdetails.aspx?termid=22530</v>
      </c>
      <c r="Q2335" s="22">
        <v>62836</v>
      </c>
    </row>
    <row r="2336" spans="1:17" ht="86.4" x14ac:dyDescent="0.3">
      <c r="A2336" s="22" t="s">
        <v>7839</v>
      </c>
      <c r="B2336" s="22" t="s">
        <v>7841</v>
      </c>
      <c r="C2336" s="22" t="s">
        <v>7730</v>
      </c>
      <c r="D2336" s="22" t="s">
        <v>7710</v>
      </c>
      <c r="E2336" s="22" t="s">
        <v>3934</v>
      </c>
      <c r="F2336" s="24" t="s">
        <v>3935</v>
      </c>
      <c r="G2336" s="26" t="s">
        <v>8439</v>
      </c>
      <c r="H2336" s="22"/>
      <c r="I2336" s="22" t="s">
        <v>172</v>
      </c>
      <c r="J2336" s="22"/>
      <c r="K2336" s="24" t="s">
        <v>7946</v>
      </c>
      <c r="L2336" s="24"/>
      <c r="M2336" s="25" t="s">
        <v>3936</v>
      </c>
      <c r="N2336" s="22"/>
      <c r="O2336" s="22" t="s">
        <v>3937</v>
      </c>
      <c r="P2336" s="22" t="str">
        <f>HYPERLINK("https://ceds.ed.gov/cedselementdetails.aspx?termid=22312")</f>
        <v>https://ceds.ed.gov/cedselementdetails.aspx?termid=22312</v>
      </c>
      <c r="Q2336" s="22">
        <v>62823</v>
      </c>
    </row>
    <row r="2337" spans="1:17" ht="43.2" x14ac:dyDescent="0.3">
      <c r="A2337" s="22" t="s">
        <v>7839</v>
      </c>
      <c r="B2337" s="22" t="s">
        <v>7841</v>
      </c>
      <c r="C2337" s="22" t="s">
        <v>7730</v>
      </c>
      <c r="D2337" s="22" t="s">
        <v>7710</v>
      </c>
      <c r="E2337" s="22" t="s">
        <v>3938</v>
      </c>
      <c r="F2337" s="24" t="s">
        <v>8134</v>
      </c>
      <c r="G2337" s="23" t="s">
        <v>32</v>
      </c>
      <c r="H2337" s="22"/>
      <c r="I2337" s="22" t="s">
        <v>172</v>
      </c>
      <c r="J2337" s="22" t="s">
        <v>113</v>
      </c>
      <c r="K2337" s="24" t="s">
        <v>8135</v>
      </c>
      <c r="L2337" s="24"/>
      <c r="M2337" s="25" t="s">
        <v>3939</v>
      </c>
      <c r="N2337" s="22"/>
      <c r="O2337" s="22" t="s">
        <v>3940</v>
      </c>
      <c r="P2337" s="22" t="str">
        <f>HYPERLINK("https://ceds.ed.gov/cedselementdetails.aspx?termid=22313")</f>
        <v>https://ceds.ed.gov/cedselementdetails.aspx?termid=22313</v>
      </c>
      <c r="Q2337" s="22">
        <v>62824</v>
      </c>
    </row>
    <row r="2338" spans="1:17" ht="43.2" x14ac:dyDescent="0.3">
      <c r="A2338" s="22" t="s">
        <v>7839</v>
      </c>
      <c r="B2338" s="22" t="s">
        <v>7841</v>
      </c>
      <c r="C2338" s="22" t="s">
        <v>7730</v>
      </c>
      <c r="D2338" s="22" t="s">
        <v>7710</v>
      </c>
      <c r="E2338" s="22" t="s">
        <v>3954</v>
      </c>
      <c r="F2338" s="24" t="s">
        <v>8158</v>
      </c>
      <c r="G2338" s="23" t="s">
        <v>32</v>
      </c>
      <c r="H2338" s="22"/>
      <c r="I2338" s="22" t="s">
        <v>172</v>
      </c>
      <c r="J2338" s="22" t="s">
        <v>780</v>
      </c>
      <c r="K2338" s="24" t="s">
        <v>8159</v>
      </c>
      <c r="L2338" s="24"/>
      <c r="M2338" s="25" t="s">
        <v>3955</v>
      </c>
      <c r="N2338" s="22"/>
      <c r="O2338" s="22" t="s">
        <v>3956</v>
      </c>
      <c r="P2338" s="22" t="str">
        <f>HYPERLINK("https://ceds.ed.gov/cedselementdetails.aspx?termid=22626")</f>
        <v>https://ceds.ed.gov/cedselementdetails.aspx?termid=22626</v>
      </c>
      <c r="Q2338" s="22">
        <v>62861</v>
      </c>
    </row>
    <row r="2339" spans="1:17" ht="43.2" x14ac:dyDescent="0.3">
      <c r="A2339" s="22" t="s">
        <v>7839</v>
      </c>
      <c r="B2339" s="22" t="s">
        <v>7841</v>
      </c>
      <c r="C2339" s="22" t="s">
        <v>7730</v>
      </c>
      <c r="D2339" s="22" t="s">
        <v>7710</v>
      </c>
      <c r="E2339" s="22" t="s">
        <v>3957</v>
      </c>
      <c r="F2339" s="24" t="s">
        <v>8160</v>
      </c>
      <c r="G2339" s="23" t="s">
        <v>32</v>
      </c>
      <c r="H2339" s="22"/>
      <c r="I2339" s="22" t="s">
        <v>172</v>
      </c>
      <c r="J2339" s="22" t="s">
        <v>85</v>
      </c>
      <c r="K2339" s="24" t="s">
        <v>8159</v>
      </c>
      <c r="L2339" s="24"/>
      <c r="M2339" s="25" t="s">
        <v>3958</v>
      </c>
      <c r="N2339" s="22"/>
      <c r="O2339" s="22" t="s">
        <v>3959</v>
      </c>
      <c r="P2339" s="22" t="str">
        <f>HYPERLINK("https://ceds.ed.gov/cedselementdetails.aspx?termid=22627")</f>
        <v>https://ceds.ed.gov/cedselementdetails.aspx?termid=22627</v>
      </c>
      <c r="Q2339" s="22">
        <v>62862</v>
      </c>
    </row>
    <row r="2340" spans="1:17" ht="28.8" x14ac:dyDescent="0.3">
      <c r="A2340" s="22" t="s">
        <v>7839</v>
      </c>
      <c r="B2340" s="22" t="s">
        <v>7841</v>
      </c>
      <c r="C2340" s="22" t="s">
        <v>7730</v>
      </c>
      <c r="D2340" s="22" t="s">
        <v>7710</v>
      </c>
      <c r="E2340" s="22" t="s">
        <v>3960</v>
      </c>
      <c r="F2340" s="24" t="s">
        <v>3961</v>
      </c>
      <c r="G2340" s="23" t="s">
        <v>32</v>
      </c>
      <c r="H2340" s="22"/>
      <c r="I2340" s="22" t="s">
        <v>172</v>
      </c>
      <c r="J2340" s="22" t="s">
        <v>118</v>
      </c>
      <c r="K2340" s="24" t="s">
        <v>7946</v>
      </c>
      <c r="L2340" s="24"/>
      <c r="M2340" s="25" t="s">
        <v>3962</v>
      </c>
      <c r="N2340" s="22"/>
      <c r="O2340" s="22" t="s">
        <v>3963</v>
      </c>
      <c r="P2340" s="22" t="str">
        <f>HYPERLINK("https://ceds.ed.gov/cedselementdetails.aspx?termid=22629")</f>
        <v>https://ceds.ed.gov/cedselementdetails.aspx?termid=22629</v>
      </c>
      <c r="Q2340" s="22">
        <v>62864</v>
      </c>
    </row>
    <row r="2341" spans="1:17" ht="43.2" x14ac:dyDescent="0.3">
      <c r="A2341" s="22" t="s">
        <v>7839</v>
      </c>
      <c r="B2341" s="22" t="s">
        <v>7841</v>
      </c>
      <c r="C2341" s="22" t="s">
        <v>7730</v>
      </c>
      <c r="D2341" s="22" t="s">
        <v>7710</v>
      </c>
      <c r="E2341" s="22" t="s">
        <v>3968</v>
      </c>
      <c r="F2341" s="24" t="s">
        <v>3969</v>
      </c>
      <c r="G2341" s="23" t="s">
        <v>32</v>
      </c>
      <c r="H2341" s="22"/>
      <c r="I2341" s="22" t="s">
        <v>172</v>
      </c>
      <c r="J2341" s="22" t="s">
        <v>1518</v>
      </c>
      <c r="K2341" s="24" t="s">
        <v>7946</v>
      </c>
      <c r="L2341" s="24"/>
      <c r="M2341" s="25" t="s">
        <v>3970</v>
      </c>
      <c r="N2341" s="22"/>
      <c r="O2341" s="22" t="s">
        <v>3971</v>
      </c>
      <c r="P2341" s="22" t="str">
        <f>HYPERLINK("https://ceds.ed.gov/cedselementdetails.aspx?termid=22318")</f>
        <v>https://ceds.ed.gov/cedselementdetails.aspx?termid=22318</v>
      </c>
      <c r="Q2341" s="22">
        <v>62827</v>
      </c>
    </row>
    <row r="2342" spans="1:17" ht="57.6" x14ac:dyDescent="0.3">
      <c r="A2342" s="22" t="s">
        <v>7839</v>
      </c>
      <c r="B2342" s="22" t="s">
        <v>7841</v>
      </c>
      <c r="C2342" s="22" t="s">
        <v>7730</v>
      </c>
      <c r="D2342" s="22" t="s">
        <v>7710</v>
      </c>
      <c r="E2342" s="22" t="s">
        <v>3972</v>
      </c>
      <c r="F2342" s="24" t="s">
        <v>3973</v>
      </c>
      <c r="G2342" s="23" t="s">
        <v>32</v>
      </c>
      <c r="H2342" s="22"/>
      <c r="I2342" s="22" t="s">
        <v>172</v>
      </c>
      <c r="J2342" s="22" t="s">
        <v>1518</v>
      </c>
      <c r="K2342" s="24" t="s">
        <v>7946</v>
      </c>
      <c r="L2342" s="24" t="s">
        <v>3974</v>
      </c>
      <c r="M2342" s="25" t="s">
        <v>3975</v>
      </c>
      <c r="N2342" s="22"/>
      <c r="O2342" s="22" t="s">
        <v>3976</v>
      </c>
      <c r="P2342" s="22" t="str">
        <f>HYPERLINK("https://ceds.ed.gov/cedselementdetails.aspx?termid=22625")</f>
        <v>https://ceds.ed.gov/cedselementdetails.aspx?termid=22625</v>
      </c>
      <c r="Q2342" s="22">
        <v>62860</v>
      </c>
    </row>
    <row r="2343" spans="1:17" ht="43.2" x14ac:dyDescent="0.3">
      <c r="A2343" s="22" t="s">
        <v>7839</v>
      </c>
      <c r="B2343" s="22" t="s">
        <v>7841</v>
      </c>
      <c r="C2343" s="22" t="s">
        <v>7730</v>
      </c>
      <c r="D2343" s="22" t="s">
        <v>7710</v>
      </c>
      <c r="E2343" s="22" t="s">
        <v>3964</v>
      </c>
      <c r="F2343" s="24" t="s">
        <v>3965</v>
      </c>
      <c r="G2343" s="23" t="s">
        <v>32</v>
      </c>
      <c r="H2343" s="22"/>
      <c r="I2343" s="22" t="s">
        <v>172</v>
      </c>
      <c r="J2343" s="22" t="s">
        <v>1518</v>
      </c>
      <c r="K2343" s="24" t="s">
        <v>7946</v>
      </c>
      <c r="L2343" s="24"/>
      <c r="M2343" s="25" t="s">
        <v>3966</v>
      </c>
      <c r="N2343" s="22"/>
      <c r="O2343" s="22" t="s">
        <v>3967</v>
      </c>
      <c r="P2343" s="22" t="str">
        <f>HYPERLINK("https://ceds.ed.gov/cedselementdetails.aspx?termid=22317")</f>
        <v>https://ceds.ed.gov/cedselementdetails.aspx?termid=22317</v>
      </c>
      <c r="Q2343" s="22">
        <v>62826</v>
      </c>
    </row>
    <row r="2344" spans="1:17" ht="129.6" x14ac:dyDescent="0.3">
      <c r="A2344" s="22" t="s">
        <v>7839</v>
      </c>
      <c r="B2344" s="22" t="s">
        <v>7841</v>
      </c>
      <c r="C2344" s="22" t="s">
        <v>7730</v>
      </c>
      <c r="D2344" s="22" t="s">
        <v>7710</v>
      </c>
      <c r="E2344" s="22" t="s">
        <v>3977</v>
      </c>
      <c r="F2344" s="24" t="s">
        <v>3978</v>
      </c>
      <c r="G2344" s="23" t="s">
        <v>32</v>
      </c>
      <c r="H2344" s="22"/>
      <c r="I2344" s="22" t="s">
        <v>172</v>
      </c>
      <c r="J2344" s="22" t="s">
        <v>1518</v>
      </c>
      <c r="K2344" s="24" t="s">
        <v>7946</v>
      </c>
      <c r="L2344" s="24" t="s">
        <v>3979</v>
      </c>
      <c r="M2344" s="25" t="s">
        <v>3980</v>
      </c>
      <c r="N2344" s="22"/>
      <c r="O2344" s="22" t="s">
        <v>3981</v>
      </c>
      <c r="P2344" s="22" t="str">
        <f>HYPERLINK("https://ceds.ed.gov/cedselementdetails.aspx?termid=22628")</f>
        <v>https://ceds.ed.gov/cedselementdetails.aspx?termid=22628</v>
      </c>
      <c r="Q2344" s="22">
        <v>62863</v>
      </c>
    </row>
    <row r="2345" spans="1:17" ht="28.8" x14ac:dyDescent="0.3">
      <c r="A2345" s="22" t="s">
        <v>7839</v>
      </c>
      <c r="B2345" s="22" t="s">
        <v>7841</v>
      </c>
      <c r="C2345" s="22" t="s">
        <v>7730</v>
      </c>
      <c r="D2345" s="22" t="s">
        <v>7710</v>
      </c>
      <c r="E2345" s="22" t="s">
        <v>4058</v>
      </c>
      <c r="F2345" s="24" t="s">
        <v>4059</v>
      </c>
      <c r="G2345" s="23" t="s">
        <v>32</v>
      </c>
      <c r="H2345" s="22"/>
      <c r="I2345" s="22" t="s">
        <v>172</v>
      </c>
      <c r="J2345" s="22" t="s">
        <v>118</v>
      </c>
      <c r="K2345" s="24" t="s">
        <v>7946</v>
      </c>
      <c r="L2345" s="24"/>
      <c r="M2345" s="25" t="s">
        <v>4060</v>
      </c>
      <c r="N2345" s="22"/>
      <c r="O2345" s="22" t="s">
        <v>4061</v>
      </c>
      <c r="P2345" s="22" t="str">
        <f>HYPERLINK("https://ceds.ed.gov/cedselementdetails.aspx?termid=22623")</f>
        <v>https://ceds.ed.gov/cedselementdetails.aspx?termid=22623</v>
      </c>
      <c r="Q2345" s="22">
        <v>62858</v>
      </c>
    </row>
    <row r="2346" spans="1:17" ht="57.6" x14ac:dyDescent="0.3">
      <c r="A2346" s="22" t="s">
        <v>7839</v>
      </c>
      <c r="B2346" s="22" t="s">
        <v>7841</v>
      </c>
      <c r="C2346" s="22" t="s">
        <v>7730</v>
      </c>
      <c r="D2346" s="22" t="s">
        <v>7710</v>
      </c>
      <c r="E2346" s="22" t="s">
        <v>4062</v>
      </c>
      <c r="F2346" s="24" t="s">
        <v>4063</v>
      </c>
      <c r="G2346" s="23" t="s">
        <v>32</v>
      </c>
      <c r="H2346" s="22"/>
      <c r="I2346" s="22" t="s">
        <v>172</v>
      </c>
      <c r="J2346" s="22" t="s">
        <v>118</v>
      </c>
      <c r="K2346" s="24" t="s">
        <v>7946</v>
      </c>
      <c r="L2346" s="24" t="s">
        <v>143</v>
      </c>
      <c r="M2346" s="25" t="s">
        <v>4064</v>
      </c>
      <c r="N2346" s="22"/>
      <c r="O2346" s="22" t="s">
        <v>4065</v>
      </c>
      <c r="P2346" s="22" t="str">
        <f>HYPERLINK("https://ceds.ed.gov/cedselementdetails.aspx?termid=22624")</f>
        <v>https://ceds.ed.gov/cedselementdetails.aspx?termid=22624</v>
      </c>
      <c r="Q2346" s="22">
        <v>62859</v>
      </c>
    </row>
    <row r="2347" spans="1:17" ht="43.2" x14ac:dyDescent="0.3">
      <c r="A2347" s="22" t="s">
        <v>7839</v>
      </c>
      <c r="B2347" s="22" t="s">
        <v>7841</v>
      </c>
      <c r="C2347" s="22" t="s">
        <v>7730</v>
      </c>
      <c r="D2347" s="22" t="s">
        <v>7710</v>
      </c>
      <c r="E2347" s="22" t="s">
        <v>4066</v>
      </c>
      <c r="F2347" s="24" t="s">
        <v>8202</v>
      </c>
      <c r="G2347" s="23" t="s">
        <v>32</v>
      </c>
      <c r="H2347" s="22"/>
      <c r="I2347" s="22" t="s">
        <v>172</v>
      </c>
      <c r="J2347" s="22" t="s">
        <v>1844</v>
      </c>
      <c r="K2347" s="24" t="s">
        <v>8159</v>
      </c>
      <c r="L2347" s="24"/>
      <c r="M2347" s="25" t="s">
        <v>4067</v>
      </c>
      <c r="N2347" s="22"/>
      <c r="O2347" s="22" t="s">
        <v>4068</v>
      </c>
      <c r="P2347" s="22" t="str">
        <f>HYPERLINK("https://ceds.ed.gov/cedselementdetails.aspx?termid=22620")</f>
        <v>https://ceds.ed.gov/cedselementdetails.aspx?termid=22620</v>
      </c>
      <c r="Q2347" s="22">
        <v>62857</v>
      </c>
    </row>
    <row r="2348" spans="1:17" ht="409.6" x14ac:dyDescent="0.3">
      <c r="A2348" s="22" t="s">
        <v>7839</v>
      </c>
      <c r="B2348" s="22" t="s">
        <v>7841</v>
      </c>
      <c r="C2348" s="22" t="s">
        <v>7730</v>
      </c>
      <c r="D2348" s="22" t="s">
        <v>7710</v>
      </c>
      <c r="E2348" s="22" t="s">
        <v>4867</v>
      </c>
      <c r="F2348" s="24" t="s">
        <v>4868</v>
      </c>
      <c r="G2348" s="26" t="s">
        <v>8976</v>
      </c>
      <c r="H2348" s="22"/>
      <c r="I2348" s="22"/>
      <c r="J2348" s="22"/>
      <c r="K2348" s="24"/>
      <c r="L2348" s="24"/>
      <c r="M2348" s="25" t="s">
        <v>4870</v>
      </c>
      <c r="N2348" s="22"/>
      <c r="O2348" s="22" t="s">
        <v>4871</v>
      </c>
      <c r="P2348" s="22" t="str">
        <f>HYPERLINK("https://ceds.ed.gov/cedselementdetails.aspx?termid=22652")</f>
        <v>https://ceds.ed.gov/cedselementdetails.aspx?termid=22652</v>
      </c>
      <c r="Q2348" s="22">
        <v>62960</v>
      </c>
    </row>
    <row r="2349" spans="1:17" ht="172.8" x14ac:dyDescent="0.3">
      <c r="A2349" s="22" t="s">
        <v>7839</v>
      </c>
      <c r="B2349" s="22" t="s">
        <v>7841</v>
      </c>
      <c r="C2349" s="22" t="s">
        <v>7730</v>
      </c>
      <c r="D2349" s="22" t="s">
        <v>7710</v>
      </c>
      <c r="E2349" s="22" t="s">
        <v>4872</v>
      </c>
      <c r="F2349" s="24" t="s">
        <v>4873</v>
      </c>
      <c r="G2349" s="26" t="s">
        <v>8977</v>
      </c>
      <c r="H2349" s="22"/>
      <c r="I2349" s="22"/>
      <c r="J2349" s="22"/>
      <c r="K2349" s="24"/>
      <c r="L2349" s="24" t="s">
        <v>4874</v>
      </c>
      <c r="M2349" s="25" t="s">
        <v>4875</v>
      </c>
      <c r="N2349" s="22"/>
      <c r="O2349" s="22" t="s">
        <v>4876</v>
      </c>
      <c r="P2349" s="22" t="str">
        <f>HYPERLINK("https://ceds.ed.gov/cedselementdetails.aspx?termid=22640")</f>
        <v>https://ceds.ed.gov/cedselementdetails.aspx?termid=22640</v>
      </c>
      <c r="Q2349" s="22">
        <v>62961</v>
      </c>
    </row>
    <row r="2350" spans="1:17" ht="57.6" x14ac:dyDescent="0.3">
      <c r="A2350" s="22" t="s">
        <v>7839</v>
      </c>
      <c r="B2350" s="22" t="s">
        <v>7841</v>
      </c>
      <c r="C2350" s="22" t="s">
        <v>7730</v>
      </c>
      <c r="D2350" s="22" t="s">
        <v>7710</v>
      </c>
      <c r="E2350" s="22" t="s">
        <v>4877</v>
      </c>
      <c r="F2350" s="24" t="s">
        <v>4878</v>
      </c>
      <c r="G2350" s="26" t="s">
        <v>8978</v>
      </c>
      <c r="H2350" s="22"/>
      <c r="I2350" s="22"/>
      <c r="J2350" s="22"/>
      <c r="K2350" s="24"/>
      <c r="L2350" s="24"/>
      <c r="M2350" s="25" t="s">
        <v>4879</v>
      </c>
      <c r="N2350" s="22"/>
      <c r="O2350" s="22" t="s">
        <v>4880</v>
      </c>
      <c r="P2350" s="22" t="str">
        <f>HYPERLINK("https://ceds.ed.gov/cedselementdetails.aspx?termid=22661")</f>
        <v>https://ceds.ed.gov/cedselementdetails.aspx?termid=22661</v>
      </c>
      <c r="Q2350" s="22">
        <v>62962</v>
      </c>
    </row>
    <row r="2351" spans="1:17" ht="345.6" x14ac:dyDescent="0.3">
      <c r="A2351" s="22" t="s">
        <v>7839</v>
      </c>
      <c r="B2351" s="22" t="s">
        <v>7841</v>
      </c>
      <c r="C2351" s="22" t="s">
        <v>7730</v>
      </c>
      <c r="D2351" s="22" t="s">
        <v>7710</v>
      </c>
      <c r="E2351" s="22" t="s">
        <v>4881</v>
      </c>
      <c r="F2351" s="24" t="s">
        <v>4882</v>
      </c>
      <c r="G2351" s="26" t="s">
        <v>8979</v>
      </c>
      <c r="H2351" s="22"/>
      <c r="I2351" s="22"/>
      <c r="J2351" s="22"/>
      <c r="K2351" s="24"/>
      <c r="L2351" s="24"/>
      <c r="M2351" s="25" t="s">
        <v>4883</v>
      </c>
      <c r="N2351" s="22"/>
      <c r="O2351" s="22" t="s">
        <v>4884</v>
      </c>
      <c r="P2351" s="22" t="str">
        <f>HYPERLINK("https://ceds.ed.gov/cedselementdetails.aspx?termid=22654")</f>
        <v>https://ceds.ed.gov/cedselementdetails.aspx?termid=22654</v>
      </c>
      <c r="Q2351" s="22">
        <v>62963</v>
      </c>
    </row>
    <row r="2352" spans="1:17" ht="72" x14ac:dyDescent="0.3">
      <c r="A2352" s="22" t="s">
        <v>7839</v>
      </c>
      <c r="B2352" s="22" t="s">
        <v>7841</v>
      </c>
      <c r="C2352" s="22" t="s">
        <v>7730</v>
      </c>
      <c r="D2352" s="22" t="s">
        <v>7710</v>
      </c>
      <c r="E2352" s="22" t="s">
        <v>4885</v>
      </c>
      <c r="F2352" s="24" t="s">
        <v>4886</v>
      </c>
      <c r="G2352" s="26" t="s">
        <v>8980</v>
      </c>
      <c r="H2352" s="22"/>
      <c r="I2352" s="22"/>
      <c r="J2352" s="22"/>
      <c r="K2352" s="24"/>
      <c r="L2352" s="24"/>
      <c r="M2352" s="25" t="s">
        <v>4887</v>
      </c>
      <c r="N2352" s="22"/>
      <c r="O2352" s="22" t="s">
        <v>4888</v>
      </c>
      <c r="P2352" s="22" t="str">
        <f>HYPERLINK("https://ceds.ed.gov/cedselementdetails.aspx?termid=22655")</f>
        <v>https://ceds.ed.gov/cedselementdetails.aspx?termid=22655</v>
      </c>
      <c r="Q2352" s="22">
        <v>62964</v>
      </c>
    </row>
    <row r="2353" spans="1:17" ht="158.4" x14ac:dyDescent="0.3">
      <c r="A2353" s="22" t="s">
        <v>7839</v>
      </c>
      <c r="B2353" s="22" t="s">
        <v>7841</v>
      </c>
      <c r="C2353" s="22" t="s">
        <v>7730</v>
      </c>
      <c r="D2353" s="22" t="s">
        <v>7710</v>
      </c>
      <c r="E2353" s="22" t="s">
        <v>4889</v>
      </c>
      <c r="F2353" s="24" t="s">
        <v>4890</v>
      </c>
      <c r="G2353" s="26" t="s">
        <v>8981</v>
      </c>
      <c r="H2353" s="22"/>
      <c r="I2353" s="22"/>
      <c r="J2353" s="22"/>
      <c r="K2353" s="24"/>
      <c r="L2353" s="24"/>
      <c r="M2353" s="25" t="s">
        <v>4891</v>
      </c>
      <c r="N2353" s="22"/>
      <c r="O2353" s="22" t="s">
        <v>4892</v>
      </c>
      <c r="P2353" s="22" t="str">
        <f>HYPERLINK("https://ceds.ed.gov/cedselementdetails.aspx?termid=22659")</f>
        <v>https://ceds.ed.gov/cedselementdetails.aspx?termid=22659</v>
      </c>
      <c r="Q2353" s="22">
        <v>62965</v>
      </c>
    </row>
    <row r="2354" spans="1:17" ht="409.6" x14ac:dyDescent="0.3">
      <c r="A2354" s="22" t="s">
        <v>7839</v>
      </c>
      <c r="B2354" s="22" t="s">
        <v>7841</v>
      </c>
      <c r="C2354" s="22" t="s">
        <v>7730</v>
      </c>
      <c r="D2354" s="22" t="s">
        <v>7710</v>
      </c>
      <c r="E2354" s="22" t="s">
        <v>4893</v>
      </c>
      <c r="F2354" s="24" t="s">
        <v>4894</v>
      </c>
      <c r="G2354" s="26" t="s">
        <v>8982</v>
      </c>
      <c r="H2354" s="22"/>
      <c r="I2354" s="22"/>
      <c r="J2354" s="22"/>
      <c r="K2354" s="24"/>
      <c r="L2354" s="24"/>
      <c r="M2354" s="25" t="s">
        <v>4895</v>
      </c>
      <c r="N2354" s="22"/>
      <c r="O2354" s="22" t="s">
        <v>4896</v>
      </c>
      <c r="P2354" s="22" t="str">
        <f>HYPERLINK("https://ceds.ed.gov/cedselementdetails.aspx?termid=22651")</f>
        <v>https://ceds.ed.gov/cedselementdetails.aspx?termid=22651</v>
      </c>
      <c r="Q2354" s="22">
        <v>62966</v>
      </c>
    </row>
    <row r="2355" spans="1:17" ht="172.8" x14ac:dyDescent="0.3">
      <c r="A2355" s="22" t="s">
        <v>7839</v>
      </c>
      <c r="B2355" s="22" t="s">
        <v>7841</v>
      </c>
      <c r="C2355" s="22" t="s">
        <v>7730</v>
      </c>
      <c r="D2355" s="22" t="s">
        <v>7710</v>
      </c>
      <c r="E2355" s="22" t="s">
        <v>4897</v>
      </c>
      <c r="F2355" s="24" t="s">
        <v>4898</v>
      </c>
      <c r="G2355" s="26" t="s">
        <v>8983</v>
      </c>
      <c r="H2355" s="22"/>
      <c r="I2355" s="22"/>
      <c r="J2355" s="22"/>
      <c r="K2355" s="24"/>
      <c r="L2355" s="24" t="s">
        <v>4874</v>
      </c>
      <c r="M2355" s="25" t="s">
        <v>4899</v>
      </c>
      <c r="N2355" s="22"/>
      <c r="O2355" s="22" t="s">
        <v>4900</v>
      </c>
      <c r="P2355" s="22" t="str">
        <f>HYPERLINK("https://ceds.ed.gov/cedselementdetails.aspx?termid=22656")</f>
        <v>https://ceds.ed.gov/cedselementdetails.aspx?termid=22656</v>
      </c>
      <c r="Q2355" s="22">
        <v>62967</v>
      </c>
    </row>
    <row r="2356" spans="1:17" ht="409.6" x14ac:dyDescent="0.3">
      <c r="A2356" s="22" t="s">
        <v>7839</v>
      </c>
      <c r="B2356" s="22" t="s">
        <v>7841</v>
      </c>
      <c r="C2356" s="22" t="s">
        <v>7730</v>
      </c>
      <c r="D2356" s="22" t="s">
        <v>7710</v>
      </c>
      <c r="E2356" s="22" t="s">
        <v>4901</v>
      </c>
      <c r="F2356" s="24" t="s">
        <v>4902</v>
      </c>
      <c r="G2356" s="26" t="s">
        <v>8984</v>
      </c>
      <c r="H2356" s="22"/>
      <c r="I2356" s="22"/>
      <c r="J2356" s="22"/>
      <c r="K2356" s="24"/>
      <c r="L2356" s="24"/>
      <c r="M2356" s="25" t="s">
        <v>4903</v>
      </c>
      <c r="N2356" s="22"/>
      <c r="O2356" s="22" t="s">
        <v>4904</v>
      </c>
      <c r="P2356" s="22" t="str">
        <f>HYPERLINK("https://ceds.ed.gov/cedselementdetails.aspx?termid=22653")</f>
        <v>https://ceds.ed.gov/cedselementdetails.aspx?termid=22653</v>
      </c>
      <c r="Q2356" s="22">
        <v>62968</v>
      </c>
    </row>
    <row r="2357" spans="1:17" ht="187.2" x14ac:dyDescent="0.3">
      <c r="A2357" s="22" t="s">
        <v>7839</v>
      </c>
      <c r="B2357" s="22" t="s">
        <v>7841</v>
      </c>
      <c r="C2357" s="22" t="s">
        <v>7730</v>
      </c>
      <c r="D2357" s="22" t="s">
        <v>7710</v>
      </c>
      <c r="E2357" s="22" t="s">
        <v>4905</v>
      </c>
      <c r="F2357" s="24" t="s">
        <v>4906</v>
      </c>
      <c r="G2357" s="26" t="s">
        <v>8985</v>
      </c>
      <c r="H2357" s="22"/>
      <c r="I2357" s="22"/>
      <c r="J2357" s="22"/>
      <c r="K2357" s="24"/>
      <c r="L2357" s="24"/>
      <c r="M2357" s="25" t="s">
        <v>4907</v>
      </c>
      <c r="N2357" s="22"/>
      <c r="O2357" s="22" t="s">
        <v>4908</v>
      </c>
      <c r="P2357" s="22" t="str">
        <f>HYPERLINK("https://ceds.ed.gov/cedselementdetails.aspx?termid=22658")</f>
        <v>https://ceds.ed.gov/cedselementdetails.aspx?termid=22658</v>
      </c>
      <c r="Q2357" s="22">
        <v>62969</v>
      </c>
    </row>
    <row r="2358" spans="1:17" ht="86.4" x14ac:dyDescent="0.3">
      <c r="A2358" s="22" t="s">
        <v>7839</v>
      </c>
      <c r="B2358" s="22" t="s">
        <v>7841</v>
      </c>
      <c r="C2358" s="22" t="s">
        <v>7730</v>
      </c>
      <c r="D2358" s="22" t="s">
        <v>7710</v>
      </c>
      <c r="E2358" s="22" t="s">
        <v>4909</v>
      </c>
      <c r="F2358" s="24" t="s">
        <v>4910</v>
      </c>
      <c r="G2358" s="26" t="s">
        <v>8986</v>
      </c>
      <c r="H2358" s="22"/>
      <c r="I2358" s="22"/>
      <c r="J2358" s="22"/>
      <c r="K2358" s="24"/>
      <c r="L2358" s="24"/>
      <c r="M2358" s="25" t="s">
        <v>4911</v>
      </c>
      <c r="N2358" s="22"/>
      <c r="O2358" s="22" t="s">
        <v>4912</v>
      </c>
      <c r="P2358" s="22" t="str">
        <f>HYPERLINK("https://ceds.ed.gov/cedselementdetails.aspx?termid=22660")</f>
        <v>https://ceds.ed.gov/cedselementdetails.aspx?termid=22660</v>
      </c>
      <c r="Q2358" s="22">
        <v>62970</v>
      </c>
    </row>
    <row r="2359" spans="1:17" ht="115.2" x14ac:dyDescent="0.3">
      <c r="A2359" s="22" t="s">
        <v>7839</v>
      </c>
      <c r="B2359" s="22" t="s">
        <v>7841</v>
      </c>
      <c r="C2359" s="22" t="s">
        <v>7730</v>
      </c>
      <c r="D2359" s="22" t="s">
        <v>7710</v>
      </c>
      <c r="E2359" s="22" t="s">
        <v>4913</v>
      </c>
      <c r="F2359" s="24" t="s">
        <v>4914</v>
      </c>
      <c r="G2359" s="26" t="s">
        <v>8987</v>
      </c>
      <c r="H2359" s="22"/>
      <c r="I2359" s="22"/>
      <c r="J2359" s="22"/>
      <c r="K2359" s="24"/>
      <c r="L2359" s="24" t="s">
        <v>4915</v>
      </c>
      <c r="M2359" s="25" t="s">
        <v>4916</v>
      </c>
      <c r="N2359" s="22"/>
      <c r="O2359" s="22" t="s">
        <v>4917</v>
      </c>
      <c r="P2359" s="22" t="str">
        <f>HYPERLINK("https://ceds.ed.gov/cedselementdetails.aspx?termid=22657")</f>
        <v>https://ceds.ed.gov/cedselementdetails.aspx?termid=22657</v>
      </c>
      <c r="Q2359" s="22">
        <v>62971</v>
      </c>
    </row>
    <row r="2360" spans="1:17" ht="72" x14ac:dyDescent="0.3">
      <c r="A2360" s="22" t="s">
        <v>7839</v>
      </c>
      <c r="B2360" s="22" t="s">
        <v>7841</v>
      </c>
      <c r="C2360" s="22" t="s">
        <v>7842</v>
      </c>
      <c r="D2360" s="22" t="s">
        <v>7710</v>
      </c>
      <c r="E2360" s="22" t="s">
        <v>4771</v>
      </c>
      <c r="F2360" s="24" t="s">
        <v>4772</v>
      </c>
      <c r="G2360" s="23" t="s">
        <v>32</v>
      </c>
      <c r="H2360" s="24" t="s">
        <v>198</v>
      </c>
      <c r="I2360" s="22"/>
      <c r="J2360" s="22" t="s">
        <v>2888</v>
      </c>
      <c r="K2360" s="24"/>
      <c r="L2360" s="24"/>
      <c r="M2360" s="25" t="s">
        <v>4773</v>
      </c>
      <c r="N2360" s="22" t="s">
        <v>4774</v>
      </c>
      <c r="O2360" s="22" t="s">
        <v>4775</v>
      </c>
      <c r="P2360" s="22" t="str">
        <f>HYPERLINK("https://ceds.ed.gov/cedselementdetails.aspx?termid=21166")</f>
        <v>https://ceds.ed.gov/cedselementdetails.aspx?termid=21166</v>
      </c>
      <c r="Q2360" s="22">
        <v>58806</v>
      </c>
    </row>
    <row r="2361" spans="1:17" ht="72" x14ac:dyDescent="0.3">
      <c r="A2361" s="22" t="s">
        <v>7839</v>
      </c>
      <c r="B2361" s="22" t="s">
        <v>7841</v>
      </c>
      <c r="C2361" s="22" t="s">
        <v>7842</v>
      </c>
      <c r="D2361" s="22" t="s">
        <v>7710</v>
      </c>
      <c r="E2361" s="22" t="s">
        <v>7300</v>
      </c>
      <c r="F2361" s="24" t="s">
        <v>8345</v>
      </c>
      <c r="G2361" s="23" t="s">
        <v>32</v>
      </c>
      <c r="H2361" s="22" t="s">
        <v>1568</v>
      </c>
      <c r="I2361" s="22"/>
      <c r="J2361" s="22" t="s">
        <v>1518</v>
      </c>
      <c r="K2361" s="24"/>
      <c r="L2361" s="24" t="s">
        <v>7301</v>
      </c>
      <c r="M2361" s="25" t="s">
        <v>7302</v>
      </c>
      <c r="N2361" s="22"/>
      <c r="O2361" s="22" t="s">
        <v>7303</v>
      </c>
      <c r="P2361" s="22" t="str">
        <f>HYPERLINK("https://ceds.ed.gov/cedselementdetails.aspx?termid=21723")</f>
        <v>https://ceds.ed.gov/cedselementdetails.aspx?termid=21723</v>
      </c>
      <c r="Q2361" s="22">
        <v>60178</v>
      </c>
    </row>
    <row r="2362" spans="1:17" ht="86.4" x14ac:dyDescent="0.3">
      <c r="A2362" s="22" t="s">
        <v>7839</v>
      </c>
      <c r="B2362" s="22" t="s">
        <v>7841</v>
      </c>
      <c r="C2362" s="22" t="s">
        <v>7842</v>
      </c>
      <c r="D2362" s="22" t="s">
        <v>7710</v>
      </c>
      <c r="E2362" s="22" t="s">
        <v>7313</v>
      </c>
      <c r="F2362" s="24" t="s">
        <v>8346</v>
      </c>
      <c r="G2362" s="26" t="s">
        <v>9182</v>
      </c>
      <c r="H2362" s="22" t="s">
        <v>1568</v>
      </c>
      <c r="I2362" s="22"/>
      <c r="J2362" s="22"/>
      <c r="K2362" s="24"/>
      <c r="L2362" s="24" t="s">
        <v>368</v>
      </c>
      <c r="M2362" s="25" t="s">
        <v>7314</v>
      </c>
      <c r="N2362" s="22"/>
      <c r="O2362" s="22" t="s">
        <v>7315</v>
      </c>
      <c r="P2362" s="22" t="str">
        <f>HYPERLINK("https://ceds.ed.gov/cedselementdetails.aspx?termid=21725")</f>
        <v>https://ceds.ed.gov/cedselementdetails.aspx?termid=21725</v>
      </c>
      <c r="Q2362" s="22">
        <v>60179</v>
      </c>
    </row>
    <row r="2363" spans="1:17" ht="43.2" x14ac:dyDescent="0.3">
      <c r="A2363" s="22" t="s">
        <v>7839</v>
      </c>
      <c r="B2363" s="22" t="s">
        <v>7841</v>
      </c>
      <c r="C2363" s="22" t="s">
        <v>7842</v>
      </c>
      <c r="D2363" s="22" t="s">
        <v>7710</v>
      </c>
      <c r="E2363" s="22" t="s">
        <v>1564</v>
      </c>
      <c r="F2363" s="24" t="s">
        <v>1565</v>
      </c>
      <c r="G2363" s="23" t="s">
        <v>32</v>
      </c>
      <c r="H2363" s="22" t="s">
        <v>1568</v>
      </c>
      <c r="I2363" s="22"/>
      <c r="J2363" s="22" t="s">
        <v>1518</v>
      </c>
      <c r="K2363" s="24"/>
      <c r="L2363" s="24" t="s">
        <v>368</v>
      </c>
      <c r="M2363" s="25" t="s">
        <v>1566</v>
      </c>
      <c r="N2363" s="22"/>
      <c r="O2363" s="22" t="s">
        <v>1567</v>
      </c>
      <c r="P2363" s="22" t="str">
        <f>HYPERLINK("https://ceds.ed.gov/cedselementdetails.aspx?termid=21729")</f>
        <v>https://ceds.ed.gov/cedselementdetails.aspx?termid=21729</v>
      </c>
      <c r="Q2363" s="22">
        <v>60183</v>
      </c>
    </row>
    <row r="2364" spans="1:17" ht="57.6" x14ac:dyDescent="0.3">
      <c r="A2364" s="22" t="s">
        <v>7839</v>
      </c>
      <c r="B2364" s="22" t="s">
        <v>7841</v>
      </c>
      <c r="C2364" s="22" t="s">
        <v>7842</v>
      </c>
      <c r="D2364" s="22" t="s">
        <v>7710</v>
      </c>
      <c r="E2364" s="22" t="s">
        <v>6471</v>
      </c>
      <c r="F2364" s="24" t="s">
        <v>6472</v>
      </c>
      <c r="G2364" s="23" t="s">
        <v>32</v>
      </c>
      <c r="H2364" s="22" t="s">
        <v>1568</v>
      </c>
      <c r="I2364" s="22"/>
      <c r="J2364" s="22" t="s">
        <v>1518</v>
      </c>
      <c r="K2364" s="24"/>
      <c r="L2364" s="24" t="s">
        <v>368</v>
      </c>
      <c r="M2364" s="25" t="s">
        <v>6473</v>
      </c>
      <c r="N2364" s="22"/>
      <c r="O2364" s="22" t="s">
        <v>6474</v>
      </c>
      <c r="P2364" s="22" t="str">
        <f>HYPERLINK("https://ceds.ed.gov/cedselementdetails.aspx?termid=21728")</f>
        <v>https://ceds.ed.gov/cedselementdetails.aspx?termid=21728</v>
      </c>
      <c r="Q2364" s="22">
        <v>60182</v>
      </c>
    </row>
    <row r="2365" spans="1:17" ht="100.8" x14ac:dyDescent="0.3">
      <c r="A2365" s="22" t="s">
        <v>7839</v>
      </c>
      <c r="B2365" s="22" t="s">
        <v>7841</v>
      </c>
      <c r="C2365" s="22" t="s">
        <v>7842</v>
      </c>
      <c r="D2365" s="22" t="s">
        <v>7710</v>
      </c>
      <c r="E2365" s="22" t="s">
        <v>1569</v>
      </c>
      <c r="F2365" s="24" t="s">
        <v>1570</v>
      </c>
      <c r="G2365" s="23" t="s">
        <v>32</v>
      </c>
      <c r="H2365" s="22" t="s">
        <v>1568</v>
      </c>
      <c r="I2365" s="22"/>
      <c r="J2365" s="22" t="s">
        <v>1518</v>
      </c>
      <c r="K2365" s="24"/>
      <c r="L2365" s="24" t="s">
        <v>368</v>
      </c>
      <c r="M2365" s="25" t="s">
        <v>1571</v>
      </c>
      <c r="N2365" s="22"/>
      <c r="O2365" s="22" t="s">
        <v>1572</v>
      </c>
      <c r="P2365" s="22" t="str">
        <f>HYPERLINK("https://ceds.ed.gov/cedselementdetails.aspx?termid=21730")</f>
        <v>https://ceds.ed.gov/cedselementdetails.aspx?termid=21730</v>
      </c>
      <c r="Q2365" s="22">
        <v>60184</v>
      </c>
    </row>
    <row r="2366" spans="1:17" ht="72" x14ac:dyDescent="0.3">
      <c r="A2366" s="22" t="s">
        <v>7839</v>
      </c>
      <c r="B2366" s="22" t="s">
        <v>7841</v>
      </c>
      <c r="C2366" s="22" t="s">
        <v>7842</v>
      </c>
      <c r="D2366" s="22" t="s">
        <v>7710</v>
      </c>
      <c r="E2366" s="22" t="s">
        <v>6435</v>
      </c>
      <c r="F2366" s="24" t="s">
        <v>6436</v>
      </c>
      <c r="G2366" s="23" t="s">
        <v>32</v>
      </c>
      <c r="H2366" s="22" t="s">
        <v>1568</v>
      </c>
      <c r="I2366" s="22"/>
      <c r="J2366" s="22" t="s">
        <v>1518</v>
      </c>
      <c r="K2366" s="24"/>
      <c r="L2366" s="24" t="s">
        <v>368</v>
      </c>
      <c r="M2366" s="25" t="s">
        <v>6437</v>
      </c>
      <c r="N2366" s="22"/>
      <c r="O2366" s="22" t="s">
        <v>6438</v>
      </c>
      <c r="P2366" s="22" t="str">
        <f>HYPERLINK("https://ceds.ed.gov/cedselementdetails.aspx?termid=21726")</f>
        <v>https://ceds.ed.gov/cedselementdetails.aspx?termid=21726</v>
      </c>
      <c r="Q2366" s="22">
        <v>60180</v>
      </c>
    </row>
    <row r="2367" spans="1:17" ht="72" x14ac:dyDescent="0.3">
      <c r="A2367" s="22" t="s">
        <v>7839</v>
      </c>
      <c r="B2367" s="22" t="s">
        <v>7841</v>
      </c>
      <c r="C2367" s="22" t="s">
        <v>7842</v>
      </c>
      <c r="D2367" s="22" t="s">
        <v>7710</v>
      </c>
      <c r="E2367" s="22" t="s">
        <v>2455</v>
      </c>
      <c r="F2367" s="24" t="s">
        <v>2456</v>
      </c>
      <c r="G2367" s="23" t="s">
        <v>32</v>
      </c>
      <c r="H2367" s="22" t="s">
        <v>1568</v>
      </c>
      <c r="I2367" s="22"/>
      <c r="J2367" s="22" t="s">
        <v>1518</v>
      </c>
      <c r="K2367" s="24"/>
      <c r="L2367" s="24" t="s">
        <v>368</v>
      </c>
      <c r="M2367" s="25" t="s">
        <v>2457</v>
      </c>
      <c r="N2367" s="22"/>
      <c r="O2367" s="22" t="s">
        <v>2458</v>
      </c>
      <c r="P2367" s="22" t="str">
        <f>HYPERLINK("https://ceds.ed.gov/cedselementdetails.aspx?termid=21733")</f>
        <v>https://ceds.ed.gov/cedselementdetails.aspx?termid=21733</v>
      </c>
      <c r="Q2367" s="22">
        <v>60187</v>
      </c>
    </row>
    <row r="2368" spans="1:17" ht="57.6" x14ac:dyDescent="0.3">
      <c r="A2368" s="22" t="s">
        <v>7839</v>
      </c>
      <c r="B2368" s="22" t="s">
        <v>7841</v>
      </c>
      <c r="C2368" s="22" t="s">
        <v>7842</v>
      </c>
      <c r="D2368" s="22" t="s">
        <v>7710</v>
      </c>
      <c r="E2368" s="22" t="s">
        <v>5757</v>
      </c>
      <c r="F2368" s="24" t="s">
        <v>5758</v>
      </c>
      <c r="G2368" s="23" t="s">
        <v>32</v>
      </c>
      <c r="H2368" s="22" t="s">
        <v>1568</v>
      </c>
      <c r="I2368" s="22"/>
      <c r="J2368" s="22" t="s">
        <v>1518</v>
      </c>
      <c r="K2368" s="24"/>
      <c r="L2368" s="24" t="s">
        <v>368</v>
      </c>
      <c r="M2368" s="25" t="s">
        <v>5759</v>
      </c>
      <c r="N2368" s="22"/>
      <c r="O2368" s="22" t="s">
        <v>5760</v>
      </c>
      <c r="P2368" s="22" t="str">
        <f>HYPERLINK("https://ceds.ed.gov/cedselementdetails.aspx?termid=21731")</f>
        <v>https://ceds.ed.gov/cedselementdetails.aspx?termid=21731</v>
      </c>
      <c r="Q2368" s="22">
        <v>60185</v>
      </c>
    </row>
    <row r="2369" spans="1:17" ht="158.4" x14ac:dyDescent="0.3">
      <c r="A2369" s="22" t="s">
        <v>7839</v>
      </c>
      <c r="B2369" s="22" t="s">
        <v>7841</v>
      </c>
      <c r="C2369" s="22" t="s">
        <v>7842</v>
      </c>
      <c r="D2369" s="22" t="s">
        <v>7710</v>
      </c>
      <c r="E2369" s="22" t="s">
        <v>5948</v>
      </c>
      <c r="F2369" s="24" t="s">
        <v>5949</v>
      </c>
      <c r="G2369" s="23" t="s">
        <v>32</v>
      </c>
      <c r="H2369" s="22" t="s">
        <v>1568</v>
      </c>
      <c r="I2369" s="22"/>
      <c r="J2369" s="22" t="s">
        <v>1518</v>
      </c>
      <c r="K2369" s="24"/>
      <c r="L2369" s="24" t="s">
        <v>368</v>
      </c>
      <c r="M2369" s="25" t="s">
        <v>5950</v>
      </c>
      <c r="N2369" s="22"/>
      <c r="O2369" s="22" t="s">
        <v>5951</v>
      </c>
      <c r="P2369" s="22" t="str">
        <f>HYPERLINK("https://ceds.ed.gov/cedselementdetails.aspx?termid=21732")</f>
        <v>https://ceds.ed.gov/cedselementdetails.aspx?termid=21732</v>
      </c>
      <c r="Q2369" s="22">
        <v>60186</v>
      </c>
    </row>
    <row r="2370" spans="1:17" ht="100.8" x14ac:dyDescent="0.3">
      <c r="A2370" s="22" t="s">
        <v>7839</v>
      </c>
      <c r="B2370" s="22" t="s">
        <v>7841</v>
      </c>
      <c r="C2370" s="22" t="s">
        <v>7842</v>
      </c>
      <c r="D2370" s="22" t="s">
        <v>7710</v>
      </c>
      <c r="E2370" s="22" t="s">
        <v>4780</v>
      </c>
      <c r="F2370" s="24" t="s">
        <v>4781</v>
      </c>
      <c r="G2370" s="26" t="s">
        <v>22</v>
      </c>
      <c r="H2370" s="22" t="s">
        <v>1568</v>
      </c>
      <c r="I2370" s="22"/>
      <c r="J2370" s="22"/>
      <c r="K2370" s="24"/>
      <c r="L2370" s="24" t="s">
        <v>368</v>
      </c>
      <c r="M2370" s="25" t="s">
        <v>4782</v>
      </c>
      <c r="N2370" s="22"/>
      <c r="O2370" s="22" t="s">
        <v>4783</v>
      </c>
      <c r="P2370" s="22" t="str">
        <f>HYPERLINK("https://ceds.ed.gov/cedselementdetails.aspx?termid=21727")</f>
        <v>https://ceds.ed.gov/cedselementdetails.aspx?termid=21727</v>
      </c>
      <c r="Q2370" s="22">
        <v>60181</v>
      </c>
    </row>
    <row r="2371" spans="1:17" ht="86.4" x14ac:dyDescent="0.3">
      <c r="A2371" s="22" t="s">
        <v>7839</v>
      </c>
      <c r="B2371" s="22" t="s">
        <v>7841</v>
      </c>
      <c r="C2371" s="22" t="s">
        <v>7842</v>
      </c>
      <c r="D2371" s="22" t="s">
        <v>7710</v>
      </c>
      <c r="E2371" s="22" t="s">
        <v>237</v>
      </c>
      <c r="F2371" s="24" t="s">
        <v>238</v>
      </c>
      <c r="G2371" s="26" t="s">
        <v>8581</v>
      </c>
      <c r="H2371" s="22" t="s">
        <v>242</v>
      </c>
      <c r="I2371" s="22"/>
      <c r="J2371" s="22"/>
      <c r="K2371" s="24"/>
      <c r="L2371" s="24"/>
      <c r="M2371" s="25" t="s">
        <v>240</v>
      </c>
      <c r="N2371" s="22"/>
      <c r="O2371" s="22" t="s">
        <v>241</v>
      </c>
      <c r="P2371" s="22" t="str">
        <f>HYPERLINK("https://ceds.ed.gov/cedselementdetails.aspx?termid=22558")</f>
        <v>https://ceds.ed.gov/cedselementdetails.aspx?termid=22558</v>
      </c>
      <c r="Q2371" s="22">
        <v>62034</v>
      </c>
    </row>
    <row r="2372" spans="1:17" ht="201.6" x14ac:dyDescent="0.3">
      <c r="A2372" s="22" t="s">
        <v>7839</v>
      </c>
      <c r="B2372" s="22" t="s">
        <v>7841</v>
      </c>
      <c r="C2372" s="22" t="s">
        <v>7842</v>
      </c>
      <c r="D2372" s="22" t="s">
        <v>7710</v>
      </c>
      <c r="E2372" s="22" t="s">
        <v>243</v>
      </c>
      <c r="F2372" s="24" t="s">
        <v>244</v>
      </c>
      <c r="G2372" s="26" t="s">
        <v>8582</v>
      </c>
      <c r="H2372" s="22" t="s">
        <v>242</v>
      </c>
      <c r="I2372" s="22"/>
      <c r="J2372" s="22"/>
      <c r="K2372" s="24"/>
      <c r="L2372" s="24"/>
      <c r="M2372" s="25" t="s">
        <v>245</v>
      </c>
      <c r="N2372" s="22"/>
      <c r="O2372" s="22" t="s">
        <v>246</v>
      </c>
      <c r="P2372" s="22" t="str">
        <f>HYPERLINK("https://ceds.ed.gov/cedselementdetails.aspx?termid=22559")</f>
        <v>https://ceds.ed.gov/cedselementdetails.aspx?termid=22559</v>
      </c>
      <c r="Q2372" s="22">
        <v>62035</v>
      </c>
    </row>
    <row r="2373" spans="1:17" ht="129.6" x14ac:dyDescent="0.3">
      <c r="A2373" s="22" t="s">
        <v>7839</v>
      </c>
      <c r="B2373" s="22" t="s">
        <v>7841</v>
      </c>
      <c r="C2373" s="22" t="s">
        <v>7842</v>
      </c>
      <c r="D2373" s="22" t="s">
        <v>7710</v>
      </c>
      <c r="E2373" s="22" t="s">
        <v>4864</v>
      </c>
      <c r="F2373" s="24" t="s">
        <v>8230</v>
      </c>
      <c r="G2373" s="23" t="s">
        <v>32</v>
      </c>
      <c r="H2373" s="22" t="s">
        <v>242</v>
      </c>
      <c r="I2373" s="22"/>
      <c r="J2373" s="22" t="s">
        <v>79</v>
      </c>
      <c r="K2373" s="24"/>
      <c r="L2373" s="24"/>
      <c r="M2373" s="25" t="s">
        <v>4865</v>
      </c>
      <c r="N2373" s="22"/>
      <c r="O2373" s="22" t="s">
        <v>4866</v>
      </c>
      <c r="P2373" s="22" t="str">
        <f>HYPERLINK("https://ceds.ed.gov/cedselementdetails.aspx?termid=22592")</f>
        <v>https://ceds.ed.gov/cedselementdetails.aspx?termid=22592</v>
      </c>
      <c r="Q2373" s="22">
        <v>62086</v>
      </c>
    </row>
    <row r="2374" spans="1:17" ht="172.8" x14ac:dyDescent="0.3">
      <c r="A2374" s="22" t="s">
        <v>7839</v>
      </c>
      <c r="B2374" s="22" t="s">
        <v>7841</v>
      </c>
      <c r="C2374" s="22" t="s">
        <v>7764</v>
      </c>
      <c r="D2374" s="22" t="s">
        <v>7710</v>
      </c>
      <c r="E2374" s="22" t="s">
        <v>6174</v>
      </c>
      <c r="F2374" s="24" t="s">
        <v>6175</v>
      </c>
      <c r="G2374" s="23" t="s">
        <v>32</v>
      </c>
      <c r="H2374" s="22" t="s">
        <v>2608</v>
      </c>
      <c r="I2374" s="22" t="s">
        <v>172</v>
      </c>
      <c r="J2374" s="22" t="s">
        <v>132</v>
      </c>
      <c r="K2374" s="24" t="s">
        <v>8282</v>
      </c>
      <c r="L2374" s="24" t="s">
        <v>7945</v>
      </c>
      <c r="M2374" s="25" t="s">
        <v>6176</v>
      </c>
      <c r="N2374" s="22"/>
      <c r="O2374" s="22" t="s">
        <v>6177</v>
      </c>
      <c r="P2374" s="22" t="str">
        <f>HYPERLINK("https://ceds.ed.gov/cedselementdetails.aspx?termid=21618")</f>
        <v>https://ceds.ed.gov/cedselementdetails.aspx?termid=21618</v>
      </c>
      <c r="Q2374" s="22">
        <v>62007</v>
      </c>
    </row>
    <row r="2375" spans="1:17" ht="43.2" x14ac:dyDescent="0.3">
      <c r="A2375" s="22" t="s">
        <v>7839</v>
      </c>
      <c r="B2375" s="22" t="s">
        <v>7841</v>
      </c>
      <c r="C2375" s="22" t="s">
        <v>7843</v>
      </c>
      <c r="D2375" s="22" t="s">
        <v>7710</v>
      </c>
      <c r="E2375" s="22" t="s">
        <v>6206</v>
      </c>
      <c r="F2375" s="24" t="s">
        <v>6207</v>
      </c>
      <c r="G2375" s="26" t="s">
        <v>22</v>
      </c>
      <c r="H2375" s="22" t="s">
        <v>109</v>
      </c>
      <c r="I2375" s="22"/>
      <c r="J2375" s="22"/>
      <c r="K2375" s="24"/>
      <c r="L2375" s="24"/>
      <c r="M2375" s="25" t="s">
        <v>6208</v>
      </c>
      <c r="N2375" s="22"/>
      <c r="O2375" s="22" t="s">
        <v>6209</v>
      </c>
      <c r="P2375" s="22" t="str">
        <f>HYPERLINK("https://ceds.ed.gov/cedselementdetails.aspx?termid=21856")</f>
        <v>https://ceds.ed.gov/cedselementdetails.aspx?termid=21856</v>
      </c>
      <c r="Q2375" s="22">
        <v>63595</v>
      </c>
    </row>
    <row r="2376" spans="1:17" ht="43.2" x14ac:dyDescent="0.3">
      <c r="A2376" s="22" t="s">
        <v>7839</v>
      </c>
      <c r="B2376" s="22" t="s">
        <v>7841</v>
      </c>
      <c r="C2376" s="22" t="s">
        <v>7764</v>
      </c>
      <c r="D2376" s="22" t="s">
        <v>7710</v>
      </c>
      <c r="E2376" s="22" t="s">
        <v>6189</v>
      </c>
      <c r="F2376" s="24" t="s">
        <v>6190</v>
      </c>
      <c r="G2376" s="23" t="s">
        <v>32</v>
      </c>
      <c r="H2376" s="22" t="s">
        <v>2608</v>
      </c>
      <c r="I2376" s="22" t="s">
        <v>172</v>
      </c>
      <c r="J2376" s="22" t="s">
        <v>157</v>
      </c>
      <c r="K2376" s="24" t="s">
        <v>8282</v>
      </c>
      <c r="L2376" s="24"/>
      <c r="M2376" s="25" t="s">
        <v>6191</v>
      </c>
      <c r="N2376" s="22"/>
      <c r="O2376" s="22" t="s">
        <v>6192</v>
      </c>
      <c r="P2376" s="22" t="str">
        <f>HYPERLINK("https://ceds.ed.gov/cedselementdetails.aspx?termid=21619")</f>
        <v>https://ceds.ed.gov/cedselementdetails.aspx?termid=21619</v>
      </c>
      <c r="Q2376" s="22">
        <v>62013</v>
      </c>
    </row>
    <row r="2377" spans="1:17" ht="43.2" x14ac:dyDescent="0.3">
      <c r="A2377" s="22" t="s">
        <v>7839</v>
      </c>
      <c r="B2377" s="22" t="s">
        <v>7841</v>
      </c>
      <c r="C2377" s="22" t="s">
        <v>7843</v>
      </c>
      <c r="D2377" s="22" t="s">
        <v>7710</v>
      </c>
      <c r="E2377" s="22" t="s">
        <v>6218</v>
      </c>
      <c r="F2377" s="24" t="s">
        <v>6219</v>
      </c>
      <c r="G2377" s="26" t="s">
        <v>22</v>
      </c>
      <c r="H2377" s="22" t="s">
        <v>109</v>
      </c>
      <c r="I2377" s="22"/>
      <c r="J2377" s="22"/>
      <c r="K2377" s="24"/>
      <c r="L2377" s="24"/>
      <c r="M2377" s="25" t="s">
        <v>6220</v>
      </c>
      <c r="N2377" s="22"/>
      <c r="O2377" s="22" t="s">
        <v>6221</v>
      </c>
      <c r="P2377" s="22" t="str">
        <f>HYPERLINK("https://ceds.ed.gov/cedselementdetails.aspx?termid=21853")</f>
        <v>https://ceds.ed.gov/cedselementdetails.aspx?termid=21853</v>
      </c>
      <c r="Q2377" s="22">
        <v>63596</v>
      </c>
    </row>
    <row r="2378" spans="1:17" ht="57.6" x14ac:dyDescent="0.3">
      <c r="A2378" s="22" t="s">
        <v>7839</v>
      </c>
      <c r="B2378" s="22" t="s">
        <v>7841</v>
      </c>
      <c r="C2378" s="22" t="s">
        <v>7764</v>
      </c>
      <c r="D2378" s="22" t="s">
        <v>7710</v>
      </c>
      <c r="E2378" s="22" t="s">
        <v>6181</v>
      </c>
      <c r="F2378" s="24" t="s">
        <v>6182</v>
      </c>
      <c r="G2378" s="23" t="s">
        <v>32</v>
      </c>
      <c r="H2378" s="22" t="s">
        <v>242</v>
      </c>
      <c r="I2378" s="22"/>
      <c r="J2378" s="22" t="s">
        <v>1518</v>
      </c>
      <c r="K2378" s="24"/>
      <c r="L2378" s="24"/>
      <c r="M2378" s="25" t="s">
        <v>6183</v>
      </c>
      <c r="N2378" s="22"/>
      <c r="O2378" s="22" t="s">
        <v>6184</v>
      </c>
      <c r="P2378" s="22" t="str">
        <f>HYPERLINK("https://ceds.ed.gov/cedselementdetails.aspx?termid=21223")</f>
        <v>https://ceds.ed.gov/cedselementdetails.aspx?termid=21223</v>
      </c>
      <c r="Q2378" s="22">
        <v>61988</v>
      </c>
    </row>
    <row r="2379" spans="1:17" ht="43.2" x14ac:dyDescent="0.3">
      <c r="A2379" s="22" t="s">
        <v>7839</v>
      </c>
      <c r="B2379" s="22" t="s">
        <v>7841</v>
      </c>
      <c r="C2379" s="22" t="s">
        <v>7764</v>
      </c>
      <c r="D2379" s="22" t="s">
        <v>7710</v>
      </c>
      <c r="E2379" s="22" t="s">
        <v>6185</v>
      </c>
      <c r="F2379" s="24" t="s">
        <v>6186</v>
      </c>
      <c r="G2379" s="26" t="s">
        <v>8970</v>
      </c>
      <c r="H2379" s="22" t="s">
        <v>242</v>
      </c>
      <c r="I2379" s="22"/>
      <c r="J2379" s="22"/>
      <c r="K2379" s="24"/>
      <c r="L2379" s="24"/>
      <c r="M2379" s="25" t="s">
        <v>6187</v>
      </c>
      <c r="N2379" s="22"/>
      <c r="O2379" s="22" t="s">
        <v>6188</v>
      </c>
      <c r="P2379" s="22" t="str">
        <f>HYPERLINK("https://ceds.ed.gov/cedselementdetails.aspx?termid=21224")</f>
        <v>https://ceds.ed.gov/cedselementdetails.aspx?termid=21224</v>
      </c>
      <c r="Q2379" s="22">
        <v>61990</v>
      </c>
    </row>
    <row r="2380" spans="1:17" ht="72" x14ac:dyDescent="0.3">
      <c r="A2380" s="22" t="s">
        <v>7839</v>
      </c>
      <c r="B2380" s="22" t="s">
        <v>7841</v>
      </c>
      <c r="C2380" s="22" t="s">
        <v>7764</v>
      </c>
      <c r="D2380" s="22" t="s">
        <v>7710</v>
      </c>
      <c r="E2380" s="22" t="s">
        <v>2082</v>
      </c>
      <c r="F2380" s="24" t="s">
        <v>2083</v>
      </c>
      <c r="G2380" s="23" t="s">
        <v>7422</v>
      </c>
      <c r="H2380" s="24" t="s">
        <v>42</v>
      </c>
      <c r="I2380" s="22"/>
      <c r="J2380" s="22"/>
      <c r="K2380" s="24"/>
      <c r="L2380" s="24"/>
      <c r="M2380" s="25" t="s">
        <v>2085</v>
      </c>
      <c r="N2380" s="22" t="s">
        <v>2086</v>
      </c>
      <c r="O2380" s="22" t="s">
        <v>2087</v>
      </c>
      <c r="P2380" s="22" t="str">
        <f>HYPERLINK("https://ceds.ed.gov/cedselementdetails.aspx?termid=21043")</f>
        <v>https://ceds.ed.gov/cedselementdetails.aspx?termid=21043</v>
      </c>
      <c r="Q2380" s="22">
        <v>61951</v>
      </c>
    </row>
    <row r="2381" spans="1:17" ht="72" x14ac:dyDescent="0.3">
      <c r="A2381" s="22" t="s">
        <v>7839</v>
      </c>
      <c r="B2381" s="22" t="s">
        <v>7841</v>
      </c>
      <c r="C2381" s="22" t="s">
        <v>7764</v>
      </c>
      <c r="D2381" s="22" t="s">
        <v>7710</v>
      </c>
      <c r="E2381" s="22" t="s">
        <v>2088</v>
      </c>
      <c r="F2381" s="24" t="s">
        <v>2089</v>
      </c>
      <c r="G2381" s="26" t="s">
        <v>8727</v>
      </c>
      <c r="H2381" s="24" t="s">
        <v>198</v>
      </c>
      <c r="I2381" s="22"/>
      <c r="J2381" s="22"/>
      <c r="K2381" s="24"/>
      <c r="L2381" s="24"/>
      <c r="M2381" s="25" t="s">
        <v>2091</v>
      </c>
      <c r="N2381" s="22" t="s">
        <v>2092</v>
      </c>
      <c r="O2381" s="22" t="s">
        <v>2093</v>
      </c>
      <c r="P2381" s="22" t="str">
        <f>HYPERLINK("https://ceds.ed.gov/cedselementdetails.aspx?termid=21044")</f>
        <v>https://ceds.ed.gov/cedselementdetails.aspx?termid=21044</v>
      </c>
      <c r="Q2381" s="22">
        <v>61958</v>
      </c>
    </row>
    <row r="2382" spans="1:17" ht="86.4" x14ac:dyDescent="0.3">
      <c r="A2382" s="22" t="s">
        <v>7839</v>
      </c>
      <c r="B2382" s="22" t="s">
        <v>7841</v>
      </c>
      <c r="C2382" s="22" t="s">
        <v>7764</v>
      </c>
      <c r="D2382" s="22" t="s">
        <v>7710</v>
      </c>
      <c r="E2382" s="22" t="s">
        <v>2094</v>
      </c>
      <c r="F2382" s="24" t="s">
        <v>2095</v>
      </c>
      <c r="G2382" s="26" t="s">
        <v>8728</v>
      </c>
      <c r="H2382" s="24" t="s">
        <v>198</v>
      </c>
      <c r="I2382" s="22"/>
      <c r="J2382" s="22"/>
      <c r="K2382" s="24"/>
      <c r="L2382" s="24"/>
      <c r="M2382" s="25" t="s">
        <v>2097</v>
      </c>
      <c r="N2382" s="22" t="s">
        <v>2098</v>
      </c>
      <c r="O2382" s="22" t="s">
        <v>2099</v>
      </c>
      <c r="P2382" s="22" t="str">
        <f>HYPERLINK("https://ceds.ed.gov/cedselementdetails.aspx?termid=21045")</f>
        <v>https://ceds.ed.gov/cedselementdetails.aspx?termid=21045</v>
      </c>
      <c r="Q2382" s="22">
        <v>61959</v>
      </c>
    </row>
    <row r="2383" spans="1:17" ht="158.4" x14ac:dyDescent="0.3">
      <c r="A2383" s="22" t="s">
        <v>7839</v>
      </c>
      <c r="B2383" s="22" t="s">
        <v>7841</v>
      </c>
      <c r="C2383" s="22" t="s">
        <v>7764</v>
      </c>
      <c r="D2383" s="22" t="s">
        <v>7710</v>
      </c>
      <c r="E2383" s="22" t="s">
        <v>3223</v>
      </c>
      <c r="F2383" s="24" t="s">
        <v>3224</v>
      </c>
      <c r="G2383" s="26" t="s">
        <v>22</v>
      </c>
      <c r="H2383" s="22"/>
      <c r="I2383" s="22"/>
      <c r="J2383" s="22"/>
      <c r="K2383" s="24"/>
      <c r="L2383" s="24" t="s">
        <v>3219</v>
      </c>
      <c r="M2383" s="25" t="s">
        <v>3226</v>
      </c>
      <c r="N2383" s="22"/>
      <c r="O2383" s="22" t="s">
        <v>3227</v>
      </c>
      <c r="P2383" s="22" t="str">
        <f>HYPERLINK("https://ceds.ed.gov/cedselementdetails.aspx?termid=22289")</f>
        <v>https://ceds.ed.gov/cedselementdetails.aspx?termid=22289</v>
      </c>
      <c r="Q2383" s="22">
        <v>62032</v>
      </c>
    </row>
    <row r="2384" spans="1:17" ht="187.2" x14ac:dyDescent="0.3">
      <c r="A2384" s="22" t="s">
        <v>7839</v>
      </c>
      <c r="B2384" s="22" t="s">
        <v>7841</v>
      </c>
      <c r="C2384" s="22" t="s">
        <v>7764</v>
      </c>
      <c r="D2384" s="22" t="s">
        <v>7710</v>
      </c>
      <c r="E2384" s="22" t="s">
        <v>5583</v>
      </c>
      <c r="F2384" s="24" t="s">
        <v>5584</v>
      </c>
      <c r="G2384" s="23" t="s">
        <v>32</v>
      </c>
      <c r="H2384" s="24" t="s">
        <v>198</v>
      </c>
      <c r="I2384" s="22"/>
      <c r="J2384" s="22" t="s">
        <v>157</v>
      </c>
      <c r="K2384" s="24"/>
      <c r="L2384" s="24"/>
      <c r="M2384" s="25" t="s">
        <v>5585</v>
      </c>
      <c r="N2384" s="22"/>
      <c r="O2384" s="22" t="s">
        <v>5586</v>
      </c>
      <c r="P2384" s="22" t="str">
        <f>HYPERLINK("https://ceds.ed.gov/cedselementdetails.aspx?termid=21197")</f>
        <v>https://ceds.ed.gov/cedselementdetails.aspx?termid=21197</v>
      </c>
      <c r="Q2384" s="22">
        <v>61978</v>
      </c>
    </row>
    <row r="2385" spans="1:17" ht="86.4" x14ac:dyDescent="0.3">
      <c r="A2385" s="22" t="s">
        <v>7839</v>
      </c>
      <c r="B2385" s="22" t="s">
        <v>7841</v>
      </c>
      <c r="C2385" s="22" t="s">
        <v>7764</v>
      </c>
      <c r="D2385" s="22" t="s">
        <v>7710</v>
      </c>
      <c r="E2385" s="22" t="s">
        <v>5587</v>
      </c>
      <c r="F2385" s="24" t="s">
        <v>5588</v>
      </c>
      <c r="G2385" s="26" t="s">
        <v>9043</v>
      </c>
      <c r="H2385" s="24" t="s">
        <v>198</v>
      </c>
      <c r="I2385" s="22"/>
      <c r="J2385" s="22"/>
      <c r="K2385" s="24"/>
      <c r="L2385" s="24"/>
      <c r="M2385" s="25" t="s">
        <v>5589</v>
      </c>
      <c r="N2385" s="22"/>
      <c r="O2385" s="22" t="s">
        <v>5590</v>
      </c>
      <c r="P2385" s="22" t="str">
        <f>HYPERLINK("https://ceds.ed.gov/cedselementdetails.aspx?termid=21198")</f>
        <v>https://ceds.ed.gov/cedselementdetails.aspx?termid=21198</v>
      </c>
      <c r="Q2385" s="22">
        <v>61980</v>
      </c>
    </row>
    <row r="2386" spans="1:17" ht="72" x14ac:dyDescent="0.3">
      <c r="A2386" s="22" t="s">
        <v>7839</v>
      </c>
      <c r="B2386" s="22" t="s">
        <v>7841</v>
      </c>
      <c r="C2386" s="22" t="s">
        <v>7764</v>
      </c>
      <c r="D2386" s="22" t="s">
        <v>7710</v>
      </c>
      <c r="E2386" s="22" t="s">
        <v>5909</v>
      </c>
      <c r="F2386" s="24" t="s">
        <v>5910</v>
      </c>
      <c r="G2386" s="26" t="s">
        <v>9070</v>
      </c>
      <c r="H2386" s="24" t="s">
        <v>5913</v>
      </c>
      <c r="I2386" s="22"/>
      <c r="J2386" s="22"/>
      <c r="K2386" s="24"/>
      <c r="L2386" s="24"/>
      <c r="M2386" s="25" t="s">
        <v>5911</v>
      </c>
      <c r="N2386" s="22"/>
      <c r="O2386" s="22" t="s">
        <v>5912</v>
      </c>
      <c r="P2386" s="22" t="str">
        <f>HYPERLINK("https://ceds.ed.gov/cedselementdetails.aspx?termid=22595")</f>
        <v>https://ceds.ed.gov/cedselementdetails.aspx?termid=22595</v>
      </c>
      <c r="Q2386" s="22">
        <v>62092</v>
      </c>
    </row>
    <row r="2387" spans="1:17" ht="409.6" x14ac:dyDescent="0.3">
      <c r="A2387" s="22" t="s">
        <v>7839</v>
      </c>
      <c r="B2387" s="22" t="s">
        <v>7841</v>
      </c>
      <c r="C2387" s="22" t="s">
        <v>7764</v>
      </c>
      <c r="D2387" s="22" t="s">
        <v>7710</v>
      </c>
      <c r="E2387" s="22" t="s">
        <v>7048</v>
      </c>
      <c r="F2387" s="24" t="s">
        <v>7049</v>
      </c>
      <c r="G2387" s="26" t="s">
        <v>8542</v>
      </c>
      <c r="H2387" s="22"/>
      <c r="I2387" s="22" t="s">
        <v>172</v>
      </c>
      <c r="J2387" s="22"/>
      <c r="K2387" s="24" t="s">
        <v>7946</v>
      </c>
      <c r="L2387" s="24" t="s">
        <v>7050</v>
      </c>
      <c r="M2387" s="25" t="s">
        <v>7051</v>
      </c>
      <c r="N2387" s="22"/>
      <c r="O2387" s="22" t="s">
        <v>7052</v>
      </c>
      <c r="P2387" s="22" t="str">
        <f>HYPERLINK("https://ceds.ed.gov/cedselementdetails.aspx?termid=21273")</f>
        <v>https://ceds.ed.gov/cedselementdetails.aspx?termid=21273</v>
      </c>
      <c r="Q2387" s="22">
        <v>63594</v>
      </c>
    </row>
    <row r="2388" spans="1:17" ht="100.8" x14ac:dyDescent="0.3">
      <c r="A2388" s="22" t="s">
        <v>7839</v>
      </c>
      <c r="B2388" s="22" t="s">
        <v>7841</v>
      </c>
      <c r="C2388" s="22" t="s">
        <v>7764</v>
      </c>
      <c r="D2388" s="22" t="s">
        <v>7741</v>
      </c>
      <c r="E2388" s="22" t="s">
        <v>8333</v>
      </c>
      <c r="F2388" s="24" t="s">
        <v>8334</v>
      </c>
      <c r="G2388" s="26" t="s">
        <v>8383</v>
      </c>
      <c r="H2388" s="22"/>
      <c r="I2388" s="22" t="s">
        <v>167</v>
      </c>
      <c r="J2388" s="22" t="s">
        <v>2</v>
      </c>
      <c r="K2388" s="24" t="s">
        <v>7949</v>
      </c>
      <c r="L2388" s="24"/>
      <c r="M2388" s="25" t="s">
        <v>8373</v>
      </c>
      <c r="N2388" s="22"/>
      <c r="O2388" s="22" t="s">
        <v>8335</v>
      </c>
      <c r="P2388" s="22" t="str">
        <f>HYPERLINK("https://ceds.ed.gov/cedselementdetails.aspx?termid=22994")</f>
        <v>https://ceds.ed.gov/cedselementdetails.aspx?termid=22994</v>
      </c>
      <c r="Q2388" s="22">
        <v>63952</v>
      </c>
    </row>
    <row r="2389" spans="1:17" ht="28.8" x14ac:dyDescent="0.3">
      <c r="A2389" s="22" t="s">
        <v>7839</v>
      </c>
      <c r="B2389" s="22" t="s">
        <v>7841</v>
      </c>
      <c r="C2389" s="22" t="s">
        <v>7727</v>
      </c>
      <c r="D2389" s="22" t="s">
        <v>7710</v>
      </c>
      <c r="E2389" s="22" t="s">
        <v>116</v>
      </c>
      <c r="F2389" s="24" t="s">
        <v>117</v>
      </c>
      <c r="G2389" s="23" t="s">
        <v>32</v>
      </c>
      <c r="H2389" s="22" t="s">
        <v>109</v>
      </c>
      <c r="I2389" s="22"/>
      <c r="J2389" s="22" t="s">
        <v>118</v>
      </c>
      <c r="K2389" s="24"/>
      <c r="L2389" s="24"/>
      <c r="M2389" s="25" t="s">
        <v>119</v>
      </c>
      <c r="N2389" s="22"/>
      <c r="O2389" s="22" t="s">
        <v>120</v>
      </c>
      <c r="P2389" s="22" t="str">
        <f>HYPERLINK("https://ceds.ed.gov/cedselementdetails.aspx?termid=21840")</f>
        <v>https://ceds.ed.gov/cedselementdetails.aspx?termid=21840</v>
      </c>
      <c r="Q2389" s="22">
        <v>63588</v>
      </c>
    </row>
    <row r="2390" spans="1:17" ht="28.8" x14ac:dyDescent="0.3">
      <c r="A2390" s="22" t="s">
        <v>7839</v>
      </c>
      <c r="B2390" s="22" t="s">
        <v>7841</v>
      </c>
      <c r="C2390" s="22" t="s">
        <v>7727</v>
      </c>
      <c r="D2390" s="22" t="s">
        <v>7710</v>
      </c>
      <c r="E2390" s="22" t="s">
        <v>121</v>
      </c>
      <c r="F2390" s="24" t="s">
        <v>122</v>
      </c>
      <c r="G2390" s="23" t="s">
        <v>32</v>
      </c>
      <c r="H2390" s="22" t="s">
        <v>109</v>
      </c>
      <c r="I2390" s="22"/>
      <c r="J2390" s="22" t="s">
        <v>118</v>
      </c>
      <c r="K2390" s="24"/>
      <c r="L2390" s="24"/>
      <c r="M2390" s="25" t="s">
        <v>123</v>
      </c>
      <c r="N2390" s="22"/>
      <c r="O2390" s="22" t="s">
        <v>124</v>
      </c>
      <c r="P2390" s="22" t="str">
        <f>HYPERLINK("https://ceds.ed.gov/cedselementdetails.aspx?termid=21841")</f>
        <v>https://ceds.ed.gov/cedselementdetails.aspx?termid=21841</v>
      </c>
      <c r="Q2390" s="22">
        <v>63589</v>
      </c>
    </row>
    <row r="2391" spans="1:17" ht="187.2" x14ac:dyDescent="0.3">
      <c r="A2391" s="22" t="s">
        <v>7839</v>
      </c>
      <c r="B2391" s="22" t="s">
        <v>7841</v>
      </c>
      <c r="C2391" s="22" t="s">
        <v>7711</v>
      </c>
      <c r="D2391" s="22" t="s">
        <v>7710</v>
      </c>
      <c r="E2391" s="22" t="s">
        <v>6621</v>
      </c>
      <c r="F2391" s="24" t="s">
        <v>275</v>
      </c>
      <c r="G2391" s="26" t="s">
        <v>8521</v>
      </c>
      <c r="H2391" s="24" t="s">
        <v>6624</v>
      </c>
      <c r="I2391" s="22" t="s">
        <v>172</v>
      </c>
      <c r="J2391" s="22"/>
      <c r="K2391" s="24" t="s">
        <v>7946</v>
      </c>
      <c r="L2391" s="24"/>
      <c r="M2391" s="25" t="s">
        <v>6622</v>
      </c>
      <c r="N2391" s="22"/>
      <c r="O2391" s="22" t="s">
        <v>6623</v>
      </c>
      <c r="P2391" s="22" t="str">
        <f>HYPERLINK("https://ceds.ed.gov/cedselementdetails.aspx?termid=21161")</f>
        <v>https://ceds.ed.gov/cedselementdetails.aspx?termid=21161</v>
      </c>
      <c r="Q2391" s="22">
        <v>63591</v>
      </c>
    </row>
    <row r="2392" spans="1:17" ht="172.8" x14ac:dyDescent="0.3">
      <c r="A2392" s="22" t="s">
        <v>7839</v>
      </c>
      <c r="B2392" s="22" t="s">
        <v>7841</v>
      </c>
      <c r="C2392" s="22" t="s">
        <v>7711</v>
      </c>
      <c r="D2392" s="22" t="s">
        <v>7710</v>
      </c>
      <c r="E2392" s="22" t="s">
        <v>6625</v>
      </c>
      <c r="F2392" s="24" t="s">
        <v>280</v>
      </c>
      <c r="G2392" s="23" t="s">
        <v>32</v>
      </c>
      <c r="H2392" s="24" t="s">
        <v>6624</v>
      </c>
      <c r="I2392" s="22" t="s">
        <v>172</v>
      </c>
      <c r="J2392" s="22" t="s">
        <v>132</v>
      </c>
      <c r="K2392" s="24" t="s">
        <v>7946</v>
      </c>
      <c r="L2392" s="24" t="s">
        <v>7945</v>
      </c>
      <c r="M2392" s="25" t="s">
        <v>6626</v>
      </c>
      <c r="N2392" s="22"/>
      <c r="O2392" s="22" t="s">
        <v>6627</v>
      </c>
      <c r="P2392" s="22" t="str">
        <f>HYPERLINK("https://ceds.ed.gov/cedselementdetails.aspx?termid=21155")</f>
        <v>https://ceds.ed.gov/cedselementdetails.aspx?termid=21155</v>
      </c>
      <c r="Q2392" s="22">
        <v>63592</v>
      </c>
    </row>
    <row r="2393" spans="1:17" ht="57.6" x14ac:dyDescent="0.3">
      <c r="A2393" s="22" t="s">
        <v>7839</v>
      </c>
      <c r="B2393" s="22" t="s">
        <v>7841</v>
      </c>
      <c r="C2393" s="22" t="s">
        <v>7784</v>
      </c>
      <c r="D2393" s="22" t="s">
        <v>7710</v>
      </c>
      <c r="E2393" s="22" t="s">
        <v>20</v>
      </c>
      <c r="F2393" s="24" t="s">
        <v>21</v>
      </c>
      <c r="G2393" s="26" t="s">
        <v>22</v>
      </c>
      <c r="H2393" s="22" t="s">
        <v>25</v>
      </c>
      <c r="I2393" s="22"/>
      <c r="J2393" s="22"/>
      <c r="K2393" s="24"/>
      <c r="L2393" s="24"/>
      <c r="M2393" s="25" t="s">
        <v>23</v>
      </c>
      <c r="N2393" s="22"/>
      <c r="O2393" s="22" t="s">
        <v>24</v>
      </c>
      <c r="P2393" s="22" t="str">
        <f>HYPERLINK("https://ceds.ed.gov/cedselementdetails.aspx?termid=21000")</f>
        <v>https://ceds.ed.gov/cedselementdetails.aspx?termid=21000</v>
      </c>
      <c r="Q2393" s="22">
        <v>63587</v>
      </c>
    </row>
    <row r="2394" spans="1:17" ht="144" x14ac:dyDescent="0.3">
      <c r="A2394" s="22" t="s">
        <v>7839</v>
      </c>
      <c r="B2394" s="22" t="s">
        <v>7841</v>
      </c>
      <c r="C2394" s="22" t="s">
        <v>7784</v>
      </c>
      <c r="D2394" s="22" t="s">
        <v>7710</v>
      </c>
      <c r="E2394" s="22" t="s">
        <v>4630</v>
      </c>
      <c r="F2394" s="24" t="s">
        <v>4631</v>
      </c>
      <c r="G2394" s="26" t="s">
        <v>8955</v>
      </c>
      <c r="H2394" s="22" t="s">
        <v>226</v>
      </c>
      <c r="I2394" s="22"/>
      <c r="J2394" s="22"/>
      <c r="K2394" s="24"/>
      <c r="L2394" s="24" t="s">
        <v>7548</v>
      </c>
      <c r="M2394" s="25" t="s">
        <v>4632</v>
      </c>
      <c r="N2394" s="22"/>
      <c r="O2394" s="22" t="s">
        <v>4633</v>
      </c>
      <c r="P2394" s="22" t="str">
        <f>HYPERLINK("https://ceds.ed.gov/cedselementdetails.aspx?termid=21164")</f>
        <v>https://ceds.ed.gov/cedselementdetails.aspx?termid=21164</v>
      </c>
      <c r="Q2394" s="22">
        <v>63593</v>
      </c>
    </row>
    <row r="2395" spans="1:17" ht="158.4" x14ac:dyDescent="0.3">
      <c r="A2395" s="22" t="s">
        <v>7839</v>
      </c>
      <c r="B2395" s="22" t="s">
        <v>7844</v>
      </c>
      <c r="C2395" s="22"/>
      <c r="D2395" s="22" t="s">
        <v>7710</v>
      </c>
      <c r="E2395" s="22" t="s">
        <v>5877</v>
      </c>
      <c r="F2395" s="24" t="s">
        <v>5878</v>
      </c>
      <c r="G2395" s="26" t="s">
        <v>22</v>
      </c>
      <c r="H2395" s="22" t="s">
        <v>252</v>
      </c>
      <c r="I2395" s="22"/>
      <c r="J2395" s="22"/>
      <c r="K2395" s="24"/>
      <c r="L2395" s="24" t="s">
        <v>5879</v>
      </c>
      <c r="M2395" s="25" t="s">
        <v>5880</v>
      </c>
      <c r="N2395" s="22"/>
      <c r="O2395" s="22" t="s">
        <v>5881</v>
      </c>
      <c r="P2395" s="22" t="str">
        <f>HYPERLINK("https://ceds.ed.gov/cedselementdetails.aspx?termid=21735")</f>
        <v>https://ceds.ed.gov/cedselementdetails.aspx?termid=21735</v>
      </c>
      <c r="Q2395" s="22">
        <v>59255</v>
      </c>
    </row>
    <row r="2396" spans="1:17" ht="129.6" x14ac:dyDescent="0.3">
      <c r="A2396" s="22" t="s">
        <v>7839</v>
      </c>
      <c r="B2396" s="22" t="s">
        <v>7844</v>
      </c>
      <c r="C2396" s="22"/>
      <c r="D2396" s="22" t="s">
        <v>7710</v>
      </c>
      <c r="E2396" s="22" t="s">
        <v>247</v>
      </c>
      <c r="F2396" s="24" t="s">
        <v>248</v>
      </c>
      <c r="G2396" s="26" t="s">
        <v>8583</v>
      </c>
      <c r="H2396" s="22" t="s">
        <v>252</v>
      </c>
      <c r="I2396" s="22"/>
      <c r="J2396" s="22"/>
      <c r="K2396" s="24"/>
      <c r="L2396" s="24" t="s">
        <v>7955</v>
      </c>
      <c r="M2396" s="25" t="s">
        <v>250</v>
      </c>
      <c r="N2396" s="22"/>
      <c r="O2396" s="22" t="s">
        <v>251</v>
      </c>
      <c r="P2396" s="22" t="str">
        <f>HYPERLINK("https://ceds.ed.gov/cedselementdetails.aspx?termid=21736")</f>
        <v>https://ceds.ed.gov/cedselementdetails.aspx?termid=21736</v>
      </c>
      <c r="Q2396" s="22">
        <v>59256</v>
      </c>
    </row>
    <row r="2397" spans="1:17" ht="57.6" x14ac:dyDescent="0.3">
      <c r="A2397" s="22" t="s">
        <v>7839</v>
      </c>
      <c r="B2397" s="22" t="s">
        <v>7844</v>
      </c>
      <c r="C2397" s="22"/>
      <c r="D2397" s="22" t="s">
        <v>7710</v>
      </c>
      <c r="E2397" s="22" t="s">
        <v>7361</v>
      </c>
      <c r="F2397" s="24" t="s">
        <v>7362</v>
      </c>
      <c r="G2397" s="26" t="s">
        <v>22</v>
      </c>
      <c r="H2397" s="22" t="s">
        <v>252</v>
      </c>
      <c r="I2397" s="22"/>
      <c r="J2397" s="22"/>
      <c r="K2397" s="24"/>
      <c r="L2397" s="24" t="s">
        <v>4024</v>
      </c>
      <c r="M2397" s="25" t="s">
        <v>7363</v>
      </c>
      <c r="N2397" s="22"/>
      <c r="O2397" s="22" t="s">
        <v>7364</v>
      </c>
      <c r="P2397" s="22" t="str">
        <f>HYPERLINK("https://ceds.ed.gov/cedselementdetails.aspx?termid=21738")</f>
        <v>https://ceds.ed.gov/cedselementdetails.aspx?termid=21738</v>
      </c>
      <c r="Q2397" s="22">
        <v>59257</v>
      </c>
    </row>
    <row r="2398" spans="1:17" ht="158.4" x14ac:dyDescent="0.3">
      <c r="A2398" s="22" t="s">
        <v>7839</v>
      </c>
      <c r="B2398" s="22" t="s">
        <v>7844</v>
      </c>
      <c r="C2398" s="22"/>
      <c r="D2398" s="22" t="s">
        <v>7710</v>
      </c>
      <c r="E2398" s="22" t="s">
        <v>4206</v>
      </c>
      <c r="F2398" s="24" t="s">
        <v>4207</v>
      </c>
      <c r="G2398" s="23" t="s">
        <v>32</v>
      </c>
      <c r="H2398" s="24" t="s">
        <v>4213</v>
      </c>
      <c r="I2398" s="22"/>
      <c r="J2398" s="22" t="s">
        <v>990</v>
      </c>
      <c r="K2398" s="24"/>
      <c r="L2398" s="24" t="s">
        <v>4209</v>
      </c>
      <c r="M2398" s="25" t="s">
        <v>4210</v>
      </c>
      <c r="N2398" s="22" t="s">
        <v>4211</v>
      </c>
      <c r="O2398" s="22" t="s">
        <v>4212</v>
      </c>
      <c r="P2398" s="22" t="str">
        <f>HYPERLINK("https://ceds.ed.gov/cedselementdetails.aspx?termid=21128")</f>
        <v>https://ceds.ed.gov/cedselementdetails.aspx?termid=21128</v>
      </c>
      <c r="Q2398" s="22">
        <v>59259</v>
      </c>
    </row>
    <row r="2399" spans="1:17" ht="72" x14ac:dyDescent="0.3">
      <c r="A2399" s="22" t="s">
        <v>7839</v>
      </c>
      <c r="B2399" s="22" t="s">
        <v>7844</v>
      </c>
      <c r="C2399" s="22"/>
      <c r="D2399" s="22" t="s">
        <v>7710</v>
      </c>
      <c r="E2399" s="22" t="s">
        <v>4214</v>
      </c>
      <c r="F2399" s="24" t="s">
        <v>4215</v>
      </c>
      <c r="G2399" s="26" t="s">
        <v>8911</v>
      </c>
      <c r="H2399" s="22" t="s">
        <v>252</v>
      </c>
      <c r="I2399" s="22"/>
      <c r="J2399" s="22"/>
      <c r="K2399" s="24"/>
      <c r="L2399" s="24" t="s">
        <v>4216</v>
      </c>
      <c r="M2399" s="25" t="s">
        <v>4217</v>
      </c>
      <c r="N2399" s="22" t="s">
        <v>4218</v>
      </c>
      <c r="O2399" s="22" t="s">
        <v>4219</v>
      </c>
      <c r="P2399" s="22" t="str">
        <f>HYPERLINK("https://ceds.ed.gov/cedselementdetails.aspx?termid=21739")</f>
        <v>https://ceds.ed.gov/cedselementdetails.aspx?termid=21739</v>
      </c>
      <c r="Q2399" s="22">
        <v>59258</v>
      </c>
    </row>
    <row r="2400" spans="1:17" ht="43.2" x14ac:dyDescent="0.3">
      <c r="A2400" s="22" t="s">
        <v>7839</v>
      </c>
      <c r="B2400" s="22" t="s">
        <v>7844</v>
      </c>
      <c r="C2400" s="22"/>
      <c r="D2400" s="22" t="s">
        <v>7710</v>
      </c>
      <c r="E2400" s="22" t="s">
        <v>4225</v>
      </c>
      <c r="F2400" s="24" t="s">
        <v>4226</v>
      </c>
      <c r="G2400" s="26" t="s">
        <v>8912</v>
      </c>
      <c r="H2400" s="24" t="s">
        <v>4230</v>
      </c>
      <c r="I2400" s="22"/>
      <c r="J2400" s="22"/>
      <c r="K2400" s="24"/>
      <c r="L2400" s="24"/>
      <c r="M2400" s="25" t="s">
        <v>4227</v>
      </c>
      <c r="N2400" s="22" t="s">
        <v>4228</v>
      </c>
      <c r="O2400" s="22" t="s">
        <v>4229</v>
      </c>
      <c r="P2400" s="22" t="str">
        <f>HYPERLINK("https://ceds.ed.gov/cedselementdetails.aspx?termid=21123")</f>
        <v>https://ceds.ed.gov/cedselementdetails.aspx?termid=21123</v>
      </c>
      <c r="Q2400" s="22">
        <v>59260</v>
      </c>
    </row>
    <row r="2401" spans="1:17" ht="100.8" x14ac:dyDescent="0.3">
      <c r="A2401" s="22" t="s">
        <v>7839</v>
      </c>
      <c r="B2401" s="22" t="s">
        <v>7844</v>
      </c>
      <c r="C2401" s="22"/>
      <c r="D2401" s="22" t="s">
        <v>7710</v>
      </c>
      <c r="E2401" s="22" t="s">
        <v>4318</v>
      </c>
      <c r="F2401" s="24" t="s">
        <v>4319</v>
      </c>
      <c r="G2401" s="23" t="s">
        <v>32</v>
      </c>
      <c r="H2401" s="22" t="s">
        <v>252</v>
      </c>
      <c r="I2401" s="22"/>
      <c r="J2401" s="22" t="s">
        <v>775</v>
      </c>
      <c r="K2401" s="24"/>
      <c r="L2401" s="24" t="s">
        <v>8211</v>
      </c>
      <c r="M2401" s="25" t="s">
        <v>4320</v>
      </c>
      <c r="N2401" s="22"/>
      <c r="O2401" s="22" t="s">
        <v>4321</v>
      </c>
      <c r="P2401" s="22" t="str">
        <f>HYPERLINK("https://ceds.ed.gov/cedselementdetails.aspx?termid=21740")</f>
        <v>https://ceds.ed.gov/cedselementdetails.aspx?termid=21740</v>
      </c>
      <c r="Q2401" s="22">
        <v>59261</v>
      </c>
    </row>
    <row r="2402" spans="1:17" ht="100.8" x14ac:dyDescent="0.3">
      <c r="A2402" s="22" t="s">
        <v>7839</v>
      </c>
      <c r="B2402" s="22" t="s">
        <v>7844</v>
      </c>
      <c r="C2402" s="22"/>
      <c r="D2402" s="22" t="s">
        <v>7710</v>
      </c>
      <c r="E2402" s="22" t="s">
        <v>4322</v>
      </c>
      <c r="F2402" s="24" t="s">
        <v>4323</v>
      </c>
      <c r="G2402" s="23" t="s">
        <v>32</v>
      </c>
      <c r="H2402" s="24" t="s">
        <v>4327</v>
      </c>
      <c r="I2402" s="22"/>
      <c r="J2402" s="22" t="s">
        <v>317</v>
      </c>
      <c r="K2402" s="24"/>
      <c r="L2402" s="24"/>
      <c r="M2402" s="25" t="s">
        <v>4325</v>
      </c>
      <c r="N2402" s="22"/>
      <c r="O2402" s="22" t="s">
        <v>4326</v>
      </c>
      <c r="P2402" s="22" t="str">
        <f>HYPERLINK("https://ceds.ed.gov/cedselementdetails.aspx?termid=21041")</f>
        <v>https://ceds.ed.gov/cedselementdetails.aspx?termid=21041</v>
      </c>
      <c r="Q2402" s="22">
        <v>59262</v>
      </c>
    </row>
    <row r="2403" spans="1:17" ht="100.8" x14ac:dyDescent="0.3">
      <c r="A2403" s="22" t="s">
        <v>7839</v>
      </c>
      <c r="B2403" s="22" t="s">
        <v>7844</v>
      </c>
      <c r="C2403" s="22"/>
      <c r="D2403" s="22" t="s">
        <v>7710</v>
      </c>
      <c r="E2403" s="22" t="s">
        <v>6794</v>
      </c>
      <c r="F2403" s="24" t="s">
        <v>6795</v>
      </c>
      <c r="G2403" s="23" t="s">
        <v>32</v>
      </c>
      <c r="H2403" s="24" t="s">
        <v>4327</v>
      </c>
      <c r="I2403" s="22"/>
      <c r="J2403" s="22" t="s">
        <v>317</v>
      </c>
      <c r="K2403" s="24"/>
      <c r="L2403" s="24"/>
      <c r="M2403" s="25" t="s">
        <v>6796</v>
      </c>
      <c r="N2403" s="22"/>
      <c r="O2403" s="22" t="s">
        <v>6797</v>
      </c>
      <c r="P2403" s="22" t="str">
        <f>HYPERLINK("https://ceds.ed.gov/cedselementdetails.aspx?termid=21294")</f>
        <v>https://ceds.ed.gov/cedselementdetails.aspx?termid=21294</v>
      </c>
      <c r="Q2403" s="22">
        <v>59438</v>
      </c>
    </row>
    <row r="2404" spans="1:17" ht="43.2" x14ac:dyDescent="0.3">
      <c r="A2404" s="22" t="s">
        <v>7839</v>
      </c>
      <c r="B2404" s="22" t="s">
        <v>7844</v>
      </c>
      <c r="C2404" s="22"/>
      <c r="D2404" s="22" t="s">
        <v>7710</v>
      </c>
      <c r="E2404" s="22" t="s">
        <v>396</v>
      </c>
      <c r="F2404" s="24" t="s">
        <v>7963</v>
      </c>
      <c r="G2404" s="23" t="s">
        <v>32</v>
      </c>
      <c r="H2404" s="24" t="s">
        <v>399</v>
      </c>
      <c r="I2404" s="22"/>
      <c r="J2404" s="22" t="s">
        <v>118</v>
      </c>
      <c r="K2404" s="24"/>
      <c r="L2404" s="24"/>
      <c r="M2404" s="25" t="s">
        <v>397</v>
      </c>
      <c r="N2404" s="22"/>
      <c r="O2404" s="22" t="s">
        <v>398</v>
      </c>
      <c r="P2404" s="22" t="str">
        <f>HYPERLINK("https://ceds.ed.gov/cedselementdetails.aspx?termid=21323")</f>
        <v>https://ceds.ed.gov/cedselementdetails.aspx?termid=21323</v>
      </c>
      <c r="Q2404" s="22">
        <v>63586</v>
      </c>
    </row>
    <row r="2405" spans="1:17" ht="86.4" x14ac:dyDescent="0.3">
      <c r="A2405" s="22" t="s">
        <v>7839</v>
      </c>
      <c r="B2405" s="22" t="s">
        <v>7845</v>
      </c>
      <c r="C2405" s="22"/>
      <c r="D2405" s="22" t="s">
        <v>7710</v>
      </c>
      <c r="E2405" s="22" t="s">
        <v>5900</v>
      </c>
      <c r="F2405" s="24" t="s">
        <v>5901</v>
      </c>
      <c r="G2405" s="26" t="s">
        <v>22</v>
      </c>
      <c r="H2405" s="22"/>
      <c r="I2405" s="22"/>
      <c r="J2405" s="22"/>
      <c r="K2405" s="24"/>
      <c r="L2405" s="24" t="s">
        <v>5903</v>
      </c>
      <c r="M2405" s="25" t="s">
        <v>5904</v>
      </c>
      <c r="N2405" s="22"/>
      <c r="O2405" s="22" t="s">
        <v>5905</v>
      </c>
      <c r="P2405" s="22" t="str">
        <f>HYPERLINK("https://ceds.ed.gov/cedselementdetails.aspx?termid=22395")</f>
        <v>https://ceds.ed.gov/cedselementdetails.aspx?termid=22395</v>
      </c>
      <c r="Q2405" s="22">
        <v>61320</v>
      </c>
    </row>
    <row r="2406" spans="1:17" ht="86.4" x14ac:dyDescent="0.3">
      <c r="A2406" s="22" t="s">
        <v>7839</v>
      </c>
      <c r="B2406" s="22" t="s">
        <v>7845</v>
      </c>
      <c r="C2406" s="22"/>
      <c r="D2406" s="22" t="s">
        <v>7710</v>
      </c>
      <c r="E2406" s="22" t="s">
        <v>5914</v>
      </c>
      <c r="F2406" s="24" t="s">
        <v>5915</v>
      </c>
      <c r="G2406" s="23" t="s">
        <v>32</v>
      </c>
      <c r="H2406" s="22"/>
      <c r="I2406" s="22"/>
      <c r="J2406" s="22" t="s">
        <v>85</v>
      </c>
      <c r="K2406" s="24"/>
      <c r="L2406" s="24" t="s">
        <v>5903</v>
      </c>
      <c r="M2406" s="25" t="s">
        <v>5916</v>
      </c>
      <c r="N2406" s="22"/>
      <c r="O2406" s="22" t="s">
        <v>5917</v>
      </c>
      <c r="P2406" s="22" t="str">
        <f>HYPERLINK("https://ceds.ed.gov/cedselementdetails.aspx?termid=22396")</f>
        <v>https://ceds.ed.gov/cedselementdetails.aspx?termid=22396</v>
      </c>
      <c r="Q2406" s="22">
        <v>61321</v>
      </c>
    </row>
    <row r="2407" spans="1:17" ht="158.4" x14ac:dyDescent="0.3">
      <c r="A2407" s="22" t="s">
        <v>7839</v>
      </c>
      <c r="B2407" s="22" t="s">
        <v>7845</v>
      </c>
      <c r="C2407" s="22" t="s">
        <v>7738</v>
      </c>
      <c r="D2407" s="22" t="s">
        <v>7710</v>
      </c>
      <c r="E2407" s="22" t="s">
        <v>4050</v>
      </c>
      <c r="F2407" s="24" t="s">
        <v>4051</v>
      </c>
      <c r="G2407" s="23" t="s">
        <v>32</v>
      </c>
      <c r="H2407" s="24" t="s">
        <v>4054</v>
      </c>
      <c r="I2407" s="22"/>
      <c r="J2407" s="22" t="s">
        <v>7536</v>
      </c>
      <c r="K2407" s="24"/>
      <c r="L2407" s="24" t="s">
        <v>8200</v>
      </c>
      <c r="M2407" s="25" t="s">
        <v>4052</v>
      </c>
      <c r="N2407" s="22"/>
      <c r="O2407" s="22" t="s">
        <v>4053</v>
      </c>
      <c r="P2407" s="22" t="str">
        <f>HYPERLINK("https://ceds.ed.gov/cedselementdetails.aspx?termid=21115")</f>
        <v>https://ceds.ed.gov/cedselementdetails.aspx?termid=21115</v>
      </c>
      <c r="Q2407" s="22">
        <v>58750</v>
      </c>
    </row>
    <row r="2408" spans="1:17" ht="158.4" x14ac:dyDescent="0.3">
      <c r="A2408" s="22" t="s">
        <v>7839</v>
      </c>
      <c r="B2408" s="22" t="s">
        <v>7845</v>
      </c>
      <c r="C2408" s="22" t="s">
        <v>7738</v>
      </c>
      <c r="D2408" s="22" t="s">
        <v>7710</v>
      </c>
      <c r="E2408" s="22" t="s">
        <v>5415</v>
      </c>
      <c r="F2408" s="24" t="s">
        <v>5416</v>
      </c>
      <c r="G2408" s="23" t="s">
        <v>32</v>
      </c>
      <c r="H2408" s="24" t="s">
        <v>4054</v>
      </c>
      <c r="I2408" s="22"/>
      <c r="J2408" s="22" t="s">
        <v>7536</v>
      </c>
      <c r="K2408" s="24"/>
      <c r="L2408" s="24" t="s">
        <v>8207</v>
      </c>
      <c r="M2408" s="25" t="s">
        <v>5417</v>
      </c>
      <c r="N2408" s="22"/>
      <c r="O2408" s="22" t="s">
        <v>5418</v>
      </c>
      <c r="P2408" s="22" t="str">
        <f>HYPERLINK("https://ceds.ed.gov/cedselementdetails.aspx?termid=21184")</f>
        <v>https://ceds.ed.gov/cedselementdetails.aspx?termid=21184</v>
      </c>
      <c r="Q2408" s="22">
        <v>58769</v>
      </c>
    </row>
    <row r="2409" spans="1:17" ht="158.4" x14ac:dyDescent="0.3">
      <c r="A2409" s="22" t="s">
        <v>7839</v>
      </c>
      <c r="B2409" s="22" t="s">
        <v>7845</v>
      </c>
      <c r="C2409" s="22" t="s">
        <v>7738</v>
      </c>
      <c r="D2409" s="22" t="s">
        <v>7710</v>
      </c>
      <c r="E2409" s="22" t="s">
        <v>4973</v>
      </c>
      <c r="F2409" s="24" t="s">
        <v>4974</v>
      </c>
      <c r="G2409" s="23" t="s">
        <v>32</v>
      </c>
      <c r="H2409" s="24" t="s">
        <v>4054</v>
      </c>
      <c r="I2409" s="22"/>
      <c r="J2409" s="22" t="s">
        <v>7536</v>
      </c>
      <c r="K2409" s="24"/>
      <c r="L2409" s="24" t="s">
        <v>8207</v>
      </c>
      <c r="M2409" s="25" t="s">
        <v>4975</v>
      </c>
      <c r="N2409" s="22" t="s">
        <v>4976</v>
      </c>
      <c r="O2409" s="22" t="s">
        <v>4977</v>
      </c>
      <c r="P2409" s="22" t="str">
        <f>HYPERLINK("https://ceds.ed.gov/cedselementdetails.aspx?termid=21172")</f>
        <v>https://ceds.ed.gov/cedselementdetails.aspx?termid=21172</v>
      </c>
      <c r="Q2409" s="22">
        <v>58767</v>
      </c>
    </row>
    <row r="2410" spans="1:17" ht="129.6" x14ac:dyDescent="0.3">
      <c r="A2410" s="22" t="s">
        <v>7839</v>
      </c>
      <c r="B2410" s="22" t="s">
        <v>7845</v>
      </c>
      <c r="C2410" s="22" t="s">
        <v>7738</v>
      </c>
      <c r="D2410" s="22" t="s">
        <v>7710</v>
      </c>
      <c r="E2410" s="22" t="s">
        <v>4114</v>
      </c>
      <c r="F2410" s="24" t="s">
        <v>4115</v>
      </c>
      <c r="G2410" s="23" t="s">
        <v>32</v>
      </c>
      <c r="H2410" s="24" t="s">
        <v>4119</v>
      </c>
      <c r="I2410" s="22"/>
      <c r="J2410" s="22" t="s">
        <v>2743</v>
      </c>
      <c r="K2410" s="24"/>
      <c r="L2410" s="24" t="s">
        <v>8207</v>
      </c>
      <c r="M2410" s="25" t="s">
        <v>4117</v>
      </c>
      <c r="N2410" s="22"/>
      <c r="O2410" s="22" t="s">
        <v>4118</v>
      </c>
      <c r="P2410" s="22" t="str">
        <f>HYPERLINK("https://ceds.ed.gov/cedselementdetails.aspx?termid=21121")</f>
        <v>https://ceds.ed.gov/cedselementdetails.aspx?termid=21121</v>
      </c>
      <c r="Q2410" s="22">
        <v>58752</v>
      </c>
    </row>
    <row r="2411" spans="1:17" ht="86.4" x14ac:dyDescent="0.3">
      <c r="A2411" s="22" t="s">
        <v>7839</v>
      </c>
      <c r="B2411" s="22" t="s">
        <v>7845</v>
      </c>
      <c r="C2411" s="22" t="s">
        <v>7738</v>
      </c>
      <c r="D2411" s="22" t="s">
        <v>7710</v>
      </c>
      <c r="E2411" s="22" t="s">
        <v>5860</v>
      </c>
      <c r="F2411" s="24" t="s">
        <v>5861</v>
      </c>
      <c r="G2411" s="23" t="s">
        <v>32</v>
      </c>
      <c r="H2411" s="24" t="s">
        <v>5865</v>
      </c>
      <c r="I2411" s="22"/>
      <c r="J2411" s="22" t="s">
        <v>85</v>
      </c>
      <c r="K2411" s="24"/>
      <c r="L2411" s="24"/>
      <c r="M2411" s="25" t="s">
        <v>5862</v>
      </c>
      <c r="N2411" s="22" t="s">
        <v>5863</v>
      </c>
      <c r="O2411" s="22" t="s">
        <v>5864</v>
      </c>
      <c r="P2411" s="22" t="str">
        <f>HYPERLINK("https://ceds.ed.gov/cedselementdetails.aspx?termid=21212")</f>
        <v>https://ceds.ed.gov/cedselementdetails.aspx?termid=21212</v>
      </c>
      <c r="Q2411" s="22">
        <v>58776</v>
      </c>
    </row>
    <row r="2412" spans="1:17" ht="28.8" x14ac:dyDescent="0.3">
      <c r="A2412" s="22" t="s">
        <v>7839</v>
      </c>
      <c r="B2412" s="22" t="s">
        <v>7845</v>
      </c>
      <c r="C2412" s="22" t="s">
        <v>7739</v>
      </c>
      <c r="D2412" s="22" t="s">
        <v>7710</v>
      </c>
      <c r="E2412" s="22" t="s">
        <v>5728</v>
      </c>
      <c r="F2412" s="24" t="s">
        <v>5729</v>
      </c>
      <c r="G2412" s="23" t="s">
        <v>32</v>
      </c>
      <c r="H2412" s="22"/>
      <c r="I2412" s="22"/>
      <c r="J2412" s="22" t="s">
        <v>1301</v>
      </c>
      <c r="K2412" s="24"/>
      <c r="L2412" s="24" t="s">
        <v>5730</v>
      </c>
      <c r="M2412" s="25" t="s">
        <v>5731</v>
      </c>
      <c r="N2412" s="22"/>
      <c r="O2412" s="22" t="s">
        <v>5732</v>
      </c>
      <c r="P2412" s="22" t="str">
        <f>HYPERLINK("https://ceds.ed.gov/cedselementdetails.aspx?termid=22486")</f>
        <v>https://ceds.ed.gov/cedselementdetails.aspx?termid=22486</v>
      </c>
      <c r="Q2412" s="22">
        <v>61633</v>
      </c>
    </row>
    <row r="2413" spans="1:17" ht="28.8" x14ac:dyDescent="0.3">
      <c r="A2413" s="22" t="s">
        <v>7839</v>
      </c>
      <c r="B2413" s="22" t="s">
        <v>7845</v>
      </c>
      <c r="C2413" s="22" t="s">
        <v>7739</v>
      </c>
      <c r="D2413" s="22" t="s">
        <v>7710</v>
      </c>
      <c r="E2413" s="22" t="s">
        <v>5733</v>
      </c>
      <c r="F2413" s="24" t="s">
        <v>5734</v>
      </c>
      <c r="G2413" s="23" t="s">
        <v>32</v>
      </c>
      <c r="H2413" s="22"/>
      <c r="I2413" s="22"/>
      <c r="J2413" s="22" t="s">
        <v>1301</v>
      </c>
      <c r="K2413" s="24"/>
      <c r="L2413" s="24" t="s">
        <v>5735</v>
      </c>
      <c r="M2413" s="25" t="s">
        <v>5736</v>
      </c>
      <c r="N2413" s="22"/>
      <c r="O2413" s="22" t="s">
        <v>5737</v>
      </c>
      <c r="P2413" s="22" t="str">
        <f>HYPERLINK("https://ceds.ed.gov/cedselementdetails.aspx?termid=22485")</f>
        <v>https://ceds.ed.gov/cedselementdetails.aspx?termid=22485</v>
      </c>
      <c r="Q2413" s="22">
        <v>61617</v>
      </c>
    </row>
    <row r="2414" spans="1:17" ht="28.8" x14ac:dyDescent="0.3">
      <c r="A2414" s="22" t="s">
        <v>7839</v>
      </c>
      <c r="B2414" s="22" t="s">
        <v>7845</v>
      </c>
      <c r="C2414" s="22" t="s">
        <v>7739</v>
      </c>
      <c r="D2414" s="22" t="s">
        <v>7710</v>
      </c>
      <c r="E2414" s="22" t="s">
        <v>5738</v>
      </c>
      <c r="F2414" s="24" t="s">
        <v>5739</v>
      </c>
      <c r="G2414" s="23" t="s">
        <v>32</v>
      </c>
      <c r="H2414" s="22"/>
      <c r="I2414" s="22"/>
      <c r="J2414" s="22" t="s">
        <v>1301</v>
      </c>
      <c r="K2414" s="24"/>
      <c r="L2414" s="24" t="s">
        <v>5740</v>
      </c>
      <c r="M2414" s="25" t="s">
        <v>5741</v>
      </c>
      <c r="N2414" s="22"/>
      <c r="O2414" s="22" t="s">
        <v>5742</v>
      </c>
      <c r="P2414" s="22" t="str">
        <f>HYPERLINK("https://ceds.ed.gov/cedselementdetails.aspx?termid=22487")</f>
        <v>https://ceds.ed.gov/cedselementdetails.aspx?termid=22487</v>
      </c>
      <c r="Q2414" s="22">
        <v>61649</v>
      </c>
    </row>
    <row r="2415" spans="1:17" ht="129.6" x14ac:dyDescent="0.3">
      <c r="A2415" s="22" t="s">
        <v>7839</v>
      </c>
      <c r="B2415" s="22" t="s">
        <v>7845</v>
      </c>
      <c r="C2415" s="22" t="s">
        <v>7739</v>
      </c>
      <c r="D2415" s="22" t="s">
        <v>7710</v>
      </c>
      <c r="E2415" s="22" t="s">
        <v>5743</v>
      </c>
      <c r="F2415" s="24" t="s">
        <v>5744</v>
      </c>
      <c r="G2415" s="23" t="s">
        <v>32</v>
      </c>
      <c r="H2415" s="24" t="s">
        <v>4119</v>
      </c>
      <c r="I2415" s="22"/>
      <c r="J2415" s="22" t="s">
        <v>132</v>
      </c>
      <c r="K2415" s="24"/>
      <c r="L2415" s="24"/>
      <c r="M2415" s="25" t="s">
        <v>5745</v>
      </c>
      <c r="N2415" s="22"/>
      <c r="O2415" s="22" t="s">
        <v>5746</v>
      </c>
      <c r="P2415" s="22" t="str">
        <f>HYPERLINK("https://ceds.ed.gov/cedselementdetails.aspx?termid=21206")</f>
        <v>https://ceds.ed.gov/cedselementdetails.aspx?termid=21206</v>
      </c>
      <c r="Q2415" s="22">
        <v>58775</v>
      </c>
    </row>
    <row r="2416" spans="1:17" ht="115.2" x14ac:dyDescent="0.3">
      <c r="A2416" s="22" t="s">
        <v>7839</v>
      </c>
      <c r="B2416" s="22" t="s">
        <v>7845</v>
      </c>
      <c r="C2416" s="22" t="s">
        <v>7739</v>
      </c>
      <c r="D2416" s="22" t="s">
        <v>7710</v>
      </c>
      <c r="E2416" s="22" t="s">
        <v>5747</v>
      </c>
      <c r="F2416" s="24" t="s">
        <v>5748</v>
      </c>
      <c r="G2416" s="26" t="s">
        <v>9055</v>
      </c>
      <c r="H2416" s="24" t="s">
        <v>5751</v>
      </c>
      <c r="I2416" s="22"/>
      <c r="J2416" s="22" t="s">
        <v>85</v>
      </c>
      <c r="K2416" s="24"/>
      <c r="L2416" s="24"/>
      <c r="M2416" s="25" t="s">
        <v>5749</v>
      </c>
      <c r="N2416" s="22"/>
      <c r="O2416" s="22" t="s">
        <v>5750</v>
      </c>
      <c r="P2416" s="22" t="str">
        <f>HYPERLINK("https://ceds.ed.gov/cedselementdetails.aspx?termid=21627")</f>
        <v>https://ceds.ed.gov/cedselementdetails.aspx?termid=21627</v>
      </c>
      <c r="Q2416" s="22">
        <v>60017</v>
      </c>
    </row>
    <row r="2417" spans="1:17" ht="172.8" x14ac:dyDescent="0.3">
      <c r="A2417" s="22" t="s">
        <v>7839</v>
      </c>
      <c r="B2417" s="22" t="s">
        <v>7845</v>
      </c>
      <c r="C2417" s="22" t="s">
        <v>7740</v>
      </c>
      <c r="D2417" s="22" t="s">
        <v>7710</v>
      </c>
      <c r="E2417" s="22" t="s">
        <v>7040</v>
      </c>
      <c r="F2417" s="24" t="s">
        <v>7041</v>
      </c>
      <c r="G2417" s="23" t="s">
        <v>32</v>
      </c>
      <c r="H2417" s="24" t="s">
        <v>7039</v>
      </c>
      <c r="I2417" s="22" t="s">
        <v>172</v>
      </c>
      <c r="J2417" s="22" t="s">
        <v>132</v>
      </c>
      <c r="K2417" s="24" t="s">
        <v>7946</v>
      </c>
      <c r="L2417" s="24" t="s">
        <v>7945</v>
      </c>
      <c r="M2417" s="25" t="s">
        <v>7042</v>
      </c>
      <c r="N2417" s="22"/>
      <c r="O2417" s="22" t="s">
        <v>7043</v>
      </c>
      <c r="P2417" s="22" t="str">
        <f>HYPERLINK("https://ceds.ed.gov/cedselementdetails.aspx?termid=21157")</f>
        <v>https://ceds.ed.gov/cedselementdetails.aspx?termid=21157</v>
      </c>
      <c r="Q2417" s="22">
        <v>58760</v>
      </c>
    </row>
    <row r="2418" spans="1:17" ht="144" x14ac:dyDescent="0.3">
      <c r="A2418" s="22" t="s">
        <v>7839</v>
      </c>
      <c r="B2418" s="22" t="s">
        <v>7845</v>
      </c>
      <c r="C2418" s="22" t="s">
        <v>7740</v>
      </c>
      <c r="D2418" s="22" t="s">
        <v>7710</v>
      </c>
      <c r="E2418" s="22" t="s">
        <v>7035</v>
      </c>
      <c r="F2418" s="24" t="s">
        <v>7036</v>
      </c>
      <c r="G2418" s="26" t="s">
        <v>8540</v>
      </c>
      <c r="H2418" s="24" t="s">
        <v>7039</v>
      </c>
      <c r="I2418" s="22" t="s">
        <v>172</v>
      </c>
      <c r="J2418" s="22"/>
      <c r="K2418" s="24" t="s">
        <v>7946</v>
      </c>
      <c r="L2418" s="24"/>
      <c r="M2418" s="25" t="s">
        <v>7037</v>
      </c>
      <c r="N2418" s="22"/>
      <c r="O2418" s="22" t="s">
        <v>7038</v>
      </c>
      <c r="P2418" s="22" t="str">
        <f>HYPERLINK("https://ceds.ed.gov/cedselementdetails.aspx?termid=21163")</f>
        <v>https://ceds.ed.gov/cedselementdetails.aspx?termid=21163</v>
      </c>
      <c r="Q2418" s="22">
        <v>58763</v>
      </c>
    </row>
    <row r="2419" spans="1:17" ht="403.2" x14ac:dyDescent="0.3">
      <c r="A2419" s="22" t="s">
        <v>7839</v>
      </c>
      <c r="B2419" s="22" t="s">
        <v>7845</v>
      </c>
      <c r="C2419" s="22" t="s">
        <v>7740</v>
      </c>
      <c r="D2419" s="22" t="s">
        <v>7710</v>
      </c>
      <c r="E2419" s="22" t="s">
        <v>5856</v>
      </c>
      <c r="F2419" s="24" t="s">
        <v>5857</v>
      </c>
      <c r="G2419" s="26" t="s">
        <v>8498</v>
      </c>
      <c r="H2419" s="22"/>
      <c r="I2419" s="22" t="s">
        <v>172</v>
      </c>
      <c r="J2419" s="22"/>
      <c r="K2419" s="24" t="s">
        <v>7946</v>
      </c>
      <c r="L2419" s="24"/>
      <c r="M2419" s="25" t="s">
        <v>5858</v>
      </c>
      <c r="N2419" s="22"/>
      <c r="O2419" s="22" t="s">
        <v>5859</v>
      </c>
      <c r="P2419" s="22" t="str">
        <f>HYPERLINK("https://ceds.ed.gov/cedselementdetails.aspx?termid=21611")</f>
        <v>https://ceds.ed.gov/cedselementdetails.aspx?termid=21611</v>
      </c>
      <c r="Q2419" s="22">
        <v>60217</v>
      </c>
    </row>
    <row r="2420" spans="1:17" ht="72" x14ac:dyDescent="0.3">
      <c r="A2420" s="22" t="s">
        <v>7839</v>
      </c>
      <c r="B2420" s="22" t="s">
        <v>7845</v>
      </c>
      <c r="C2420" s="22" t="s">
        <v>7740</v>
      </c>
      <c r="D2420" s="22" t="s">
        <v>7710</v>
      </c>
      <c r="E2420" s="22" t="s">
        <v>7621</v>
      </c>
      <c r="F2420" s="24" t="s">
        <v>7622</v>
      </c>
      <c r="G2420" s="26" t="s">
        <v>8496</v>
      </c>
      <c r="H2420" s="22"/>
      <c r="I2420" s="22" t="s">
        <v>172</v>
      </c>
      <c r="J2420" s="22"/>
      <c r="K2420" s="24" t="s">
        <v>7946</v>
      </c>
      <c r="L2420" s="24"/>
      <c r="M2420" s="25" t="s">
        <v>7623</v>
      </c>
      <c r="N2420" s="22"/>
      <c r="O2420" s="22" t="s">
        <v>7624</v>
      </c>
      <c r="P2420" s="22" t="str">
        <f>HYPERLINK("https://ceds.ed.gov/cedselementdetails.aspx?termid=22951")</f>
        <v>https://ceds.ed.gov/cedselementdetails.aspx?termid=22951</v>
      </c>
      <c r="Q2420" s="22">
        <v>63670</v>
      </c>
    </row>
    <row r="2421" spans="1:17" ht="172.8" x14ac:dyDescent="0.3">
      <c r="A2421" s="22" t="s">
        <v>7839</v>
      </c>
      <c r="B2421" s="22" t="s">
        <v>7845</v>
      </c>
      <c r="C2421" s="22" t="s">
        <v>7716</v>
      </c>
      <c r="D2421" s="22" t="s">
        <v>7710</v>
      </c>
      <c r="E2421" s="22" t="s">
        <v>194</v>
      </c>
      <c r="F2421" s="24" t="s">
        <v>195</v>
      </c>
      <c r="G2421" s="26" t="s">
        <v>8575</v>
      </c>
      <c r="H2421" s="24" t="s">
        <v>198</v>
      </c>
      <c r="I2421" s="22"/>
      <c r="J2421" s="22" t="s">
        <v>85</v>
      </c>
      <c r="K2421" s="24"/>
      <c r="L2421" s="24"/>
      <c r="M2421" s="25" t="s">
        <v>196</v>
      </c>
      <c r="N2421" s="22"/>
      <c r="O2421" s="22" t="s">
        <v>197</v>
      </c>
      <c r="P2421" s="22" t="str">
        <f>HYPERLINK("https://ceds.ed.gov/cedselementdetails.aspx?termid=21358")</f>
        <v>https://ceds.ed.gov/cedselementdetails.aspx?termid=21358</v>
      </c>
      <c r="Q2421" s="22">
        <v>60018</v>
      </c>
    </row>
    <row r="2422" spans="1:17" ht="187.2" x14ac:dyDescent="0.3">
      <c r="A2422" s="22" t="s">
        <v>7839</v>
      </c>
      <c r="B2422" s="22" t="s">
        <v>7845</v>
      </c>
      <c r="C2422" s="22" t="s">
        <v>7716</v>
      </c>
      <c r="D2422" s="22" t="s">
        <v>7710</v>
      </c>
      <c r="E2422" s="22" t="s">
        <v>189</v>
      </c>
      <c r="F2422" s="24" t="s">
        <v>190</v>
      </c>
      <c r="G2422" s="23" t="s">
        <v>32</v>
      </c>
      <c r="H2422" s="24" t="s">
        <v>175</v>
      </c>
      <c r="I2422" s="22" t="s">
        <v>172</v>
      </c>
      <c r="J2422" s="22" t="s">
        <v>191</v>
      </c>
      <c r="K2422" s="24" t="s">
        <v>7946</v>
      </c>
      <c r="L2422" s="24"/>
      <c r="M2422" s="25" t="s">
        <v>192</v>
      </c>
      <c r="N2422" s="22"/>
      <c r="O2422" s="22" t="s">
        <v>193</v>
      </c>
      <c r="P2422" s="22" t="str">
        <f>HYPERLINK("https://ceds.ed.gov/cedselementdetails.aspx?termid=21269")</f>
        <v>https://ceds.ed.gov/cedselementdetails.aspx?termid=21269</v>
      </c>
      <c r="Q2422" s="22">
        <v>58787</v>
      </c>
    </row>
    <row r="2423" spans="1:17" ht="187.2" x14ac:dyDescent="0.3">
      <c r="A2423" s="22" t="s">
        <v>7839</v>
      </c>
      <c r="B2423" s="22" t="s">
        <v>7845</v>
      </c>
      <c r="C2423" s="22" t="s">
        <v>7716</v>
      </c>
      <c r="D2423" s="22" t="s">
        <v>7710</v>
      </c>
      <c r="E2423" s="22" t="s">
        <v>170</v>
      </c>
      <c r="F2423" s="24" t="s">
        <v>171</v>
      </c>
      <c r="G2423" s="23" t="s">
        <v>32</v>
      </c>
      <c r="H2423" s="24" t="s">
        <v>175</v>
      </c>
      <c r="I2423" s="22" t="s">
        <v>172</v>
      </c>
      <c r="J2423" s="22" t="s">
        <v>157</v>
      </c>
      <c r="K2423" s="24" t="s">
        <v>7946</v>
      </c>
      <c r="L2423" s="24"/>
      <c r="M2423" s="25" t="s">
        <v>173</v>
      </c>
      <c r="N2423" s="22"/>
      <c r="O2423" s="22" t="s">
        <v>174</v>
      </c>
      <c r="P2423" s="22" t="str">
        <f>HYPERLINK("https://ceds.ed.gov/cedselementdetails.aspx?termid=21019")</f>
        <v>https://ceds.ed.gov/cedselementdetails.aspx?termid=21019</v>
      </c>
      <c r="Q2423" s="22">
        <v>58729</v>
      </c>
    </row>
    <row r="2424" spans="1:17" ht="187.2" x14ac:dyDescent="0.3">
      <c r="A2424" s="22" t="s">
        <v>7839</v>
      </c>
      <c r="B2424" s="22" t="s">
        <v>7845</v>
      </c>
      <c r="C2424" s="22" t="s">
        <v>7716</v>
      </c>
      <c r="D2424" s="22" t="s">
        <v>7710</v>
      </c>
      <c r="E2424" s="22" t="s">
        <v>176</v>
      </c>
      <c r="F2424" s="24" t="s">
        <v>177</v>
      </c>
      <c r="G2424" s="23" t="s">
        <v>32</v>
      </c>
      <c r="H2424" s="24" t="s">
        <v>175</v>
      </c>
      <c r="I2424" s="22" t="s">
        <v>172</v>
      </c>
      <c r="J2424" s="22" t="s">
        <v>85</v>
      </c>
      <c r="K2424" s="24" t="s">
        <v>7946</v>
      </c>
      <c r="L2424" s="24"/>
      <c r="M2424" s="25" t="s">
        <v>178</v>
      </c>
      <c r="N2424" s="22"/>
      <c r="O2424" s="22" t="s">
        <v>179</v>
      </c>
      <c r="P2424" s="22" t="str">
        <f>HYPERLINK("https://ceds.ed.gov/cedselementdetails.aspx?termid=21040")</f>
        <v>https://ceds.ed.gov/cedselementdetails.aspx?termid=21040</v>
      </c>
      <c r="Q2424" s="22">
        <v>58732</v>
      </c>
    </row>
    <row r="2425" spans="1:17" ht="409.6" x14ac:dyDescent="0.3">
      <c r="A2425" s="22" t="s">
        <v>7839</v>
      </c>
      <c r="B2425" s="22" t="s">
        <v>7845</v>
      </c>
      <c r="C2425" s="22" t="s">
        <v>7716</v>
      </c>
      <c r="D2425" s="22" t="s">
        <v>7710</v>
      </c>
      <c r="E2425" s="22" t="s">
        <v>6941</v>
      </c>
      <c r="F2425" s="24" t="s">
        <v>6942</v>
      </c>
      <c r="G2425" s="26" t="s">
        <v>8533</v>
      </c>
      <c r="H2425" s="24" t="s">
        <v>6945</v>
      </c>
      <c r="I2425" s="22" t="s">
        <v>172</v>
      </c>
      <c r="J2425" s="22"/>
      <c r="K2425" s="24" t="s">
        <v>8327</v>
      </c>
      <c r="L2425" s="24"/>
      <c r="M2425" s="25" t="s">
        <v>6943</v>
      </c>
      <c r="N2425" s="22"/>
      <c r="O2425" s="22" t="s">
        <v>6944</v>
      </c>
      <c r="P2425" s="22" t="str">
        <f>HYPERLINK("https://ceds.ed.gov/cedselementdetails.aspx?termid=21267")</f>
        <v>https://ceds.ed.gov/cedselementdetails.aspx?termid=21267</v>
      </c>
      <c r="Q2425" s="22">
        <v>58785</v>
      </c>
    </row>
    <row r="2426" spans="1:17" ht="187.2" x14ac:dyDescent="0.3">
      <c r="A2426" s="22" t="s">
        <v>7839</v>
      </c>
      <c r="B2426" s="22" t="s">
        <v>7845</v>
      </c>
      <c r="C2426" s="22" t="s">
        <v>7716</v>
      </c>
      <c r="D2426" s="22" t="s">
        <v>7710</v>
      </c>
      <c r="E2426" s="22" t="s">
        <v>184</v>
      </c>
      <c r="F2426" s="24" t="s">
        <v>185</v>
      </c>
      <c r="G2426" s="23" t="s">
        <v>32</v>
      </c>
      <c r="H2426" s="24" t="s">
        <v>175</v>
      </c>
      <c r="I2426" s="22" t="s">
        <v>172</v>
      </c>
      <c r="J2426" s="22" t="s">
        <v>186</v>
      </c>
      <c r="K2426" s="24" t="s">
        <v>7946</v>
      </c>
      <c r="L2426" s="24"/>
      <c r="M2426" s="25" t="s">
        <v>187</v>
      </c>
      <c r="N2426" s="22"/>
      <c r="O2426" s="22" t="s">
        <v>188</v>
      </c>
      <c r="P2426" s="22" t="str">
        <f>HYPERLINK("https://ceds.ed.gov/cedselementdetails.aspx?termid=21214")</f>
        <v>https://ceds.ed.gov/cedselementdetails.aspx?termid=21214</v>
      </c>
      <c r="Q2426" s="22">
        <v>58777</v>
      </c>
    </row>
    <row r="2427" spans="1:17" ht="187.2" x14ac:dyDescent="0.3">
      <c r="A2427" s="22" t="s">
        <v>7839</v>
      </c>
      <c r="B2427" s="22" t="s">
        <v>7845</v>
      </c>
      <c r="C2427" s="22" t="s">
        <v>7716</v>
      </c>
      <c r="D2427" s="22" t="s">
        <v>7710</v>
      </c>
      <c r="E2427" s="22" t="s">
        <v>180</v>
      </c>
      <c r="F2427" s="24" t="s">
        <v>181</v>
      </c>
      <c r="G2427" s="23" t="s">
        <v>32</v>
      </c>
      <c r="H2427" s="24" t="s">
        <v>175</v>
      </c>
      <c r="I2427" s="22" t="s">
        <v>172</v>
      </c>
      <c r="J2427" s="22" t="s">
        <v>85</v>
      </c>
      <c r="K2427" s="24" t="s">
        <v>7946</v>
      </c>
      <c r="L2427" s="24"/>
      <c r="M2427" s="25" t="s">
        <v>182</v>
      </c>
      <c r="N2427" s="22"/>
      <c r="O2427" s="22" t="s">
        <v>183</v>
      </c>
      <c r="P2427" s="22" t="str">
        <f>HYPERLINK("https://ceds.ed.gov/cedselementdetails.aspx?termid=21190")</f>
        <v>https://ceds.ed.gov/cedselementdetails.aspx?termid=21190</v>
      </c>
      <c r="Q2427" s="22">
        <v>58770</v>
      </c>
    </row>
    <row r="2428" spans="1:17" ht="409.6" x14ac:dyDescent="0.3">
      <c r="A2428" s="22" t="s">
        <v>7839</v>
      </c>
      <c r="B2428" s="22" t="s">
        <v>7845</v>
      </c>
      <c r="C2428" s="22" t="s">
        <v>7716</v>
      </c>
      <c r="D2428" s="22" t="s">
        <v>7710</v>
      </c>
      <c r="E2428" s="22" t="s">
        <v>2526</v>
      </c>
      <c r="F2428" s="24" t="s">
        <v>2527</v>
      </c>
      <c r="G2428" s="26" t="s">
        <v>8743</v>
      </c>
      <c r="H2428" s="24" t="s">
        <v>2530</v>
      </c>
      <c r="I2428" s="22"/>
      <c r="J2428" s="22"/>
      <c r="K2428" s="24"/>
      <c r="L2428" s="24" t="s">
        <v>8055</v>
      </c>
      <c r="M2428" s="25" t="s">
        <v>2528</v>
      </c>
      <c r="N2428" s="22"/>
      <c r="O2428" s="22" t="s">
        <v>2529</v>
      </c>
      <c r="P2428" s="22" t="str">
        <f>HYPERLINK("https://ceds.ed.gov/cedselementdetails.aspx?termid=21050")</f>
        <v>https://ceds.ed.gov/cedselementdetails.aspx?termid=21050</v>
      </c>
      <c r="Q2428" s="22">
        <v>58737</v>
      </c>
    </row>
    <row r="2429" spans="1:17" ht="409.6" x14ac:dyDescent="0.3">
      <c r="A2429" s="22" t="s">
        <v>7839</v>
      </c>
      <c r="B2429" s="22" t="s">
        <v>7845</v>
      </c>
      <c r="C2429" s="22" t="s">
        <v>7716</v>
      </c>
      <c r="D2429" s="22" t="s">
        <v>7710</v>
      </c>
      <c r="E2429" s="22" t="s">
        <v>6991</v>
      </c>
      <c r="F2429" s="24" t="s">
        <v>6992</v>
      </c>
      <c r="G2429" s="26" t="s">
        <v>8538</v>
      </c>
      <c r="H2429" s="24" t="s">
        <v>198</v>
      </c>
      <c r="I2429" s="22"/>
      <c r="J2429" s="22"/>
      <c r="K2429" s="24"/>
      <c r="L2429" s="24"/>
      <c r="M2429" s="25" t="s">
        <v>6994</v>
      </c>
      <c r="N2429" s="22"/>
      <c r="O2429" s="22" t="s">
        <v>6995</v>
      </c>
      <c r="P2429" s="22" t="str">
        <f>HYPERLINK("https://ceds.ed.gov/cedselementdetails.aspx?termid=21268")</f>
        <v>https://ceds.ed.gov/cedselementdetails.aspx?termid=21268</v>
      </c>
      <c r="Q2429" s="22">
        <v>58786</v>
      </c>
    </row>
    <row r="2430" spans="1:17" ht="57.6" x14ac:dyDescent="0.3">
      <c r="A2430" s="22" t="s">
        <v>7839</v>
      </c>
      <c r="B2430" s="22" t="s">
        <v>7845</v>
      </c>
      <c r="C2430" s="22" t="s">
        <v>7716</v>
      </c>
      <c r="D2430" s="22" t="s">
        <v>7710</v>
      </c>
      <c r="E2430" s="22" t="s">
        <v>4982</v>
      </c>
      <c r="F2430" s="24" t="s">
        <v>4983</v>
      </c>
      <c r="G2430" s="23" t="s">
        <v>32</v>
      </c>
      <c r="H2430" s="22"/>
      <c r="I2430" s="22"/>
      <c r="J2430" s="22" t="s">
        <v>1165</v>
      </c>
      <c r="K2430" s="24"/>
      <c r="L2430" s="24"/>
      <c r="M2430" s="25" t="s">
        <v>4984</v>
      </c>
      <c r="N2430" s="22"/>
      <c r="O2430" s="22" t="s">
        <v>4982</v>
      </c>
      <c r="P2430" s="22" t="str">
        <f>HYPERLINK("https://ceds.ed.gov/cedselementdetails.aspx?termid=21599")</f>
        <v>https://ceds.ed.gov/cedselementdetails.aspx?termid=21599</v>
      </c>
      <c r="Q2430" s="22">
        <v>62263</v>
      </c>
    </row>
    <row r="2431" spans="1:17" ht="57.6" x14ac:dyDescent="0.3">
      <c r="A2431" s="22" t="s">
        <v>7839</v>
      </c>
      <c r="B2431" s="22" t="s">
        <v>7845</v>
      </c>
      <c r="C2431" s="22" t="s">
        <v>7716</v>
      </c>
      <c r="D2431" s="22" t="s">
        <v>7710</v>
      </c>
      <c r="E2431" s="22" t="s">
        <v>5372</v>
      </c>
      <c r="F2431" s="24" t="s">
        <v>5373</v>
      </c>
      <c r="G2431" s="23" t="s">
        <v>32</v>
      </c>
      <c r="H2431" s="22"/>
      <c r="I2431" s="22"/>
      <c r="J2431" s="22" t="s">
        <v>1165</v>
      </c>
      <c r="K2431" s="24"/>
      <c r="L2431" s="24"/>
      <c r="M2431" s="25" t="s">
        <v>5374</v>
      </c>
      <c r="N2431" s="22"/>
      <c r="O2431" s="22" t="s">
        <v>5372</v>
      </c>
      <c r="P2431" s="22" t="str">
        <f>HYPERLINK("https://ceds.ed.gov/cedselementdetails.aspx?termid=21600")</f>
        <v>https://ceds.ed.gov/cedselementdetails.aspx?termid=21600</v>
      </c>
      <c r="Q2431" s="22">
        <v>62286</v>
      </c>
    </row>
    <row r="2432" spans="1:17" ht="158.4" x14ac:dyDescent="0.3">
      <c r="A2432" s="22" t="s">
        <v>7839</v>
      </c>
      <c r="B2432" s="22" t="s">
        <v>7845</v>
      </c>
      <c r="C2432" s="22" t="s">
        <v>7716</v>
      </c>
      <c r="D2432" s="22" t="s">
        <v>7710</v>
      </c>
      <c r="E2432" s="22" t="s">
        <v>2536</v>
      </c>
      <c r="F2432" s="24" t="s">
        <v>2537</v>
      </c>
      <c r="G2432" s="23" t="s">
        <v>32</v>
      </c>
      <c r="H2432" s="22"/>
      <c r="I2432" s="22"/>
      <c r="J2432" s="22" t="s">
        <v>2538</v>
      </c>
      <c r="K2432" s="24"/>
      <c r="L2432" s="24"/>
      <c r="M2432" s="25" t="s">
        <v>2539</v>
      </c>
      <c r="N2432" s="22"/>
      <c r="O2432" s="22" t="s">
        <v>2540</v>
      </c>
      <c r="P2432" s="22" t="str">
        <f>HYPERLINK("https://ceds.ed.gov/cedselementdetails.aspx?termid=22176")</f>
        <v>https://ceds.ed.gov/cedselementdetails.aspx?termid=22176</v>
      </c>
      <c r="Q2432" s="22">
        <v>63426</v>
      </c>
    </row>
    <row r="2433" spans="1:17" ht="57.6" x14ac:dyDescent="0.3">
      <c r="A2433" s="22" t="s">
        <v>7839</v>
      </c>
      <c r="B2433" s="22" t="s">
        <v>7845</v>
      </c>
      <c r="C2433" s="22" t="s">
        <v>7716</v>
      </c>
      <c r="D2433" s="22" t="s">
        <v>7710</v>
      </c>
      <c r="E2433" s="22" t="s">
        <v>3228</v>
      </c>
      <c r="F2433" s="24" t="s">
        <v>3229</v>
      </c>
      <c r="G2433" s="26" t="s">
        <v>3039</v>
      </c>
      <c r="H2433" s="22"/>
      <c r="I2433" s="22" t="s">
        <v>172</v>
      </c>
      <c r="J2433" s="22"/>
      <c r="K2433" s="24" t="s">
        <v>7946</v>
      </c>
      <c r="L2433" s="24"/>
      <c r="M2433" s="25" t="s">
        <v>3230</v>
      </c>
      <c r="N2433" s="22"/>
      <c r="O2433" s="22" t="s">
        <v>3231</v>
      </c>
      <c r="P2433" s="22" t="str">
        <f>HYPERLINK("https://ceds.ed.gov/cedselementdetails.aspx?termid=22905")</f>
        <v>https://ceds.ed.gov/cedselementdetails.aspx?termid=22905</v>
      </c>
      <c r="Q2433" s="22">
        <v>63427</v>
      </c>
    </row>
    <row r="2434" spans="1:17" ht="57.6" x14ac:dyDescent="0.3">
      <c r="A2434" s="22" t="s">
        <v>7839</v>
      </c>
      <c r="B2434" s="22" t="s">
        <v>7845</v>
      </c>
      <c r="C2434" s="22" t="s">
        <v>7716</v>
      </c>
      <c r="D2434" s="22" t="s">
        <v>7710</v>
      </c>
      <c r="E2434" s="22" t="s">
        <v>6373</v>
      </c>
      <c r="F2434" s="24" t="s">
        <v>6374</v>
      </c>
      <c r="G2434" s="23" t="s">
        <v>32</v>
      </c>
      <c r="H2434" s="22"/>
      <c r="I2434" s="22"/>
      <c r="J2434" s="22" t="s">
        <v>845</v>
      </c>
      <c r="K2434" s="24"/>
      <c r="L2434" s="24" t="s">
        <v>6375</v>
      </c>
      <c r="M2434" s="25" t="s">
        <v>6376</v>
      </c>
      <c r="N2434" s="22"/>
      <c r="O2434" s="22" t="s">
        <v>6377</v>
      </c>
      <c r="P2434" s="22" t="str">
        <f>HYPERLINK("https://ceds.ed.gov/cedselementdetails.aspx?termid=22899")</f>
        <v>https://ceds.ed.gov/cedselementdetails.aspx?termid=22899</v>
      </c>
      <c r="Q2434" s="22">
        <v>63648</v>
      </c>
    </row>
    <row r="2435" spans="1:17" ht="43.2" x14ac:dyDescent="0.3">
      <c r="A2435" s="22" t="s">
        <v>7839</v>
      </c>
      <c r="B2435" s="22" t="s">
        <v>7845</v>
      </c>
      <c r="C2435" s="22" t="s">
        <v>7716</v>
      </c>
      <c r="D2435" s="22" t="s">
        <v>7710</v>
      </c>
      <c r="E2435" s="22" t="s">
        <v>6378</v>
      </c>
      <c r="F2435" s="24" t="s">
        <v>6379</v>
      </c>
      <c r="G2435" s="23" t="s">
        <v>32</v>
      </c>
      <c r="H2435" s="22"/>
      <c r="I2435" s="22"/>
      <c r="J2435" s="22" t="s">
        <v>845</v>
      </c>
      <c r="K2435" s="24"/>
      <c r="L2435" s="24" t="s">
        <v>6380</v>
      </c>
      <c r="M2435" s="25" t="s">
        <v>6381</v>
      </c>
      <c r="N2435" s="22"/>
      <c r="O2435" s="22" t="s">
        <v>6382</v>
      </c>
      <c r="P2435" s="22" t="str">
        <f>HYPERLINK("https://ceds.ed.gov/cedselementdetails.aspx?termid=22898")</f>
        <v>https://ceds.ed.gov/cedselementdetails.aspx?termid=22898</v>
      </c>
      <c r="Q2435" s="22">
        <v>63649</v>
      </c>
    </row>
    <row r="2436" spans="1:17" ht="72" x14ac:dyDescent="0.3">
      <c r="A2436" s="22" t="s">
        <v>7839</v>
      </c>
      <c r="B2436" s="22" t="s">
        <v>7845</v>
      </c>
      <c r="C2436" s="22" t="s">
        <v>7717</v>
      </c>
      <c r="D2436" s="22" t="s">
        <v>7710</v>
      </c>
      <c r="E2436" s="22" t="s">
        <v>7159</v>
      </c>
      <c r="F2436" s="24" t="s">
        <v>7160</v>
      </c>
      <c r="G2436" s="23" t="s">
        <v>32</v>
      </c>
      <c r="H2436" s="24" t="s">
        <v>64</v>
      </c>
      <c r="I2436" s="22"/>
      <c r="J2436" s="22" t="s">
        <v>7161</v>
      </c>
      <c r="K2436" s="24"/>
      <c r="L2436" s="24"/>
      <c r="M2436" s="25" t="s">
        <v>7162</v>
      </c>
      <c r="N2436" s="22"/>
      <c r="O2436" s="22" t="s">
        <v>7163</v>
      </c>
      <c r="P2436" s="22" t="str">
        <f>HYPERLINK("https://ceds.ed.gov/cedselementdetails.aspx?termid=21279")</f>
        <v>https://ceds.ed.gov/cedselementdetails.aspx?termid=21279</v>
      </c>
      <c r="Q2436" s="22">
        <v>58789</v>
      </c>
    </row>
    <row r="2437" spans="1:17" ht="86.4" x14ac:dyDescent="0.3">
      <c r="A2437" s="22" t="s">
        <v>7839</v>
      </c>
      <c r="B2437" s="22" t="s">
        <v>7845</v>
      </c>
      <c r="C2437" s="22" t="s">
        <v>7717</v>
      </c>
      <c r="D2437" s="22" t="s">
        <v>7710</v>
      </c>
      <c r="E2437" s="22" t="s">
        <v>7168</v>
      </c>
      <c r="F2437" s="24" t="s">
        <v>7169</v>
      </c>
      <c r="G2437" s="26" t="s">
        <v>9168</v>
      </c>
      <c r="H2437" s="24" t="s">
        <v>64</v>
      </c>
      <c r="I2437" s="22"/>
      <c r="J2437" s="22" t="s">
        <v>2543</v>
      </c>
      <c r="K2437" s="24"/>
      <c r="L2437" s="24"/>
      <c r="M2437" s="25" t="s">
        <v>7170</v>
      </c>
      <c r="N2437" s="22"/>
      <c r="O2437" s="22" t="s">
        <v>7171</v>
      </c>
      <c r="P2437" s="22" t="str">
        <f>HYPERLINK("https://ceds.ed.gov/cedselementdetails.aspx?termid=21280")</f>
        <v>https://ceds.ed.gov/cedselementdetails.aspx?termid=21280</v>
      </c>
      <c r="Q2437" s="22">
        <v>58790</v>
      </c>
    </row>
    <row r="2438" spans="1:17" ht="72" x14ac:dyDescent="0.3">
      <c r="A2438" s="22" t="s">
        <v>7839</v>
      </c>
      <c r="B2438" s="22" t="s">
        <v>7845</v>
      </c>
      <c r="C2438" s="22" t="s">
        <v>7717</v>
      </c>
      <c r="D2438" s="22" t="s">
        <v>7710</v>
      </c>
      <c r="E2438" s="22" t="s">
        <v>5965</v>
      </c>
      <c r="F2438" s="24" t="s">
        <v>5966</v>
      </c>
      <c r="G2438" s="26" t="s">
        <v>22</v>
      </c>
      <c r="H2438" s="24" t="s">
        <v>64</v>
      </c>
      <c r="I2438" s="22"/>
      <c r="J2438" s="22"/>
      <c r="K2438" s="24"/>
      <c r="L2438" s="24"/>
      <c r="M2438" s="25" t="s">
        <v>5967</v>
      </c>
      <c r="N2438" s="22"/>
      <c r="O2438" s="22" t="s">
        <v>5968</v>
      </c>
      <c r="P2438" s="22" t="str">
        <f>HYPERLINK("https://ceds.ed.gov/cedselementdetails.aspx?termid=21219")</f>
        <v>https://ceds.ed.gov/cedselementdetails.aspx?termid=21219</v>
      </c>
      <c r="Q2438" s="22">
        <v>58778</v>
      </c>
    </row>
    <row r="2439" spans="1:17" ht="57.6" x14ac:dyDescent="0.3">
      <c r="A2439" s="22" t="s">
        <v>7839</v>
      </c>
      <c r="B2439" s="22" t="s">
        <v>7845</v>
      </c>
      <c r="C2439" s="22" t="s">
        <v>7717</v>
      </c>
      <c r="D2439" s="22" t="s">
        <v>7710</v>
      </c>
      <c r="E2439" s="22" t="s">
        <v>3228</v>
      </c>
      <c r="F2439" s="24" t="s">
        <v>3229</v>
      </c>
      <c r="G2439" s="26" t="s">
        <v>3039</v>
      </c>
      <c r="H2439" s="22"/>
      <c r="I2439" s="22" t="s">
        <v>172</v>
      </c>
      <c r="J2439" s="22"/>
      <c r="K2439" s="24" t="s">
        <v>7946</v>
      </c>
      <c r="L2439" s="24"/>
      <c r="M2439" s="25" t="s">
        <v>3230</v>
      </c>
      <c r="N2439" s="22"/>
      <c r="O2439" s="22" t="s">
        <v>3231</v>
      </c>
      <c r="P2439" s="22" t="str">
        <f>HYPERLINK("https://ceds.ed.gov/cedselementdetails.aspx?termid=22905")</f>
        <v>https://ceds.ed.gov/cedselementdetails.aspx?termid=22905</v>
      </c>
      <c r="Q2439" s="22">
        <v>63429</v>
      </c>
    </row>
    <row r="2440" spans="1:17" ht="57.6" x14ac:dyDescent="0.3">
      <c r="A2440" s="22" t="s">
        <v>7839</v>
      </c>
      <c r="B2440" s="22" t="s">
        <v>7845</v>
      </c>
      <c r="C2440" s="22" t="s">
        <v>7717</v>
      </c>
      <c r="D2440" s="22" t="s">
        <v>7710</v>
      </c>
      <c r="E2440" s="22" t="s">
        <v>7164</v>
      </c>
      <c r="F2440" s="24" t="s">
        <v>7165</v>
      </c>
      <c r="G2440" s="26" t="s">
        <v>9167</v>
      </c>
      <c r="H2440" s="22"/>
      <c r="I2440" s="22"/>
      <c r="J2440" s="22"/>
      <c r="K2440" s="24"/>
      <c r="L2440" s="24"/>
      <c r="M2440" s="25" t="s">
        <v>7166</v>
      </c>
      <c r="N2440" s="22"/>
      <c r="O2440" s="22" t="s">
        <v>7167</v>
      </c>
      <c r="P2440" s="22" t="str">
        <f>HYPERLINK("https://ceds.ed.gov/cedselementdetails.aspx?termid=22911")</f>
        <v>https://ceds.ed.gov/cedselementdetails.aspx?termid=22911</v>
      </c>
      <c r="Q2440" s="22">
        <v>63430</v>
      </c>
    </row>
    <row r="2441" spans="1:17" ht="72" x14ac:dyDescent="0.3">
      <c r="A2441" s="22" t="s">
        <v>7839</v>
      </c>
      <c r="B2441" s="22" t="s">
        <v>7845</v>
      </c>
      <c r="C2441" s="22" t="s">
        <v>7718</v>
      </c>
      <c r="D2441" s="22" t="s">
        <v>7710</v>
      </c>
      <c r="E2441" s="22" t="s">
        <v>3461</v>
      </c>
      <c r="F2441" s="24" t="s">
        <v>3462</v>
      </c>
      <c r="G2441" s="23" t="s">
        <v>32</v>
      </c>
      <c r="H2441" s="24" t="s">
        <v>64</v>
      </c>
      <c r="I2441" s="22" t="s">
        <v>172</v>
      </c>
      <c r="J2441" s="22" t="s">
        <v>3463</v>
      </c>
      <c r="K2441" s="24" t="s">
        <v>7946</v>
      </c>
      <c r="L2441" s="24"/>
      <c r="M2441" s="25" t="s">
        <v>3464</v>
      </c>
      <c r="N2441" s="22" t="s">
        <v>3465</v>
      </c>
      <c r="O2441" s="22" t="s">
        <v>3466</v>
      </c>
      <c r="P2441" s="22" t="str">
        <f>HYPERLINK("https://ceds.ed.gov/cedselementdetails.aspx?termid=21088")</f>
        <v>https://ceds.ed.gov/cedselementdetails.aspx?termid=21088</v>
      </c>
      <c r="Q2441" s="22">
        <v>60020</v>
      </c>
    </row>
    <row r="2442" spans="1:17" ht="72" x14ac:dyDescent="0.3">
      <c r="A2442" s="22" t="s">
        <v>7839</v>
      </c>
      <c r="B2442" s="22" t="s">
        <v>7845</v>
      </c>
      <c r="C2442" s="22" t="s">
        <v>7718</v>
      </c>
      <c r="D2442" s="22" t="s">
        <v>7710</v>
      </c>
      <c r="E2442" s="22" t="s">
        <v>3467</v>
      </c>
      <c r="F2442" s="24" t="s">
        <v>3468</v>
      </c>
      <c r="G2442" s="26" t="s">
        <v>8430</v>
      </c>
      <c r="H2442" s="24" t="s">
        <v>64</v>
      </c>
      <c r="I2442" s="22" t="s">
        <v>172</v>
      </c>
      <c r="J2442" s="22"/>
      <c r="K2442" s="24" t="s">
        <v>7946</v>
      </c>
      <c r="L2442" s="24"/>
      <c r="M2442" s="25" t="s">
        <v>3469</v>
      </c>
      <c r="N2442" s="22" t="s">
        <v>3470</v>
      </c>
      <c r="O2442" s="22" t="s">
        <v>3471</v>
      </c>
      <c r="P2442" s="22" t="str">
        <f>HYPERLINK("https://ceds.ed.gov/cedselementdetails.aspx?termid=21089")</f>
        <v>https://ceds.ed.gov/cedselementdetails.aspx?termid=21089</v>
      </c>
      <c r="Q2442" s="22">
        <v>60019</v>
      </c>
    </row>
    <row r="2443" spans="1:17" ht="57.6" x14ac:dyDescent="0.3">
      <c r="A2443" s="22" t="s">
        <v>7839</v>
      </c>
      <c r="B2443" s="22" t="s">
        <v>7845</v>
      </c>
      <c r="C2443" s="22" t="s">
        <v>7718</v>
      </c>
      <c r="D2443" s="22" t="s">
        <v>7710</v>
      </c>
      <c r="E2443" s="22" t="s">
        <v>3228</v>
      </c>
      <c r="F2443" s="24" t="s">
        <v>3229</v>
      </c>
      <c r="G2443" s="26" t="s">
        <v>3039</v>
      </c>
      <c r="H2443" s="22"/>
      <c r="I2443" s="22" t="s">
        <v>172</v>
      </c>
      <c r="J2443" s="22"/>
      <c r="K2443" s="24" t="s">
        <v>7946</v>
      </c>
      <c r="L2443" s="24"/>
      <c r="M2443" s="25" t="s">
        <v>3230</v>
      </c>
      <c r="N2443" s="22"/>
      <c r="O2443" s="22" t="s">
        <v>3231</v>
      </c>
      <c r="P2443" s="22" t="str">
        <f>HYPERLINK("https://ceds.ed.gov/cedselementdetails.aspx?termid=22905")</f>
        <v>https://ceds.ed.gov/cedselementdetails.aspx?termid=22905</v>
      </c>
      <c r="Q2443" s="22">
        <v>63428</v>
      </c>
    </row>
    <row r="2444" spans="1:17" ht="201.6" x14ac:dyDescent="0.3">
      <c r="A2444" s="22" t="s">
        <v>7839</v>
      </c>
      <c r="B2444" s="22" t="s">
        <v>7845</v>
      </c>
      <c r="C2444" s="22" t="s">
        <v>7742</v>
      </c>
      <c r="D2444" s="22" t="s">
        <v>7710</v>
      </c>
      <c r="E2444" s="22" t="s">
        <v>1544</v>
      </c>
      <c r="F2444" s="24" t="s">
        <v>1545</v>
      </c>
      <c r="G2444" s="23" t="s">
        <v>32</v>
      </c>
      <c r="H2444" s="24" t="s">
        <v>1547</v>
      </c>
      <c r="I2444" s="22"/>
      <c r="J2444" s="22" t="s">
        <v>118</v>
      </c>
      <c r="K2444" s="24"/>
      <c r="L2444" s="24"/>
      <c r="M2444" s="25" t="s">
        <v>1546</v>
      </c>
      <c r="N2444" s="22"/>
      <c r="O2444" s="22" t="s">
        <v>1544</v>
      </c>
      <c r="P2444" s="22" t="str">
        <f>HYPERLINK("https://ceds.ed.gov/cedselementdetails.aspx?termid=21033")</f>
        <v>https://ceds.ed.gov/cedselementdetails.aspx?termid=21033</v>
      </c>
      <c r="Q2444" s="22">
        <v>58730</v>
      </c>
    </row>
    <row r="2445" spans="1:17" ht="216" x14ac:dyDescent="0.3">
      <c r="A2445" s="22" t="s">
        <v>7839</v>
      </c>
      <c r="B2445" s="22" t="s">
        <v>7845</v>
      </c>
      <c r="C2445" s="22" t="s">
        <v>7742</v>
      </c>
      <c r="D2445" s="22" t="s">
        <v>7710</v>
      </c>
      <c r="E2445" s="22" t="s">
        <v>6763</v>
      </c>
      <c r="F2445" s="24" t="s">
        <v>6764</v>
      </c>
      <c r="G2445" s="26" t="s">
        <v>9142</v>
      </c>
      <c r="H2445" s="24" t="s">
        <v>6767</v>
      </c>
      <c r="I2445" s="22"/>
      <c r="J2445" s="22"/>
      <c r="K2445" s="24"/>
      <c r="L2445" s="24" t="s">
        <v>6765</v>
      </c>
      <c r="M2445" s="25" t="s">
        <v>6766</v>
      </c>
      <c r="N2445" s="22"/>
      <c r="O2445" s="22" t="s">
        <v>6763</v>
      </c>
      <c r="P2445" s="22" t="str">
        <f>HYPERLINK("https://ceds.ed.gov/cedselementdetails.aspx?termid=21255")</f>
        <v>https://ceds.ed.gov/cedselementdetails.aspx?termid=21255</v>
      </c>
      <c r="Q2445" s="22">
        <v>58781</v>
      </c>
    </row>
    <row r="2446" spans="1:17" ht="201.6" x14ac:dyDescent="0.3">
      <c r="A2446" s="22" t="s">
        <v>7839</v>
      </c>
      <c r="B2446" s="22" t="s">
        <v>7845</v>
      </c>
      <c r="C2446" s="22" t="s">
        <v>7742</v>
      </c>
      <c r="D2446" s="22" t="s">
        <v>7710</v>
      </c>
      <c r="E2446" s="22" t="s">
        <v>360</v>
      </c>
      <c r="F2446" s="24" t="s">
        <v>361</v>
      </c>
      <c r="G2446" s="26" t="s">
        <v>8601</v>
      </c>
      <c r="H2446" s="24" t="s">
        <v>365</v>
      </c>
      <c r="I2446" s="22"/>
      <c r="J2446" s="22"/>
      <c r="K2446" s="24"/>
      <c r="L2446" s="24" t="s">
        <v>7958</v>
      </c>
      <c r="M2446" s="25" t="s">
        <v>362</v>
      </c>
      <c r="N2446" s="22" t="s">
        <v>363</v>
      </c>
      <c r="O2446" s="22" t="s">
        <v>364</v>
      </c>
      <c r="P2446" s="22" t="str">
        <f>HYPERLINK("https://ceds.ed.gov/cedselementdetails.aspx?termid=21655")</f>
        <v>https://ceds.ed.gov/cedselementdetails.aspx?termid=21655</v>
      </c>
      <c r="Q2446" s="22">
        <v>58798</v>
      </c>
    </row>
    <row r="2447" spans="1:17" ht="201.6" x14ac:dyDescent="0.3">
      <c r="A2447" s="22" t="s">
        <v>7839</v>
      </c>
      <c r="B2447" s="22" t="s">
        <v>7845</v>
      </c>
      <c r="C2447" s="22" t="s">
        <v>7742</v>
      </c>
      <c r="D2447" s="22" t="s">
        <v>7710</v>
      </c>
      <c r="E2447" s="22" t="s">
        <v>400</v>
      </c>
      <c r="F2447" s="24" t="s">
        <v>401</v>
      </c>
      <c r="G2447" s="26" t="s">
        <v>8601</v>
      </c>
      <c r="H2447" s="24" t="s">
        <v>365</v>
      </c>
      <c r="I2447" s="22"/>
      <c r="J2447" s="22"/>
      <c r="K2447" s="24"/>
      <c r="L2447" s="24" t="s">
        <v>7958</v>
      </c>
      <c r="M2447" s="25" t="s">
        <v>402</v>
      </c>
      <c r="N2447" s="22" t="s">
        <v>403</v>
      </c>
      <c r="O2447" s="22" t="s">
        <v>400</v>
      </c>
      <c r="P2447" s="22" t="str">
        <f>HYPERLINK("https://ceds.ed.gov/cedselementdetails.aspx?termid=21656")</f>
        <v>https://ceds.ed.gov/cedselementdetails.aspx?termid=21656</v>
      </c>
      <c r="Q2447" s="22">
        <v>58799</v>
      </c>
    </row>
    <row r="2448" spans="1:17" ht="201.6" x14ac:dyDescent="0.3">
      <c r="A2448" s="22" t="s">
        <v>7839</v>
      </c>
      <c r="B2448" s="22" t="s">
        <v>7845</v>
      </c>
      <c r="C2448" s="22" t="s">
        <v>7742</v>
      </c>
      <c r="D2448" s="22" t="s">
        <v>7710</v>
      </c>
      <c r="E2448" s="22" t="s">
        <v>1554</v>
      </c>
      <c r="F2448" s="24" t="s">
        <v>1555</v>
      </c>
      <c r="G2448" s="26" t="s">
        <v>8601</v>
      </c>
      <c r="H2448" s="24" t="s">
        <v>365</v>
      </c>
      <c r="I2448" s="22"/>
      <c r="J2448" s="22"/>
      <c r="K2448" s="24"/>
      <c r="L2448" s="24" t="s">
        <v>7958</v>
      </c>
      <c r="M2448" s="25" t="s">
        <v>1556</v>
      </c>
      <c r="N2448" s="22" t="s">
        <v>1557</v>
      </c>
      <c r="O2448" s="22" t="s">
        <v>1558</v>
      </c>
      <c r="P2448" s="22" t="str">
        <f>HYPERLINK("https://ceds.ed.gov/cedselementdetails.aspx?termid=21657")</f>
        <v>https://ceds.ed.gov/cedselementdetails.aspx?termid=21657</v>
      </c>
      <c r="Q2448" s="22">
        <v>58800</v>
      </c>
    </row>
    <row r="2449" spans="1:17" ht="201.6" x14ac:dyDescent="0.3">
      <c r="A2449" s="22" t="s">
        <v>7839</v>
      </c>
      <c r="B2449" s="22" t="s">
        <v>7845</v>
      </c>
      <c r="C2449" s="22" t="s">
        <v>7742</v>
      </c>
      <c r="D2449" s="22" t="s">
        <v>7710</v>
      </c>
      <c r="E2449" s="22" t="s">
        <v>5548</v>
      </c>
      <c r="F2449" s="24" t="s">
        <v>5549</v>
      </c>
      <c r="G2449" s="26" t="s">
        <v>8601</v>
      </c>
      <c r="H2449" s="24" t="s">
        <v>365</v>
      </c>
      <c r="I2449" s="22"/>
      <c r="J2449" s="22"/>
      <c r="K2449" s="24"/>
      <c r="L2449" s="24" t="s">
        <v>7958</v>
      </c>
      <c r="M2449" s="25" t="s">
        <v>5550</v>
      </c>
      <c r="N2449" s="22" t="s">
        <v>5551</v>
      </c>
      <c r="O2449" s="22" t="s">
        <v>5552</v>
      </c>
      <c r="P2449" s="22" t="str">
        <f>HYPERLINK("https://ceds.ed.gov/cedselementdetails.aspx?termid=21658")</f>
        <v>https://ceds.ed.gov/cedselementdetails.aspx?termid=21658</v>
      </c>
      <c r="Q2449" s="22">
        <v>58801</v>
      </c>
    </row>
    <row r="2450" spans="1:17" ht="201.6" x14ac:dyDescent="0.3">
      <c r="A2450" s="22" t="s">
        <v>7839</v>
      </c>
      <c r="B2450" s="22" t="s">
        <v>7845</v>
      </c>
      <c r="C2450" s="22" t="s">
        <v>7742</v>
      </c>
      <c r="D2450" s="22" t="s">
        <v>7710</v>
      </c>
      <c r="E2450" s="22" t="s">
        <v>7390</v>
      </c>
      <c r="F2450" s="24" t="s">
        <v>7391</v>
      </c>
      <c r="G2450" s="26" t="s">
        <v>8601</v>
      </c>
      <c r="H2450" s="24" t="s">
        <v>365</v>
      </c>
      <c r="I2450" s="22"/>
      <c r="J2450" s="22"/>
      <c r="K2450" s="24"/>
      <c r="L2450" s="24" t="s">
        <v>7958</v>
      </c>
      <c r="M2450" s="25" t="s">
        <v>7392</v>
      </c>
      <c r="N2450" s="22" t="s">
        <v>7393</v>
      </c>
      <c r="O2450" s="22" t="s">
        <v>7390</v>
      </c>
      <c r="P2450" s="22" t="str">
        <f>HYPERLINK("https://ceds.ed.gov/cedselementdetails.aspx?termid=21659")</f>
        <v>https://ceds.ed.gov/cedselementdetails.aspx?termid=21659</v>
      </c>
      <c r="Q2450" s="22">
        <v>58802</v>
      </c>
    </row>
    <row r="2451" spans="1:17" ht="201.6" x14ac:dyDescent="0.3">
      <c r="A2451" s="22" t="s">
        <v>7839</v>
      </c>
      <c r="B2451" s="22" t="s">
        <v>7845</v>
      </c>
      <c r="C2451" s="22" t="s">
        <v>7742</v>
      </c>
      <c r="D2451" s="22" t="s">
        <v>7710</v>
      </c>
      <c r="E2451" s="22" t="s">
        <v>4347</v>
      </c>
      <c r="F2451" s="24" t="s">
        <v>4348</v>
      </c>
      <c r="G2451" s="26" t="s">
        <v>8601</v>
      </c>
      <c r="H2451" s="24" t="s">
        <v>365</v>
      </c>
      <c r="I2451" s="22"/>
      <c r="J2451" s="22"/>
      <c r="K2451" s="24"/>
      <c r="L2451" s="24" t="s">
        <v>7958</v>
      </c>
      <c r="M2451" s="25" t="s">
        <v>4349</v>
      </c>
      <c r="N2451" s="22"/>
      <c r="O2451" s="22" t="s">
        <v>4350</v>
      </c>
      <c r="P2451" s="22" t="str">
        <f>HYPERLINK("https://ceds.ed.gov/cedselementdetails.aspx?termid=21144")</f>
        <v>https://ceds.ed.gov/cedselementdetails.aspx?termid=21144</v>
      </c>
      <c r="Q2451" s="22">
        <v>58757</v>
      </c>
    </row>
    <row r="2452" spans="1:17" ht="57.6" x14ac:dyDescent="0.3">
      <c r="A2452" s="22" t="s">
        <v>7839</v>
      </c>
      <c r="B2452" s="22" t="s">
        <v>7845</v>
      </c>
      <c r="C2452" s="22" t="s">
        <v>7742</v>
      </c>
      <c r="D2452" s="22" t="s">
        <v>7710</v>
      </c>
      <c r="E2452" s="22" t="s">
        <v>3108</v>
      </c>
      <c r="F2452" s="24" t="s">
        <v>3109</v>
      </c>
      <c r="G2452" s="26" t="s">
        <v>8790</v>
      </c>
      <c r="H2452" s="24" t="s">
        <v>3112</v>
      </c>
      <c r="I2452" s="22"/>
      <c r="J2452" s="22"/>
      <c r="K2452" s="24"/>
      <c r="L2452" s="24"/>
      <c r="M2452" s="25" t="s">
        <v>3110</v>
      </c>
      <c r="N2452" s="22"/>
      <c r="O2452" s="22" t="s">
        <v>3111</v>
      </c>
      <c r="P2452" s="22" t="str">
        <f>HYPERLINK("https://ceds.ed.gov/cedselementdetails.aspx?termid=21079")</f>
        <v>https://ceds.ed.gov/cedselementdetails.aspx?termid=21079</v>
      </c>
      <c r="Q2452" s="22">
        <v>58740</v>
      </c>
    </row>
    <row r="2453" spans="1:17" ht="86.4" x14ac:dyDescent="0.3">
      <c r="A2453" s="22" t="s">
        <v>7839</v>
      </c>
      <c r="B2453" s="22" t="s">
        <v>7845</v>
      </c>
      <c r="C2453" s="22" t="s">
        <v>7742</v>
      </c>
      <c r="D2453" s="22" t="s">
        <v>7710</v>
      </c>
      <c r="E2453" s="22" t="s">
        <v>7330</v>
      </c>
      <c r="F2453" s="24" t="s">
        <v>7331</v>
      </c>
      <c r="G2453" s="26" t="s">
        <v>8554</v>
      </c>
      <c r="H2453" s="24" t="s">
        <v>7334</v>
      </c>
      <c r="I2453" s="22" t="s">
        <v>172</v>
      </c>
      <c r="J2453" s="22"/>
      <c r="K2453" s="24" t="s">
        <v>7946</v>
      </c>
      <c r="L2453" s="24" t="s">
        <v>6765</v>
      </c>
      <c r="M2453" s="25" t="s">
        <v>7332</v>
      </c>
      <c r="N2453" s="22"/>
      <c r="O2453" s="22" t="s">
        <v>7333</v>
      </c>
      <c r="P2453" s="22" t="str">
        <f>HYPERLINK("https://ceds.ed.gov/cedselementdetails.aspx?termid=21299")</f>
        <v>https://ceds.ed.gov/cedselementdetails.aspx?termid=21299</v>
      </c>
      <c r="Q2453" s="22">
        <v>58794</v>
      </c>
    </row>
    <row r="2454" spans="1:17" ht="129.6" x14ac:dyDescent="0.3">
      <c r="A2454" s="22" t="s">
        <v>7839</v>
      </c>
      <c r="B2454" s="22" t="s">
        <v>7845</v>
      </c>
      <c r="C2454" s="22" t="s">
        <v>7742</v>
      </c>
      <c r="D2454" s="22" t="s">
        <v>7710</v>
      </c>
      <c r="E2454" s="22" t="s">
        <v>7341</v>
      </c>
      <c r="F2454" s="24" t="s">
        <v>7342</v>
      </c>
      <c r="G2454" s="26" t="s">
        <v>9184</v>
      </c>
      <c r="H2454" s="22" t="s">
        <v>242</v>
      </c>
      <c r="I2454" s="22"/>
      <c r="J2454" s="22"/>
      <c r="K2454" s="24"/>
      <c r="L2454" s="24"/>
      <c r="M2454" s="25" t="s">
        <v>7343</v>
      </c>
      <c r="N2454" s="22"/>
      <c r="O2454" s="22" t="s">
        <v>7344</v>
      </c>
      <c r="P2454" s="22" t="str">
        <f>HYPERLINK("https://ceds.ed.gov/cedselementdetails.aspx?termid=21196")</f>
        <v>https://ceds.ed.gov/cedselementdetails.aspx?termid=21196</v>
      </c>
      <c r="Q2454" s="22">
        <v>58772</v>
      </c>
    </row>
    <row r="2455" spans="1:17" ht="72" x14ac:dyDescent="0.3">
      <c r="A2455" s="22" t="s">
        <v>7839</v>
      </c>
      <c r="B2455" s="22" t="s">
        <v>7845</v>
      </c>
      <c r="C2455" s="22" t="s">
        <v>7742</v>
      </c>
      <c r="D2455" s="22" t="s">
        <v>7710</v>
      </c>
      <c r="E2455" s="22" t="s">
        <v>7309</v>
      </c>
      <c r="F2455" s="24" t="s">
        <v>7310</v>
      </c>
      <c r="G2455" s="26" t="s">
        <v>9181</v>
      </c>
      <c r="H2455" s="22" t="s">
        <v>242</v>
      </c>
      <c r="I2455" s="22"/>
      <c r="J2455" s="22"/>
      <c r="K2455" s="24"/>
      <c r="L2455" s="24"/>
      <c r="M2455" s="25" t="s">
        <v>7311</v>
      </c>
      <c r="N2455" s="22"/>
      <c r="O2455" s="22" t="s">
        <v>7312</v>
      </c>
      <c r="P2455" s="22" t="str">
        <f>HYPERLINK("https://ceds.ed.gov/cedselementdetails.aspx?termid=21297")</f>
        <v>https://ceds.ed.gov/cedselementdetails.aspx?termid=21297</v>
      </c>
      <c r="Q2455" s="22">
        <v>58793</v>
      </c>
    </row>
    <row r="2456" spans="1:17" ht="72" x14ac:dyDescent="0.3">
      <c r="A2456" s="22" t="s">
        <v>7839</v>
      </c>
      <c r="B2456" s="22" t="s">
        <v>7845</v>
      </c>
      <c r="C2456" s="22" t="s">
        <v>7742</v>
      </c>
      <c r="D2456" s="22" t="s">
        <v>7710</v>
      </c>
      <c r="E2456" s="22" t="s">
        <v>1872</v>
      </c>
      <c r="F2456" s="24" t="s">
        <v>1873</v>
      </c>
      <c r="G2456" s="26" t="s">
        <v>8707</v>
      </c>
      <c r="H2456" s="22" t="s">
        <v>242</v>
      </c>
      <c r="I2456" s="22"/>
      <c r="J2456" s="22"/>
      <c r="K2456" s="24"/>
      <c r="L2456" s="24"/>
      <c r="M2456" s="25" t="s">
        <v>1875</v>
      </c>
      <c r="N2456" s="22"/>
      <c r="O2456" s="22" t="s">
        <v>1876</v>
      </c>
      <c r="P2456" s="22" t="str">
        <f>HYPERLINK("https://ceds.ed.gov/cedselementdetails.aspx?termid=21035")</f>
        <v>https://ceds.ed.gov/cedselementdetails.aspx?termid=21035</v>
      </c>
      <c r="Q2456" s="22">
        <v>58731</v>
      </c>
    </row>
    <row r="2457" spans="1:17" ht="43.2" x14ac:dyDescent="0.3">
      <c r="A2457" s="22" t="s">
        <v>7839</v>
      </c>
      <c r="B2457" s="22" t="s">
        <v>7845</v>
      </c>
      <c r="C2457" s="22" t="s">
        <v>7742</v>
      </c>
      <c r="D2457" s="22" t="s">
        <v>7710</v>
      </c>
      <c r="E2457" s="22" t="s">
        <v>2117</v>
      </c>
      <c r="F2457" s="24" t="s">
        <v>7452</v>
      </c>
      <c r="G2457" s="23" t="s">
        <v>32</v>
      </c>
      <c r="H2457" s="24" t="s">
        <v>2121</v>
      </c>
      <c r="I2457" s="22"/>
      <c r="J2457" s="22" t="s">
        <v>1844</v>
      </c>
      <c r="K2457" s="24"/>
      <c r="L2457" s="24"/>
      <c r="M2457" s="25" t="s">
        <v>2119</v>
      </c>
      <c r="N2457" s="22"/>
      <c r="O2457" s="22" t="s">
        <v>2120</v>
      </c>
      <c r="P2457" s="22" t="str">
        <f>HYPERLINK("https://ceds.ed.gov/cedselementdetails.aspx?termid=21577")</f>
        <v>https://ceds.ed.gov/cedselementdetails.aspx?termid=21577</v>
      </c>
      <c r="Q2457" s="22">
        <v>61677</v>
      </c>
    </row>
    <row r="2458" spans="1:17" ht="144" x14ac:dyDescent="0.3">
      <c r="A2458" s="22" t="s">
        <v>7839</v>
      </c>
      <c r="B2458" s="22" t="s">
        <v>7845</v>
      </c>
      <c r="C2458" s="22" t="s">
        <v>7742</v>
      </c>
      <c r="D2458" s="22" t="s">
        <v>7710</v>
      </c>
      <c r="E2458" s="22" t="s">
        <v>5388</v>
      </c>
      <c r="F2458" s="24" t="s">
        <v>5389</v>
      </c>
      <c r="G2458" s="26" t="s">
        <v>9024</v>
      </c>
      <c r="H2458" s="22"/>
      <c r="I2458" s="22"/>
      <c r="J2458" s="22"/>
      <c r="K2458" s="24"/>
      <c r="L2458" s="24"/>
      <c r="M2458" s="25" t="s">
        <v>5390</v>
      </c>
      <c r="N2458" s="22"/>
      <c r="O2458" s="22" t="s">
        <v>5391</v>
      </c>
      <c r="P2458" s="22" t="str">
        <f>HYPERLINK("https://ceds.ed.gov/cedselementdetails.aspx?termid=22194")</f>
        <v>https://ceds.ed.gov/cedselementdetails.aspx?termid=22194</v>
      </c>
      <c r="Q2458" s="22">
        <v>59682</v>
      </c>
    </row>
    <row r="2459" spans="1:17" ht="57.6" x14ac:dyDescent="0.3">
      <c r="A2459" s="22" t="s">
        <v>7839</v>
      </c>
      <c r="B2459" s="22" t="s">
        <v>7845</v>
      </c>
      <c r="C2459" s="22" t="s">
        <v>7742</v>
      </c>
      <c r="D2459" s="22" t="s">
        <v>7710</v>
      </c>
      <c r="E2459" s="22" t="s">
        <v>5481</v>
      </c>
      <c r="F2459" s="24" t="s">
        <v>5482</v>
      </c>
      <c r="G2459" s="26" t="s">
        <v>9035</v>
      </c>
      <c r="H2459" s="22"/>
      <c r="I2459" s="22"/>
      <c r="J2459" s="22"/>
      <c r="K2459" s="24"/>
      <c r="L2459" s="24"/>
      <c r="M2459" s="25" t="s">
        <v>5484</v>
      </c>
      <c r="N2459" s="22"/>
      <c r="O2459" s="22" t="s">
        <v>5485</v>
      </c>
      <c r="P2459" s="22" t="str">
        <f>HYPERLINK("https://ceds.ed.gov/cedselementdetails.aspx?termid=22556")</f>
        <v>https://ceds.ed.gov/cedselementdetails.aspx?termid=22556</v>
      </c>
      <c r="Q2459" s="22">
        <v>61934</v>
      </c>
    </row>
    <row r="2460" spans="1:17" ht="100.8" x14ac:dyDescent="0.3">
      <c r="A2460" s="22" t="s">
        <v>7839</v>
      </c>
      <c r="B2460" s="22" t="s">
        <v>7845</v>
      </c>
      <c r="C2460" s="22" t="s">
        <v>7742</v>
      </c>
      <c r="D2460" s="22" t="s">
        <v>7710</v>
      </c>
      <c r="E2460" s="22" t="s">
        <v>5486</v>
      </c>
      <c r="F2460" s="24" t="s">
        <v>8254</v>
      </c>
      <c r="G2460" s="26" t="s">
        <v>9036</v>
      </c>
      <c r="H2460" s="22"/>
      <c r="I2460" s="22"/>
      <c r="J2460" s="22"/>
      <c r="K2460" s="24"/>
      <c r="L2460" s="24"/>
      <c r="M2460" s="25" t="s">
        <v>5487</v>
      </c>
      <c r="N2460" s="22"/>
      <c r="O2460" s="22" t="s">
        <v>5488</v>
      </c>
      <c r="P2460" s="22" t="str">
        <f>HYPERLINK("https://ceds.ed.gov/cedselementdetails.aspx?termid=22621")</f>
        <v>https://ceds.ed.gov/cedselementdetails.aspx?termid=22621</v>
      </c>
      <c r="Q2460" s="22">
        <v>62310</v>
      </c>
    </row>
    <row r="2461" spans="1:17" ht="57.6" x14ac:dyDescent="0.3">
      <c r="A2461" s="22" t="s">
        <v>7839</v>
      </c>
      <c r="B2461" s="22" t="s">
        <v>7845</v>
      </c>
      <c r="C2461" s="22" t="s">
        <v>7742</v>
      </c>
      <c r="D2461" s="22" t="s">
        <v>7710</v>
      </c>
      <c r="E2461" s="22" t="s">
        <v>5497</v>
      </c>
      <c r="F2461" s="24" t="s">
        <v>5498</v>
      </c>
      <c r="G2461" s="26" t="s">
        <v>9038</v>
      </c>
      <c r="H2461" s="22"/>
      <c r="I2461" s="22"/>
      <c r="J2461" s="22"/>
      <c r="K2461" s="24"/>
      <c r="L2461" s="24"/>
      <c r="M2461" s="25" t="s">
        <v>5499</v>
      </c>
      <c r="N2461" s="22"/>
      <c r="O2461" s="22" t="s">
        <v>5500</v>
      </c>
      <c r="P2461" s="22" t="str">
        <f>HYPERLINK("https://ceds.ed.gov/cedselementdetails.aspx?termid=22557")</f>
        <v>https://ceds.ed.gov/cedselementdetails.aspx?termid=22557</v>
      </c>
      <c r="Q2461" s="22">
        <v>61936</v>
      </c>
    </row>
    <row r="2462" spans="1:17" ht="43.2" x14ac:dyDescent="0.3">
      <c r="A2462" s="22" t="s">
        <v>7839</v>
      </c>
      <c r="B2462" s="22" t="s">
        <v>7845</v>
      </c>
      <c r="C2462" s="22" t="s">
        <v>7742</v>
      </c>
      <c r="D2462" s="22" t="s">
        <v>7710</v>
      </c>
      <c r="E2462" s="22" t="s">
        <v>5617</v>
      </c>
      <c r="F2462" s="24" t="s">
        <v>7610</v>
      </c>
      <c r="G2462" s="23" t="s">
        <v>32</v>
      </c>
      <c r="H2462" s="22"/>
      <c r="I2462" s="22"/>
      <c r="J2462" s="22" t="s">
        <v>317</v>
      </c>
      <c r="K2462" s="24"/>
      <c r="L2462" s="24"/>
      <c r="M2462" s="25" t="s">
        <v>5618</v>
      </c>
      <c r="N2462" s="22"/>
      <c r="O2462" s="22" t="s">
        <v>5619</v>
      </c>
      <c r="P2462" s="22" t="str">
        <f>HYPERLINK("https://ceds.ed.gov/cedselementdetails.aspx?termid=22384")</f>
        <v>https://ceds.ed.gov/cedselementdetails.aspx?termid=22384</v>
      </c>
      <c r="Q2462" s="22">
        <v>61296</v>
      </c>
    </row>
    <row r="2463" spans="1:17" ht="144" x14ac:dyDescent="0.3">
      <c r="A2463" s="22" t="s">
        <v>7839</v>
      </c>
      <c r="B2463" s="22" t="s">
        <v>7845</v>
      </c>
      <c r="C2463" s="22" t="s">
        <v>7742</v>
      </c>
      <c r="D2463" s="22" t="s">
        <v>7710</v>
      </c>
      <c r="E2463" s="22" t="s">
        <v>5793</v>
      </c>
      <c r="F2463" s="24" t="s">
        <v>5794</v>
      </c>
      <c r="G2463" s="26" t="s">
        <v>9024</v>
      </c>
      <c r="H2463" s="22"/>
      <c r="I2463" s="22"/>
      <c r="J2463" s="22"/>
      <c r="K2463" s="24"/>
      <c r="L2463" s="24"/>
      <c r="M2463" s="25" t="s">
        <v>5795</v>
      </c>
      <c r="N2463" s="22"/>
      <c r="O2463" s="22" t="s">
        <v>5796</v>
      </c>
      <c r="P2463" s="22" t="str">
        <f>HYPERLINK("https://ceds.ed.gov/cedselementdetails.aspx?termid=22195")</f>
        <v>https://ceds.ed.gov/cedselementdetails.aspx?termid=22195</v>
      </c>
      <c r="Q2463" s="22">
        <v>59683</v>
      </c>
    </row>
    <row r="2464" spans="1:17" ht="86.4" x14ac:dyDescent="0.3">
      <c r="A2464" s="22" t="s">
        <v>7839</v>
      </c>
      <c r="B2464" s="22" t="s">
        <v>7845</v>
      </c>
      <c r="C2464" s="22" t="s">
        <v>7742</v>
      </c>
      <c r="D2464" s="22" t="s">
        <v>7710</v>
      </c>
      <c r="E2464" s="22" t="s">
        <v>6782</v>
      </c>
      <c r="F2464" s="24" t="s">
        <v>6783</v>
      </c>
      <c r="G2464" s="26" t="s">
        <v>22</v>
      </c>
      <c r="H2464" s="24" t="s">
        <v>2121</v>
      </c>
      <c r="I2464" s="22"/>
      <c r="J2464" s="22"/>
      <c r="K2464" s="24"/>
      <c r="L2464" s="24"/>
      <c r="M2464" s="25" t="s">
        <v>6785</v>
      </c>
      <c r="N2464" s="22"/>
      <c r="O2464" s="22" t="s">
        <v>6786</v>
      </c>
      <c r="P2464" s="22" t="str">
        <f>HYPERLINK("https://ceds.ed.gov/cedselementdetails.aspx?termid=21573")</f>
        <v>https://ceds.ed.gov/cedselementdetails.aspx?termid=21573</v>
      </c>
      <c r="Q2464" s="22">
        <v>61425</v>
      </c>
    </row>
    <row r="2465" spans="1:17" ht="72" x14ac:dyDescent="0.3">
      <c r="A2465" s="22" t="s">
        <v>7839</v>
      </c>
      <c r="B2465" s="22" t="s">
        <v>7845</v>
      </c>
      <c r="C2465" s="22" t="s">
        <v>7742</v>
      </c>
      <c r="D2465" s="22" t="s">
        <v>7710</v>
      </c>
      <c r="E2465" s="22" t="s">
        <v>3090</v>
      </c>
      <c r="F2465" s="24" t="s">
        <v>3091</v>
      </c>
      <c r="G2465" s="26" t="s">
        <v>22</v>
      </c>
      <c r="H2465" s="22"/>
      <c r="I2465" s="22"/>
      <c r="J2465" s="22"/>
      <c r="K2465" s="24"/>
      <c r="L2465" s="24" t="s">
        <v>3092</v>
      </c>
      <c r="M2465" s="25" t="s">
        <v>3093</v>
      </c>
      <c r="N2465" s="22"/>
      <c r="O2465" s="22" t="s">
        <v>3094</v>
      </c>
      <c r="P2465" s="22" t="str">
        <f>HYPERLINK("https://ceds.ed.gov/cedselementdetails.aspx?termid=21974")</f>
        <v>https://ceds.ed.gov/cedselementdetails.aspx?termid=21974</v>
      </c>
      <c r="Q2465" s="22">
        <v>63180</v>
      </c>
    </row>
    <row r="2466" spans="1:17" ht="409.6" x14ac:dyDescent="0.3">
      <c r="A2466" s="22" t="s">
        <v>7839</v>
      </c>
      <c r="B2466" s="22" t="s">
        <v>7845</v>
      </c>
      <c r="C2466" s="22" t="s">
        <v>7742</v>
      </c>
      <c r="D2466" s="22" t="s">
        <v>7710</v>
      </c>
      <c r="E2466" s="22" t="s">
        <v>2531</v>
      </c>
      <c r="F2466" s="24" t="s">
        <v>2532</v>
      </c>
      <c r="G2466" s="26" t="s">
        <v>8743</v>
      </c>
      <c r="H2466" s="24" t="s">
        <v>2535</v>
      </c>
      <c r="I2466" s="22"/>
      <c r="J2466" s="22"/>
      <c r="K2466" s="24"/>
      <c r="L2466" s="24" t="s">
        <v>8055</v>
      </c>
      <c r="M2466" s="25" t="s">
        <v>2533</v>
      </c>
      <c r="N2466" s="22"/>
      <c r="O2466" s="22" t="s">
        <v>2534</v>
      </c>
      <c r="P2466" s="22" t="str">
        <f>HYPERLINK("https://ceds.ed.gov/cedselementdetails.aspx?termid=21051")</f>
        <v>https://ceds.ed.gov/cedselementdetails.aspx?termid=21051</v>
      </c>
      <c r="Q2466" s="22">
        <v>63432</v>
      </c>
    </row>
    <row r="2467" spans="1:17" ht="115.2" x14ac:dyDescent="0.3">
      <c r="A2467" s="22" t="s">
        <v>7839</v>
      </c>
      <c r="B2467" s="22" t="s">
        <v>7845</v>
      </c>
      <c r="C2467" s="22" t="s">
        <v>7742</v>
      </c>
      <c r="D2467" s="22" t="s">
        <v>7710</v>
      </c>
      <c r="E2467" s="22" t="s">
        <v>6924</v>
      </c>
      <c r="F2467" s="24" t="s">
        <v>8326</v>
      </c>
      <c r="G2467" s="23" t="s">
        <v>32</v>
      </c>
      <c r="H2467" s="22" t="s">
        <v>69</v>
      </c>
      <c r="I2467" s="22"/>
      <c r="J2467" s="22" t="s">
        <v>6925</v>
      </c>
      <c r="K2467" s="24"/>
      <c r="L2467" s="24"/>
      <c r="M2467" s="25" t="s">
        <v>6926</v>
      </c>
      <c r="N2467" s="22"/>
      <c r="O2467" s="22" t="s">
        <v>6927</v>
      </c>
      <c r="P2467" s="22" t="str">
        <f>HYPERLINK("https://ceds.ed.gov/cedselementdetails.aspx?termid=21707")</f>
        <v>https://ceds.ed.gov/cedselementdetails.aspx?termid=21707</v>
      </c>
      <c r="Q2467" s="22">
        <v>63433</v>
      </c>
    </row>
    <row r="2468" spans="1:17" ht="57.6" x14ac:dyDescent="0.3">
      <c r="A2468" s="22" t="s">
        <v>7839</v>
      </c>
      <c r="B2468" s="22" t="s">
        <v>7845</v>
      </c>
      <c r="C2468" s="22" t="s">
        <v>7742</v>
      </c>
      <c r="D2468" s="22" t="s">
        <v>7710</v>
      </c>
      <c r="E2468" s="22" t="s">
        <v>7288</v>
      </c>
      <c r="F2468" s="24" t="s">
        <v>7289</v>
      </c>
      <c r="G2468" s="23" t="s">
        <v>7423</v>
      </c>
      <c r="H2468" s="22"/>
      <c r="I2468" s="22"/>
      <c r="J2468" s="22"/>
      <c r="K2468" s="24"/>
      <c r="L2468" s="24"/>
      <c r="M2468" s="25" t="s">
        <v>7290</v>
      </c>
      <c r="N2468" s="22"/>
      <c r="O2468" s="22" t="s">
        <v>7291</v>
      </c>
      <c r="P2468" s="22" t="str">
        <f>HYPERLINK("https://ceds.ed.gov/cedselementdetails.aspx?termid=22638")</f>
        <v>https://ceds.ed.gov/cedselementdetails.aspx?termid=22638</v>
      </c>
      <c r="Q2468" s="22">
        <v>63434</v>
      </c>
    </row>
    <row r="2469" spans="1:17" ht="158.4" x14ac:dyDescent="0.3">
      <c r="A2469" s="22" t="s">
        <v>7839</v>
      </c>
      <c r="B2469" s="22" t="s">
        <v>7845</v>
      </c>
      <c r="C2469" s="22" t="s">
        <v>7742</v>
      </c>
      <c r="D2469" s="22" t="s">
        <v>7710</v>
      </c>
      <c r="E2469" s="22" t="s">
        <v>7447</v>
      </c>
      <c r="F2469" s="24" t="s">
        <v>7448</v>
      </c>
      <c r="G2469" s="26" t="s">
        <v>8725</v>
      </c>
      <c r="H2469" s="22"/>
      <c r="I2469" s="22"/>
      <c r="J2469" s="22"/>
      <c r="K2469" s="24"/>
      <c r="L2469" s="24" t="s">
        <v>7449</v>
      </c>
      <c r="M2469" s="25" t="s">
        <v>7450</v>
      </c>
      <c r="N2469" s="22"/>
      <c r="O2469" s="22" t="s">
        <v>7451</v>
      </c>
      <c r="P2469" s="22" t="str">
        <f>HYPERLINK("https://ceds.ed.gov/cedselementdetails.aspx?termid=22917")</f>
        <v>https://ceds.ed.gov/cedselementdetails.aspx?termid=22917</v>
      </c>
      <c r="Q2469" s="22">
        <v>63650</v>
      </c>
    </row>
    <row r="2470" spans="1:17" ht="57.6" x14ac:dyDescent="0.3">
      <c r="A2470" s="22" t="s">
        <v>7839</v>
      </c>
      <c r="B2470" s="22" t="s">
        <v>7845</v>
      </c>
      <c r="C2470" s="22" t="s">
        <v>7742</v>
      </c>
      <c r="D2470" s="22" t="s">
        <v>7710</v>
      </c>
      <c r="E2470" s="22" t="s">
        <v>7524</v>
      </c>
      <c r="F2470" s="24" t="s">
        <v>7525</v>
      </c>
      <c r="G2470" s="26" t="s">
        <v>8725</v>
      </c>
      <c r="H2470" s="22"/>
      <c r="I2470" s="22"/>
      <c r="J2470" s="22"/>
      <c r="K2470" s="24"/>
      <c r="L2470" s="24"/>
      <c r="M2470" s="25" t="s">
        <v>7526</v>
      </c>
      <c r="N2470" s="22"/>
      <c r="O2470" s="22" t="s">
        <v>7527</v>
      </c>
      <c r="P2470" s="22" t="str">
        <f>HYPERLINK("https://ceds.ed.gov/cedselementdetails.aspx?termid=22931")</f>
        <v>https://ceds.ed.gov/cedselementdetails.aspx?termid=22931</v>
      </c>
      <c r="Q2470" s="22">
        <v>63651</v>
      </c>
    </row>
    <row r="2471" spans="1:17" ht="57.6" x14ac:dyDescent="0.3">
      <c r="A2471" s="22" t="s">
        <v>7839</v>
      </c>
      <c r="B2471" s="22" t="s">
        <v>7845</v>
      </c>
      <c r="C2471" s="22" t="s">
        <v>7742</v>
      </c>
      <c r="D2471" s="22" t="s">
        <v>7710</v>
      </c>
      <c r="E2471" s="22" t="s">
        <v>7528</v>
      </c>
      <c r="F2471" s="24" t="s">
        <v>7529</v>
      </c>
      <c r="G2471" s="26" t="s">
        <v>22</v>
      </c>
      <c r="H2471" s="22"/>
      <c r="I2471" s="22"/>
      <c r="J2471" s="22"/>
      <c r="K2471" s="24"/>
      <c r="L2471" s="24"/>
      <c r="M2471" s="25" t="s">
        <v>7530</v>
      </c>
      <c r="N2471" s="22"/>
      <c r="O2471" s="22" t="s">
        <v>7531</v>
      </c>
      <c r="P2471" s="22" t="str">
        <f>HYPERLINK("https://ceds.ed.gov/cedselementdetails.aspx?termid=22932")</f>
        <v>https://ceds.ed.gov/cedselementdetails.aspx?termid=22932</v>
      </c>
      <c r="Q2471" s="22">
        <v>63652</v>
      </c>
    </row>
    <row r="2472" spans="1:17" ht="115.2" x14ac:dyDescent="0.3">
      <c r="A2472" s="22" t="s">
        <v>7839</v>
      </c>
      <c r="B2472" s="22" t="s">
        <v>7845</v>
      </c>
      <c r="C2472" s="22" t="s">
        <v>7742</v>
      </c>
      <c r="D2472" s="22" t="s">
        <v>7710</v>
      </c>
      <c r="E2472" s="22" t="s">
        <v>7532</v>
      </c>
      <c r="F2472" s="24" t="s">
        <v>7533</v>
      </c>
      <c r="G2472" s="26" t="s">
        <v>3039</v>
      </c>
      <c r="H2472" s="22"/>
      <c r="I2472" s="22"/>
      <c r="J2472" s="22"/>
      <c r="K2472" s="24"/>
      <c r="L2472" s="24"/>
      <c r="M2472" s="25" t="s">
        <v>7534</v>
      </c>
      <c r="N2472" s="22"/>
      <c r="O2472" s="22" t="s">
        <v>7535</v>
      </c>
      <c r="P2472" s="22" t="str">
        <f>HYPERLINK("https://ceds.ed.gov/cedselementdetails.aspx?termid=22933")</f>
        <v>https://ceds.ed.gov/cedselementdetails.aspx?termid=22933</v>
      </c>
      <c r="Q2472" s="22">
        <v>63653</v>
      </c>
    </row>
    <row r="2473" spans="1:17" ht="86.4" x14ac:dyDescent="0.3">
      <c r="A2473" s="22" t="s">
        <v>7839</v>
      </c>
      <c r="B2473" s="22" t="s">
        <v>7845</v>
      </c>
      <c r="C2473" s="22" t="s">
        <v>7742</v>
      </c>
      <c r="D2473" s="22" t="s">
        <v>7710</v>
      </c>
      <c r="E2473" s="22" t="s">
        <v>7579</v>
      </c>
      <c r="F2473" s="24" t="s">
        <v>7580</v>
      </c>
      <c r="G2473" s="26" t="s">
        <v>9022</v>
      </c>
      <c r="H2473" s="22"/>
      <c r="I2473" s="22"/>
      <c r="J2473" s="22"/>
      <c r="K2473" s="24"/>
      <c r="L2473" s="24" t="s">
        <v>7581</v>
      </c>
      <c r="M2473" s="25" t="s">
        <v>7582</v>
      </c>
      <c r="N2473" s="22"/>
      <c r="O2473" s="22" t="s">
        <v>7583</v>
      </c>
      <c r="P2473" s="22" t="str">
        <f>HYPERLINK("https://ceds.ed.gov/cedselementdetails.aspx?termid=22942")</f>
        <v>https://ceds.ed.gov/cedselementdetails.aspx?termid=22942</v>
      </c>
      <c r="Q2473" s="22">
        <v>63654</v>
      </c>
    </row>
    <row r="2474" spans="1:17" ht="86.4" x14ac:dyDescent="0.3">
      <c r="A2474" s="22" t="s">
        <v>7839</v>
      </c>
      <c r="B2474" s="22" t="s">
        <v>7845</v>
      </c>
      <c r="C2474" s="22" t="s">
        <v>7742</v>
      </c>
      <c r="D2474" s="22" t="s">
        <v>7710</v>
      </c>
      <c r="E2474" s="22" t="s">
        <v>7611</v>
      </c>
      <c r="F2474" s="24" t="s">
        <v>7612</v>
      </c>
      <c r="G2474" s="26" t="s">
        <v>9047</v>
      </c>
      <c r="H2474" s="22"/>
      <c r="I2474" s="22"/>
      <c r="J2474" s="22"/>
      <c r="K2474" s="24"/>
      <c r="L2474" s="24"/>
      <c r="M2474" s="25" t="s">
        <v>7613</v>
      </c>
      <c r="N2474" s="22"/>
      <c r="O2474" s="22" t="s">
        <v>7614</v>
      </c>
      <c r="P2474" s="22" t="str">
        <f>HYPERLINK("https://ceds.ed.gov/cedselementdetails.aspx?termid=22949")</f>
        <v>https://ceds.ed.gov/cedselementdetails.aspx?termid=22949</v>
      </c>
      <c r="Q2474" s="22">
        <v>63655</v>
      </c>
    </row>
    <row r="2475" spans="1:17" ht="144" x14ac:dyDescent="0.3">
      <c r="A2475" s="22" t="s">
        <v>7839</v>
      </c>
      <c r="B2475" s="22" t="s">
        <v>7845</v>
      </c>
      <c r="C2475" s="22" t="s">
        <v>7742</v>
      </c>
      <c r="D2475" s="22" t="s">
        <v>7710</v>
      </c>
      <c r="E2475" s="22" t="s">
        <v>7640</v>
      </c>
      <c r="F2475" s="24" t="s">
        <v>7641</v>
      </c>
      <c r="G2475" s="26" t="s">
        <v>9121</v>
      </c>
      <c r="H2475" s="22"/>
      <c r="I2475" s="22"/>
      <c r="J2475" s="22"/>
      <c r="K2475" s="24"/>
      <c r="L2475" s="24" t="s">
        <v>7642</v>
      </c>
      <c r="M2475" s="25" t="s">
        <v>7643</v>
      </c>
      <c r="N2475" s="22"/>
      <c r="O2475" s="22" t="s">
        <v>7640</v>
      </c>
      <c r="P2475" s="22" t="str">
        <f>HYPERLINK("https://ceds.ed.gov/cedselementdetails.aspx?termid=22955")</f>
        <v>https://ceds.ed.gov/cedselementdetails.aspx?termid=22955</v>
      </c>
      <c r="Q2475" s="22">
        <v>63656</v>
      </c>
    </row>
    <row r="2476" spans="1:17" ht="244.8" x14ac:dyDescent="0.3">
      <c r="A2476" s="22" t="s">
        <v>7839</v>
      </c>
      <c r="B2476" s="22" t="s">
        <v>7845</v>
      </c>
      <c r="C2476" s="22" t="s">
        <v>7846</v>
      </c>
      <c r="D2476" s="22" t="s">
        <v>7710</v>
      </c>
      <c r="E2476" s="22" t="s">
        <v>6933</v>
      </c>
      <c r="F2476" s="24" t="s">
        <v>6934</v>
      </c>
      <c r="G2476" s="26" t="s">
        <v>9151</v>
      </c>
      <c r="H2476" s="22" t="s">
        <v>242</v>
      </c>
      <c r="I2476" s="22"/>
      <c r="J2476" s="22"/>
      <c r="K2476" s="24"/>
      <c r="L2476" s="24"/>
      <c r="M2476" s="25" t="s">
        <v>6935</v>
      </c>
      <c r="N2476" s="22"/>
      <c r="O2476" s="22" t="s">
        <v>6936</v>
      </c>
      <c r="P2476" s="22" t="str">
        <f>HYPERLINK("https://ceds.ed.gov/cedselementdetails.aspx?termid=21266")</f>
        <v>https://ceds.ed.gov/cedselementdetails.aspx?termid=21266</v>
      </c>
      <c r="Q2476" s="22">
        <v>58784</v>
      </c>
    </row>
    <row r="2477" spans="1:17" ht="43.2" x14ac:dyDescent="0.3">
      <c r="A2477" s="22" t="s">
        <v>7839</v>
      </c>
      <c r="B2477" s="22" t="s">
        <v>7845</v>
      </c>
      <c r="C2477" s="22" t="s">
        <v>7846</v>
      </c>
      <c r="D2477" s="22" t="s">
        <v>7710</v>
      </c>
      <c r="E2477" s="22" t="s">
        <v>6928</v>
      </c>
      <c r="F2477" s="24" t="s">
        <v>6929</v>
      </c>
      <c r="G2477" s="23" t="s">
        <v>32</v>
      </c>
      <c r="H2477" s="22" t="s">
        <v>242</v>
      </c>
      <c r="I2477" s="22"/>
      <c r="J2477" s="22" t="s">
        <v>148</v>
      </c>
      <c r="K2477" s="24"/>
      <c r="L2477" s="24"/>
      <c r="M2477" s="25" t="s">
        <v>6931</v>
      </c>
      <c r="N2477" s="22"/>
      <c r="O2477" s="22" t="s">
        <v>6932</v>
      </c>
      <c r="P2477" s="22" t="str">
        <f>HYPERLINK("https://ceds.ed.gov/cedselementdetails.aspx?termid=21265")</f>
        <v>https://ceds.ed.gov/cedselementdetails.aspx?termid=21265</v>
      </c>
      <c r="Q2477" s="22">
        <v>58783</v>
      </c>
    </row>
    <row r="2478" spans="1:17" ht="43.2" x14ac:dyDescent="0.3">
      <c r="A2478" s="22" t="s">
        <v>7839</v>
      </c>
      <c r="B2478" s="22" t="s">
        <v>7845</v>
      </c>
      <c r="C2478" s="22" t="s">
        <v>7846</v>
      </c>
      <c r="D2478" s="22" t="s">
        <v>7710</v>
      </c>
      <c r="E2478" s="22" t="s">
        <v>396</v>
      </c>
      <c r="F2478" s="24" t="s">
        <v>7963</v>
      </c>
      <c r="G2478" s="23" t="s">
        <v>32</v>
      </c>
      <c r="H2478" s="24" t="s">
        <v>399</v>
      </c>
      <c r="I2478" s="22"/>
      <c r="J2478" s="22" t="s">
        <v>118</v>
      </c>
      <c r="K2478" s="24"/>
      <c r="L2478" s="24"/>
      <c r="M2478" s="25" t="s">
        <v>397</v>
      </c>
      <c r="N2478" s="22"/>
      <c r="O2478" s="22" t="s">
        <v>398</v>
      </c>
      <c r="P2478" s="22" t="str">
        <f>HYPERLINK("https://ceds.ed.gov/cedselementdetails.aspx?termid=21323")</f>
        <v>https://ceds.ed.gov/cedselementdetails.aspx?termid=21323</v>
      </c>
      <c r="Q2478" s="22">
        <v>63647</v>
      </c>
    </row>
    <row r="2479" spans="1:17" ht="172.8" x14ac:dyDescent="0.3">
      <c r="A2479" s="22" t="s">
        <v>7839</v>
      </c>
      <c r="B2479" s="22" t="s">
        <v>7845</v>
      </c>
      <c r="C2479" s="22" t="s">
        <v>7847</v>
      </c>
      <c r="D2479" s="22" t="s">
        <v>7710</v>
      </c>
      <c r="E2479" s="22" t="s">
        <v>7040</v>
      </c>
      <c r="F2479" s="24" t="s">
        <v>7041</v>
      </c>
      <c r="G2479" s="23" t="s">
        <v>32</v>
      </c>
      <c r="H2479" s="24" t="s">
        <v>7039</v>
      </c>
      <c r="I2479" s="22" t="s">
        <v>172</v>
      </c>
      <c r="J2479" s="22" t="s">
        <v>132</v>
      </c>
      <c r="K2479" s="24" t="s">
        <v>7946</v>
      </c>
      <c r="L2479" s="24" t="s">
        <v>7945</v>
      </c>
      <c r="M2479" s="25" t="s">
        <v>7042</v>
      </c>
      <c r="N2479" s="22"/>
      <c r="O2479" s="22" t="s">
        <v>7043</v>
      </c>
      <c r="P2479" s="22" t="str">
        <f>HYPERLINK("https://ceds.ed.gov/cedselementdetails.aspx?termid=21157")</f>
        <v>https://ceds.ed.gov/cedselementdetails.aspx?termid=21157</v>
      </c>
      <c r="Q2479" s="22">
        <v>60021</v>
      </c>
    </row>
    <row r="2480" spans="1:17" ht="144" x14ac:dyDescent="0.3">
      <c r="A2480" s="22" t="s">
        <v>7839</v>
      </c>
      <c r="B2480" s="22" t="s">
        <v>7845</v>
      </c>
      <c r="C2480" s="22" t="s">
        <v>7847</v>
      </c>
      <c r="D2480" s="22" t="s">
        <v>7710</v>
      </c>
      <c r="E2480" s="22" t="s">
        <v>7035</v>
      </c>
      <c r="F2480" s="24" t="s">
        <v>7036</v>
      </c>
      <c r="G2480" s="26" t="s">
        <v>8540</v>
      </c>
      <c r="H2480" s="24" t="s">
        <v>7039</v>
      </c>
      <c r="I2480" s="22" t="s">
        <v>172</v>
      </c>
      <c r="J2480" s="22"/>
      <c r="K2480" s="24" t="s">
        <v>7946</v>
      </c>
      <c r="L2480" s="24"/>
      <c r="M2480" s="25" t="s">
        <v>7037</v>
      </c>
      <c r="N2480" s="22"/>
      <c r="O2480" s="22" t="s">
        <v>7038</v>
      </c>
      <c r="P2480" s="22" t="str">
        <f>HYPERLINK("https://ceds.ed.gov/cedselementdetails.aspx?termid=21163")</f>
        <v>https://ceds.ed.gov/cedselementdetails.aspx?termid=21163</v>
      </c>
      <c r="Q2480" s="22">
        <v>60022</v>
      </c>
    </row>
    <row r="2481" spans="1:17" ht="172.8" x14ac:dyDescent="0.3">
      <c r="A2481" s="22" t="s">
        <v>7839</v>
      </c>
      <c r="B2481" s="22" t="s">
        <v>7845</v>
      </c>
      <c r="C2481" s="22" t="s">
        <v>7847</v>
      </c>
      <c r="D2481" s="22" t="s">
        <v>7710</v>
      </c>
      <c r="E2481" s="22" t="s">
        <v>6625</v>
      </c>
      <c r="F2481" s="24" t="s">
        <v>280</v>
      </c>
      <c r="G2481" s="23" t="s">
        <v>32</v>
      </c>
      <c r="H2481" s="24" t="s">
        <v>6624</v>
      </c>
      <c r="I2481" s="22" t="s">
        <v>172</v>
      </c>
      <c r="J2481" s="22" t="s">
        <v>132</v>
      </c>
      <c r="K2481" s="24" t="s">
        <v>7946</v>
      </c>
      <c r="L2481" s="24" t="s">
        <v>7945</v>
      </c>
      <c r="M2481" s="25" t="s">
        <v>6626</v>
      </c>
      <c r="N2481" s="22"/>
      <c r="O2481" s="22" t="s">
        <v>6627</v>
      </c>
      <c r="P2481" s="22" t="str">
        <f>HYPERLINK("https://ceds.ed.gov/cedselementdetails.aspx?termid=21155")</f>
        <v>https://ceds.ed.gov/cedselementdetails.aspx?termid=21155</v>
      </c>
      <c r="Q2481" s="22">
        <v>58759</v>
      </c>
    </row>
    <row r="2482" spans="1:17" ht="187.2" x14ac:dyDescent="0.3">
      <c r="A2482" s="22" t="s">
        <v>7839</v>
      </c>
      <c r="B2482" s="22" t="s">
        <v>7845</v>
      </c>
      <c r="C2482" s="22" t="s">
        <v>7847</v>
      </c>
      <c r="D2482" s="22" t="s">
        <v>7710</v>
      </c>
      <c r="E2482" s="22" t="s">
        <v>6621</v>
      </c>
      <c r="F2482" s="24" t="s">
        <v>275</v>
      </c>
      <c r="G2482" s="26" t="s">
        <v>8521</v>
      </c>
      <c r="H2482" s="24" t="s">
        <v>6624</v>
      </c>
      <c r="I2482" s="22" t="s">
        <v>172</v>
      </c>
      <c r="J2482" s="22"/>
      <c r="K2482" s="24" t="s">
        <v>7946</v>
      </c>
      <c r="L2482" s="24"/>
      <c r="M2482" s="25" t="s">
        <v>6622</v>
      </c>
      <c r="N2482" s="22"/>
      <c r="O2482" s="22" t="s">
        <v>6623</v>
      </c>
      <c r="P2482" s="22" t="str">
        <f>HYPERLINK("https://ceds.ed.gov/cedselementdetails.aspx?termid=21161")</f>
        <v>https://ceds.ed.gov/cedselementdetails.aspx?termid=21161</v>
      </c>
      <c r="Q2482" s="22">
        <v>58762</v>
      </c>
    </row>
    <row r="2483" spans="1:17" ht="172.8" x14ac:dyDescent="0.3">
      <c r="A2483" s="22" t="s">
        <v>7839</v>
      </c>
      <c r="B2483" s="22" t="s">
        <v>7845</v>
      </c>
      <c r="C2483" s="22" t="s">
        <v>7847</v>
      </c>
      <c r="D2483" s="22" t="s">
        <v>7710</v>
      </c>
      <c r="E2483" s="22" t="s">
        <v>5343</v>
      </c>
      <c r="F2483" s="24" t="s">
        <v>5344</v>
      </c>
      <c r="G2483" s="23" t="s">
        <v>32</v>
      </c>
      <c r="H2483" s="24" t="s">
        <v>5342</v>
      </c>
      <c r="I2483" s="22" t="s">
        <v>172</v>
      </c>
      <c r="J2483" s="22" t="s">
        <v>132</v>
      </c>
      <c r="K2483" s="24" t="s">
        <v>7946</v>
      </c>
      <c r="L2483" s="24" t="s">
        <v>8043</v>
      </c>
      <c r="M2483" s="25" t="s">
        <v>5345</v>
      </c>
      <c r="N2483" s="22" t="s">
        <v>5346</v>
      </c>
      <c r="O2483" s="22" t="s">
        <v>5347</v>
      </c>
      <c r="P2483" s="22" t="str">
        <f>HYPERLINK("https://ceds.ed.gov/cedselementdetails.aspx?termid=21153")</f>
        <v>https://ceds.ed.gov/cedselementdetails.aspx?termid=21153</v>
      </c>
      <c r="Q2483" s="22">
        <v>58758</v>
      </c>
    </row>
    <row r="2484" spans="1:17" ht="172.8" x14ac:dyDescent="0.3">
      <c r="A2484" s="22" t="s">
        <v>7839</v>
      </c>
      <c r="B2484" s="22" t="s">
        <v>7845</v>
      </c>
      <c r="C2484" s="22" t="s">
        <v>7847</v>
      </c>
      <c r="D2484" s="22" t="s">
        <v>7710</v>
      </c>
      <c r="E2484" s="22" t="s">
        <v>5337</v>
      </c>
      <c r="F2484" s="24" t="s">
        <v>5338</v>
      </c>
      <c r="G2484" s="26" t="s">
        <v>8472</v>
      </c>
      <c r="H2484" s="24" t="s">
        <v>5342</v>
      </c>
      <c r="I2484" s="22" t="s">
        <v>172</v>
      </c>
      <c r="J2484" s="22"/>
      <c r="K2484" s="24" t="s">
        <v>7946</v>
      </c>
      <c r="L2484" s="24"/>
      <c r="M2484" s="25" t="s">
        <v>5339</v>
      </c>
      <c r="N2484" s="22" t="s">
        <v>5340</v>
      </c>
      <c r="O2484" s="22" t="s">
        <v>5341</v>
      </c>
      <c r="P2484" s="22" t="str">
        <f>HYPERLINK("https://ceds.ed.gov/cedselementdetails.aspx?termid=21159")</f>
        <v>https://ceds.ed.gov/cedselementdetails.aspx?termid=21159</v>
      </c>
      <c r="Q2484" s="22">
        <v>58761</v>
      </c>
    </row>
    <row r="2485" spans="1:17" ht="187.2" x14ac:dyDescent="0.3">
      <c r="A2485" s="22" t="s">
        <v>7839</v>
      </c>
      <c r="B2485" s="22" t="s">
        <v>7845</v>
      </c>
      <c r="C2485" s="22" t="s">
        <v>7847</v>
      </c>
      <c r="D2485" s="22" t="s">
        <v>7710</v>
      </c>
      <c r="E2485" s="22" t="s">
        <v>5525</v>
      </c>
      <c r="F2485" s="24" t="s">
        <v>5526</v>
      </c>
      <c r="G2485" s="23" t="s">
        <v>32</v>
      </c>
      <c r="H2485" s="24" t="s">
        <v>5529</v>
      </c>
      <c r="I2485" s="22" t="s">
        <v>172</v>
      </c>
      <c r="J2485" s="22" t="s">
        <v>157</v>
      </c>
      <c r="K2485" s="24" t="s">
        <v>7946</v>
      </c>
      <c r="L2485" s="24"/>
      <c r="M2485" s="25" t="s">
        <v>5527</v>
      </c>
      <c r="N2485" s="22"/>
      <c r="O2485" s="22" t="s">
        <v>5528</v>
      </c>
      <c r="P2485" s="22" t="str">
        <f>HYPERLINK("https://ceds.ed.gov/cedselementdetails.aspx?termid=21191")</f>
        <v>https://ceds.ed.gov/cedselementdetails.aspx?termid=21191</v>
      </c>
      <c r="Q2485" s="22">
        <v>58771</v>
      </c>
    </row>
    <row r="2486" spans="1:17" ht="86.4" x14ac:dyDescent="0.3">
      <c r="A2486" s="22" t="s">
        <v>7839</v>
      </c>
      <c r="B2486" s="22" t="s">
        <v>7845</v>
      </c>
      <c r="C2486" s="22" t="s">
        <v>7847</v>
      </c>
      <c r="D2486" s="22" t="s">
        <v>7710</v>
      </c>
      <c r="E2486" s="22" t="s">
        <v>8312</v>
      </c>
      <c r="F2486" s="24" t="s">
        <v>8313</v>
      </c>
      <c r="G2486" s="23" t="s">
        <v>32</v>
      </c>
      <c r="H2486" s="22"/>
      <c r="I2486" s="22" t="s">
        <v>172</v>
      </c>
      <c r="J2486" s="22" t="s">
        <v>85</v>
      </c>
      <c r="K2486" s="24" t="s">
        <v>8314</v>
      </c>
      <c r="L2486" s="24" t="s">
        <v>6772</v>
      </c>
      <c r="M2486" s="25" t="s">
        <v>6773</v>
      </c>
      <c r="N2486" s="22"/>
      <c r="O2486" s="22" t="s">
        <v>8315</v>
      </c>
      <c r="P2486" s="22" t="str">
        <f>HYPERLINK("https://ceds.ed.gov/cedselementdetails.aspx?termid=22459")</f>
        <v>https://ceds.ed.gov/cedselementdetails.aspx?termid=22459</v>
      </c>
      <c r="Q2486" s="22">
        <v>61421</v>
      </c>
    </row>
    <row r="2487" spans="1:17" ht="158.4" x14ac:dyDescent="0.3">
      <c r="A2487" s="22" t="s">
        <v>7839</v>
      </c>
      <c r="B2487" s="22" t="s">
        <v>7845</v>
      </c>
      <c r="C2487" s="22" t="s">
        <v>7847</v>
      </c>
      <c r="D2487" s="22" t="s">
        <v>7710</v>
      </c>
      <c r="E2487" s="22" t="s">
        <v>2536</v>
      </c>
      <c r="F2487" s="24" t="s">
        <v>2537</v>
      </c>
      <c r="G2487" s="23" t="s">
        <v>32</v>
      </c>
      <c r="H2487" s="22"/>
      <c r="I2487" s="22"/>
      <c r="J2487" s="22" t="s">
        <v>2538</v>
      </c>
      <c r="K2487" s="24"/>
      <c r="L2487" s="24"/>
      <c r="M2487" s="25" t="s">
        <v>2539</v>
      </c>
      <c r="N2487" s="22"/>
      <c r="O2487" s="22" t="s">
        <v>2540</v>
      </c>
      <c r="P2487" s="22" t="str">
        <f>HYPERLINK("https://ceds.ed.gov/cedselementdetails.aspx?termid=22176")</f>
        <v>https://ceds.ed.gov/cedselementdetails.aspx?termid=22176</v>
      </c>
      <c r="Q2487" s="22">
        <v>58738</v>
      </c>
    </row>
    <row r="2488" spans="1:17" ht="115.2" x14ac:dyDescent="0.3">
      <c r="A2488" s="22" t="s">
        <v>7839</v>
      </c>
      <c r="B2488" s="22" t="s">
        <v>7845</v>
      </c>
      <c r="C2488" s="22" t="s">
        <v>7847</v>
      </c>
      <c r="D2488" s="22" t="s">
        <v>7710</v>
      </c>
      <c r="E2488" s="22" t="s">
        <v>3142</v>
      </c>
      <c r="F2488" s="24" t="s">
        <v>3143</v>
      </c>
      <c r="G2488" s="23" t="s">
        <v>32</v>
      </c>
      <c r="H2488" s="24" t="s">
        <v>3148</v>
      </c>
      <c r="I2488" s="22"/>
      <c r="J2488" s="22" t="s">
        <v>3145</v>
      </c>
      <c r="K2488" s="24"/>
      <c r="L2488" s="24"/>
      <c r="M2488" s="25" t="s">
        <v>3146</v>
      </c>
      <c r="N2488" s="22"/>
      <c r="O2488" s="22" t="s">
        <v>3147</v>
      </c>
      <c r="P2488" s="22" t="str">
        <f>HYPERLINK("https://ceds.ed.gov/cedselementdetails.aspx?termid=21081")</f>
        <v>https://ceds.ed.gov/cedselementdetails.aspx?termid=21081</v>
      </c>
      <c r="Q2488" s="22">
        <v>58741</v>
      </c>
    </row>
    <row r="2489" spans="1:17" ht="158.4" x14ac:dyDescent="0.3">
      <c r="A2489" s="22" t="s">
        <v>7839</v>
      </c>
      <c r="B2489" s="22" t="s">
        <v>7845</v>
      </c>
      <c r="C2489" s="22" t="s">
        <v>7847</v>
      </c>
      <c r="D2489" s="22" t="s">
        <v>7710</v>
      </c>
      <c r="E2489" s="22" t="s">
        <v>4206</v>
      </c>
      <c r="F2489" s="24" t="s">
        <v>4207</v>
      </c>
      <c r="G2489" s="23" t="s">
        <v>32</v>
      </c>
      <c r="H2489" s="24" t="s">
        <v>4213</v>
      </c>
      <c r="I2489" s="22"/>
      <c r="J2489" s="22" t="s">
        <v>990</v>
      </c>
      <c r="K2489" s="24"/>
      <c r="L2489" s="24" t="s">
        <v>4209</v>
      </c>
      <c r="M2489" s="25" t="s">
        <v>4210</v>
      </c>
      <c r="N2489" s="22" t="s">
        <v>4211</v>
      </c>
      <c r="O2489" s="22" t="s">
        <v>4212</v>
      </c>
      <c r="P2489" s="22" t="str">
        <f>HYPERLINK("https://ceds.ed.gov/cedselementdetails.aspx?termid=21128")</f>
        <v>https://ceds.ed.gov/cedselementdetails.aspx?termid=21128</v>
      </c>
      <c r="Q2489" s="22">
        <v>58755</v>
      </c>
    </row>
    <row r="2490" spans="1:17" ht="43.2" x14ac:dyDescent="0.3">
      <c r="A2490" s="22" t="s">
        <v>7839</v>
      </c>
      <c r="B2490" s="22" t="s">
        <v>7845</v>
      </c>
      <c r="C2490" s="22" t="s">
        <v>7847</v>
      </c>
      <c r="D2490" s="22" t="s">
        <v>7710</v>
      </c>
      <c r="E2490" s="22" t="s">
        <v>4225</v>
      </c>
      <c r="F2490" s="24" t="s">
        <v>4226</v>
      </c>
      <c r="G2490" s="26" t="s">
        <v>8912</v>
      </c>
      <c r="H2490" s="24" t="s">
        <v>4230</v>
      </c>
      <c r="I2490" s="22"/>
      <c r="J2490" s="22"/>
      <c r="K2490" s="24"/>
      <c r="L2490" s="24"/>
      <c r="M2490" s="25" t="s">
        <v>4227</v>
      </c>
      <c r="N2490" s="22" t="s">
        <v>4228</v>
      </c>
      <c r="O2490" s="22" t="s">
        <v>4229</v>
      </c>
      <c r="P2490" s="22" t="str">
        <f>HYPERLINK("https://ceds.ed.gov/cedselementdetails.aspx?termid=21123")</f>
        <v>https://ceds.ed.gov/cedselementdetails.aspx?termid=21123</v>
      </c>
      <c r="Q2490" s="22">
        <v>58753</v>
      </c>
    </row>
    <row r="2491" spans="1:17" ht="201.6" x14ac:dyDescent="0.3">
      <c r="A2491" s="22" t="s">
        <v>7839</v>
      </c>
      <c r="B2491" s="22" t="s">
        <v>7845</v>
      </c>
      <c r="C2491" s="22" t="s">
        <v>7847</v>
      </c>
      <c r="D2491" s="22" t="s">
        <v>7710</v>
      </c>
      <c r="E2491" s="22" t="s">
        <v>4307</v>
      </c>
      <c r="F2491" s="24" t="s">
        <v>4308</v>
      </c>
      <c r="G2491" s="26" t="s">
        <v>8919</v>
      </c>
      <c r="H2491" s="24" t="s">
        <v>4313</v>
      </c>
      <c r="I2491" s="22"/>
      <c r="J2491" s="22"/>
      <c r="K2491" s="24"/>
      <c r="L2491" s="24" t="s">
        <v>4310</v>
      </c>
      <c r="M2491" s="25" t="s">
        <v>4311</v>
      </c>
      <c r="N2491" s="22"/>
      <c r="O2491" s="22" t="s">
        <v>4312</v>
      </c>
      <c r="P2491" s="22" t="str">
        <f>HYPERLINK("https://ceds.ed.gov/cedselementdetails.aspx?termid=21138")</f>
        <v>https://ceds.ed.gov/cedselementdetails.aspx?termid=21138</v>
      </c>
      <c r="Q2491" s="22">
        <v>58756</v>
      </c>
    </row>
    <row r="2492" spans="1:17" ht="57.6" x14ac:dyDescent="0.3">
      <c r="A2492" s="22" t="s">
        <v>7839</v>
      </c>
      <c r="B2492" s="22" t="s">
        <v>7845</v>
      </c>
      <c r="C2492" s="22" t="s">
        <v>7847</v>
      </c>
      <c r="D2492" s="22" t="s">
        <v>7710</v>
      </c>
      <c r="E2492" s="22" t="s">
        <v>2122</v>
      </c>
      <c r="F2492" s="24" t="s">
        <v>2123</v>
      </c>
      <c r="G2492" s="23" t="s">
        <v>32</v>
      </c>
      <c r="H2492" s="24" t="s">
        <v>1965</v>
      </c>
      <c r="I2492" s="22"/>
      <c r="J2492" s="22" t="s">
        <v>1844</v>
      </c>
      <c r="K2492" s="24"/>
      <c r="L2492" s="24"/>
      <c r="M2492" s="25" t="s">
        <v>2125</v>
      </c>
      <c r="N2492" s="22"/>
      <c r="O2492" s="22" t="s">
        <v>2126</v>
      </c>
      <c r="P2492" s="22" t="str">
        <f>HYPERLINK("https://ceds.ed.gov/cedselementdetails.aspx?termid=21046")</f>
        <v>https://ceds.ed.gov/cedselementdetails.aspx?termid=21046</v>
      </c>
      <c r="Q2492" s="22">
        <v>58736</v>
      </c>
    </row>
    <row r="2493" spans="1:17" ht="72" x14ac:dyDescent="0.3">
      <c r="A2493" s="22" t="s">
        <v>7839</v>
      </c>
      <c r="B2493" s="22" t="s">
        <v>7845</v>
      </c>
      <c r="C2493" s="22" t="s">
        <v>7848</v>
      </c>
      <c r="D2493" s="22" t="s">
        <v>7710</v>
      </c>
      <c r="E2493" s="22" t="s">
        <v>3982</v>
      </c>
      <c r="F2493" s="24" t="s">
        <v>8165</v>
      </c>
      <c r="G2493" s="26" t="s">
        <v>22</v>
      </c>
      <c r="H2493" s="22" t="s">
        <v>252</v>
      </c>
      <c r="I2493" s="22"/>
      <c r="J2493" s="22"/>
      <c r="K2493" s="24"/>
      <c r="L2493" s="24" t="s">
        <v>8166</v>
      </c>
      <c r="M2493" s="25" t="s">
        <v>3984</v>
      </c>
      <c r="N2493" s="22"/>
      <c r="O2493" s="22" t="s">
        <v>3985</v>
      </c>
      <c r="P2493" s="22" t="str">
        <f>HYPERLINK("https://ceds.ed.gov/cedselementdetails.aspx?termid=21745")</f>
        <v>https://ceds.ed.gov/cedselementdetails.aspx?termid=21745</v>
      </c>
      <c r="Q2493" s="22">
        <v>59266</v>
      </c>
    </row>
    <row r="2494" spans="1:17" ht="86.4" x14ac:dyDescent="0.3">
      <c r="A2494" s="22" t="s">
        <v>7839</v>
      </c>
      <c r="B2494" s="22" t="s">
        <v>7845</v>
      </c>
      <c r="C2494" s="22" t="s">
        <v>7848</v>
      </c>
      <c r="D2494" s="22" t="s">
        <v>7710</v>
      </c>
      <c r="E2494" s="22" t="s">
        <v>3986</v>
      </c>
      <c r="F2494" s="24" t="s">
        <v>3987</v>
      </c>
      <c r="G2494" s="26" t="s">
        <v>8895</v>
      </c>
      <c r="H2494" s="22" t="s">
        <v>252</v>
      </c>
      <c r="I2494" s="22"/>
      <c r="J2494" s="22"/>
      <c r="K2494" s="24"/>
      <c r="L2494" s="24" t="s">
        <v>8167</v>
      </c>
      <c r="M2494" s="25" t="s">
        <v>3988</v>
      </c>
      <c r="N2494" s="22"/>
      <c r="O2494" s="22" t="s">
        <v>3989</v>
      </c>
      <c r="P2494" s="22" t="str">
        <f>HYPERLINK("https://ceds.ed.gov/cedselementdetails.aspx?termid=22186")</f>
        <v>https://ceds.ed.gov/cedselementdetails.aspx?termid=22186</v>
      </c>
      <c r="Q2494" s="22">
        <v>59564</v>
      </c>
    </row>
    <row r="2495" spans="1:17" ht="57.6" x14ac:dyDescent="0.3">
      <c r="A2495" s="22" t="s">
        <v>7839</v>
      </c>
      <c r="B2495" s="22" t="s">
        <v>7845</v>
      </c>
      <c r="C2495" s="22" t="s">
        <v>7848</v>
      </c>
      <c r="D2495" s="22" t="s">
        <v>7710</v>
      </c>
      <c r="E2495" s="22" t="s">
        <v>4022</v>
      </c>
      <c r="F2495" s="24" t="s">
        <v>4023</v>
      </c>
      <c r="G2495" s="23" t="s">
        <v>32</v>
      </c>
      <c r="H2495" s="22" t="s">
        <v>252</v>
      </c>
      <c r="I2495" s="22"/>
      <c r="J2495" s="22" t="s">
        <v>1518</v>
      </c>
      <c r="K2495" s="24"/>
      <c r="L2495" s="24" t="s">
        <v>4024</v>
      </c>
      <c r="M2495" s="25" t="s">
        <v>4025</v>
      </c>
      <c r="N2495" s="22"/>
      <c r="O2495" s="22" t="s">
        <v>4026</v>
      </c>
      <c r="P2495" s="22" t="str">
        <f>HYPERLINK("https://ceds.ed.gov/cedselementdetails.aspx?termid=21747")</f>
        <v>https://ceds.ed.gov/cedselementdetails.aspx?termid=21747</v>
      </c>
      <c r="Q2495" s="22">
        <v>59267</v>
      </c>
    </row>
    <row r="2496" spans="1:17" ht="43.2" x14ac:dyDescent="0.3">
      <c r="A2496" s="22" t="s">
        <v>7839</v>
      </c>
      <c r="B2496" s="22" t="s">
        <v>7845</v>
      </c>
      <c r="C2496" s="22" t="s">
        <v>7848</v>
      </c>
      <c r="D2496" s="22" t="s">
        <v>7710</v>
      </c>
      <c r="E2496" s="22" t="s">
        <v>4027</v>
      </c>
      <c r="F2496" s="24" t="s">
        <v>4028</v>
      </c>
      <c r="G2496" s="26" t="s">
        <v>8900</v>
      </c>
      <c r="H2496" s="22" t="s">
        <v>252</v>
      </c>
      <c r="I2496" s="22"/>
      <c r="J2496" s="22"/>
      <c r="K2496" s="24"/>
      <c r="L2496" s="24" t="s">
        <v>4029</v>
      </c>
      <c r="M2496" s="25" t="s">
        <v>4030</v>
      </c>
      <c r="N2496" s="22"/>
      <c r="O2496" s="22" t="s">
        <v>4031</v>
      </c>
      <c r="P2496" s="22" t="str">
        <f>HYPERLINK("https://ceds.ed.gov/cedselementdetails.aspx?termid=22188")</f>
        <v>https://ceds.ed.gov/cedselementdetails.aspx?termid=22188</v>
      </c>
      <c r="Q2496" s="22">
        <v>59629</v>
      </c>
    </row>
    <row r="2497" spans="1:17" ht="72" x14ac:dyDescent="0.3">
      <c r="A2497" s="22" t="s">
        <v>7839</v>
      </c>
      <c r="B2497" s="22" t="s">
        <v>7845</v>
      </c>
      <c r="C2497" s="22" t="s">
        <v>7848</v>
      </c>
      <c r="D2497" s="22" t="s">
        <v>7710</v>
      </c>
      <c r="E2497" s="22" t="s">
        <v>3995</v>
      </c>
      <c r="F2497" s="24" t="s">
        <v>3996</v>
      </c>
      <c r="G2497" s="26" t="s">
        <v>8896</v>
      </c>
      <c r="H2497" s="24" t="s">
        <v>3994</v>
      </c>
      <c r="I2497" s="22"/>
      <c r="J2497" s="22"/>
      <c r="K2497" s="24"/>
      <c r="L2497" s="24" t="s">
        <v>8169</v>
      </c>
      <c r="M2497" s="25" t="s">
        <v>3997</v>
      </c>
      <c r="N2497" s="22"/>
      <c r="O2497" s="22" t="s">
        <v>3998</v>
      </c>
      <c r="P2497" s="22" t="str">
        <f>HYPERLINK("https://ceds.ed.gov/cedselementdetails.aspx?termid=21362")</f>
        <v>https://ceds.ed.gov/cedselementdetails.aspx?termid=21362</v>
      </c>
      <c r="Q2497" s="22">
        <v>58797</v>
      </c>
    </row>
    <row r="2498" spans="1:17" ht="331.2" x14ac:dyDescent="0.3">
      <c r="A2498" s="22" t="s">
        <v>7839</v>
      </c>
      <c r="B2498" s="22" t="s">
        <v>7845</v>
      </c>
      <c r="C2498" s="22" t="s">
        <v>7848</v>
      </c>
      <c r="D2498" s="22" t="s">
        <v>7710</v>
      </c>
      <c r="E2498" s="22" t="s">
        <v>3999</v>
      </c>
      <c r="F2498" s="24" t="s">
        <v>4000</v>
      </c>
      <c r="G2498" s="26" t="s">
        <v>8897</v>
      </c>
      <c r="H2498" s="24" t="s">
        <v>3994</v>
      </c>
      <c r="I2498" s="22"/>
      <c r="J2498" s="22"/>
      <c r="K2498" s="24"/>
      <c r="L2498" s="24" t="s">
        <v>8170</v>
      </c>
      <c r="M2498" s="25" t="s">
        <v>4001</v>
      </c>
      <c r="N2498" s="22"/>
      <c r="O2498" s="22" t="s">
        <v>4002</v>
      </c>
      <c r="P2498" s="22" t="str">
        <f>HYPERLINK("https://ceds.ed.gov/cedselementdetails.aspx?termid=21113")</f>
        <v>https://ceds.ed.gov/cedselementdetails.aspx?termid=21113</v>
      </c>
      <c r="Q2498" s="22">
        <v>58749</v>
      </c>
    </row>
    <row r="2499" spans="1:17" ht="72" x14ac:dyDescent="0.3">
      <c r="A2499" s="22" t="s">
        <v>7839</v>
      </c>
      <c r="B2499" s="22" t="s">
        <v>7845</v>
      </c>
      <c r="C2499" s="22" t="s">
        <v>7848</v>
      </c>
      <c r="D2499" s="22" t="s">
        <v>7710</v>
      </c>
      <c r="E2499" s="22" t="s">
        <v>3990</v>
      </c>
      <c r="F2499" s="24" t="s">
        <v>3991</v>
      </c>
      <c r="G2499" s="23" t="s">
        <v>32</v>
      </c>
      <c r="H2499" s="24" t="s">
        <v>3994</v>
      </c>
      <c r="I2499" s="22"/>
      <c r="J2499" s="22" t="s">
        <v>1518</v>
      </c>
      <c r="K2499" s="24"/>
      <c r="L2499" s="24" t="s">
        <v>8168</v>
      </c>
      <c r="M2499" s="25" t="s">
        <v>3992</v>
      </c>
      <c r="N2499" s="22"/>
      <c r="O2499" s="22" t="s">
        <v>3993</v>
      </c>
      <c r="P2499" s="22" t="str">
        <f>HYPERLINK("https://ceds.ed.gov/cedselementdetails.aspx?termid=21112")</f>
        <v>https://ceds.ed.gov/cedselementdetails.aspx?termid=21112</v>
      </c>
      <c r="Q2499" s="22">
        <v>58748</v>
      </c>
    </row>
    <row r="2500" spans="1:17" ht="129.6" x14ac:dyDescent="0.3">
      <c r="A2500" s="22" t="s">
        <v>7839</v>
      </c>
      <c r="B2500" s="22" t="s">
        <v>7845</v>
      </c>
      <c r="C2500" s="22" t="s">
        <v>7848</v>
      </c>
      <c r="D2500" s="22" t="s">
        <v>7710</v>
      </c>
      <c r="E2500" s="22" t="s">
        <v>4003</v>
      </c>
      <c r="F2500" s="24" t="s">
        <v>8171</v>
      </c>
      <c r="G2500" s="23" t="s">
        <v>32</v>
      </c>
      <c r="H2500" s="22"/>
      <c r="I2500" s="22"/>
      <c r="J2500" s="22" t="s">
        <v>1518</v>
      </c>
      <c r="K2500" s="24"/>
      <c r="L2500" s="24"/>
      <c r="M2500" s="25" t="s">
        <v>4004</v>
      </c>
      <c r="N2500" s="22"/>
      <c r="O2500" s="22" t="s">
        <v>4005</v>
      </c>
      <c r="P2500" s="22" t="str">
        <f>HYPERLINK("https://ceds.ed.gov/cedselementdetails.aspx?termid=22319")</f>
        <v>https://ceds.ed.gov/cedselementdetails.aspx?termid=22319</v>
      </c>
      <c r="Q2500" s="22">
        <v>61195</v>
      </c>
    </row>
    <row r="2501" spans="1:17" ht="72" x14ac:dyDescent="0.3">
      <c r="A2501" s="22" t="s">
        <v>7839</v>
      </c>
      <c r="B2501" s="22" t="s">
        <v>7845</v>
      </c>
      <c r="C2501" s="22" t="s">
        <v>7848</v>
      </c>
      <c r="D2501" s="22" t="s">
        <v>7710</v>
      </c>
      <c r="E2501" s="22" t="s">
        <v>4006</v>
      </c>
      <c r="F2501" s="24" t="s">
        <v>4007</v>
      </c>
      <c r="G2501" s="26" t="s">
        <v>8898</v>
      </c>
      <c r="H2501" s="22" t="s">
        <v>2608</v>
      </c>
      <c r="I2501" s="22"/>
      <c r="J2501" s="22"/>
      <c r="K2501" s="24"/>
      <c r="L2501" s="24"/>
      <c r="M2501" s="25" t="s">
        <v>4008</v>
      </c>
      <c r="N2501" s="22"/>
      <c r="O2501" s="22" t="s">
        <v>4009</v>
      </c>
      <c r="P2501" s="22" t="str">
        <f>HYPERLINK("https://ceds.ed.gov/cedselementdetails.aspx?termid=22588")</f>
        <v>https://ceds.ed.gov/cedselementdetails.aspx?termid=22588</v>
      </c>
      <c r="Q2501" s="22">
        <v>62079</v>
      </c>
    </row>
    <row r="2502" spans="1:17" ht="43.2" x14ac:dyDescent="0.3">
      <c r="A2502" s="22" t="s">
        <v>7839</v>
      </c>
      <c r="B2502" s="22" t="s">
        <v>7845</v>
      </c>
      <c r="C2502" s="22" t="s">
        <v>7848</v>
      </c>
      <c r="D2502" s="22" t="s">
        <v>7710</v>
      </c>
      <c r="E2502" s="22" t="s">
        <v>4010</v>
      </c>
      <c r="F2502" s="24" t="s">
        <v>4011</v>
      </c>
      <c r="G2502" s="26" t="s">
        <v>8899</v>
      </c>
      <c r="H2502" s="22" t="s">
        <v>242</v>
      </c>
      <c r="I2502" s="22"/>
      <c r="J2502" s="22"/>
      <c r="K2502" s="24"/>
      <c r="L2502" s="24"/>
      <c r="M2502" s="25" t="s">
        <v>4012</v>
      </c>
      <c r="N2502" s="22"/>
      <c r="O2502" s="22" t="s">
        <v>4013</v>
      </c>
      <c r="P2502" s="22" t="str">
        <f>HYPERLINK("https://ceds.ed.gov/cedselementdetails.aspx?termid=22589")</f>
        <v>https://ceds.ed.gov/cedselementdetails.aspx?termid=22589</v>
      </c>
      <c r="Q2502" s="22">
        <v>62080</v>
      </c>
    </row>
    <row r="2503" spans="1:17" ht="57.6" x14ac:dyDescent="0.3">
      <c r="A2503" s="22" t="s">
        <v>7839</v>
      </c>
      <c r="B2503" s="22" t="s">
        <v>7845</v>
      </c>
      <c r="C2503" s="22" t="s">
        <v>7848</v>
      </c>
      <c r="D2503" s="22" t="s">
        <v>7710</v>
      </c>
      <c r="E2503" s="22" t="s">
        <v>4014</v>
      </c>
      <c r="F2503" s="24" t="s">
        <v>8172</v>
      </c>
      <c r="G2503" s="23" t="s">
        <v>32</v>
      </c>
      <c r="H2503" s="22" t="s">
        <v>3124</v>
      </c>
      <c r="I2503" s="22"/>
      <c r="J2503" s="22" t="s">
        <v>79</v>
      </c>
      <c r="K2503" s="24"/>
      <c r="L2503" s="24"/>
      <c r="M2503" s="25" t="s">
        <v>4015</v>
      </c>
      <c r="N2503" s="22"/>
      <c r="O2503" s="22" t="s">
        <v>4016</v>
      </c>
      <c r="P2503" s="22" t="str">
        <f>HYPERLINK("https://ceds.ed.gov/cedselementdetails.aspx?termid=22590")</f>
        <v>https://ceds.ed.gov/cedselementdetails.aspx?termid=22590</v>
      </c>
      <c r="Q2503" s="22">
        <v>62081</v>
      </c>
    </row>
    <row r="2504" spans="1:17" ht="86.4" x14ac:dyDescent="0.3">
      <c r="A2504" s="22" t="s">
        <v>7839</v>
      </c>
      <c r="B2504" s="22" t="s">
        <v>7845</v>
      </c>
      <c r="C2504" s="22" t="s">
        <v>7849</v>
      </c>
      <c r="D2504" s="22" t="s">
        <v>7710</v>
      </c>
      <c r="E2504" s="22" t="s">
        <v>3078</v>
      </c>
      <c r="F2504" s="24" t="s">
        <v>3079</v>
      </c>
      <c r="G2504" s="26" t="s">
        <v>22</v>
      </c>
      <c r="H2504" s="24" t="s">
        <v>42</v>
      </c>
      <c r="I2504" s="22"/>
      <c r="J2504" s="22"/>
      <c r="K2504" s="24"/>
      <c r="L2504" s="24"/>
      <c r="M2504" s="25" t="s">
        <v>3080</v>
      </c>
      <c r="N2504" s="22"/>
      <c r="O2504" s="22" t="s">
        <v>3081</v>
      </c>
      <c r="P2504" s="22" t="str">
        <f>HYPERLINK("https://ceds.ed.gov/cedselementdetails.aspx?termid=21078")</f>
        <v>https://ceds.ed.gov/cedselementdetails.aspx?termid=21078</v>
      </c>
      <c r="Q2504" s="22">
        <v>58739</v>
      </c>
    </row>
    <row r="2505" spans="1:17" ht="187.2" x14ac:dyDescent="0.3">
      <c r="A2505" s="22" t="s">
        <v>7839</v>
      </c>
      <c r="B2505" s="22" t="s">
        <v>7845</v>
      </c>
      <c r="C2505" s="22" t="s">
        <v>7849</v>
      </c>
      <c r="D2505" s="22" t="s">
        <v>7710</v>
      </c>
      <c r="E2505" s="22" t="s">
        <v>2112</v>
      </c>
      <c r="F2505" s="24" t="s">
        <v>2113</v>
      </c>
      <c r="G2505" s="26" t="s">
        <v>8729</v>
      </c>
      <c r="H2505" s="22" t="s">
        <v>242</v>
      </c>
      <c r="I2505" s="22"/>
      <c r="J2505" s="22"/>
      <c r="K2505" s="24"/>
      <c r="L2505" s="24"/>
      <c r="M2505" s="25" t="s">
        <v>2115</v>
      </c>
      <c r="N2505" s="22"/>
      <c r="O2505" s="22" t="s">
        <v>2116</v>
      </c>
      <c r="P2505" s="22" t="str">
        <f>HYPERLINK("https://ceds.ed.gov/cedselementdetails.aspx?termid=21106")</f>
        <v>https://ceds.ed.gov/cedselementdetails.aspx?termid=21106</v>
      </c>
      <c r="Q2505" s="22">
        <v>61972</v>
      </c>
    </row>
    <row r="2506" spans="1:17" ht="172.8" x14ac:dyDescent="0.3">
      <c r="A2506" s="22" t="s">
        <v>7839</v>
      </c>
      <c r="B2506" s="22" t="s">
        <v>7845</v>
      </c>
      <c r="C2506" s="22" t="s">
        <v>7849</v>
      </c>
      <c r="D2506" s="22" t="s">
        <v>7710</v>
      </c>
      <c r="E2506" s="22" t="s">
        <v>4055</v>
      </c>
      <c r="F2506" s="24" t="s">
        <v>8201</v>
      </c>
      <c r="G2506" s="26" t="s">
        <v>22</v>
      </c>
      <c r="H2506" s="24" t="s">
        <v>198</v>
      </c>
      <c r="I2506" s="22"/>
      <c r="J2506" s="22"/>
      <c r="K2506" s="24"/>
      <c r="L2506" s="24"/>
      <c r="M2506" s="25" t="s">
        <v>4056</v>
      </c>
      <c r="N2506" s="22"/>
      <c r="O2506" s="22" t="s">
        <v>4057</v>
      </c>
      <c r="P2506" s="22" t="str">
        <f>HYPERLINK("https://ceds.ed.gov/cedselementdetails.aspx?termid=21117")</f>
        <v>https://ceds.ed.gov/cedselementdetails.aspx?termid=21117</v>
      </c>
      <c r="Q2506" s="22">
        <v>58751</v>
      </c>
    </row>
    <row r="2507" spans="1:17" ht="72" x14ac:dyDescent="0.3">
      <c r="A2507" s="22" t="s">
        <v>7839</v>
      </c>
      <c r="B2507" s="22" t="s">
        <v>7845</v>
      </c>
      <c r="C2507" s="22" t="s">
        <v>7849</v>
      </c>
      <c r="D2507" s="22" t="s">
        <v>7710</v>
      </c>
      <c r="E2507" s="22" t="s">
        <v>7044</v>
      </c>
      <c r="F2507" s="24" t="s">
        <v>7045</v>
      </c>
      <c r="G2507" s="26" t="s">
        <v>9155</v>
      </c>
      <c r="H2507" s="24" t="s">
        <v>198</v>
      </c>
      <c r="I2507" s="22"/>
      <c r="J2507" s="22"/>
      <c r="K2507" s="24"/>
      <c r="L2507" s="24"/>
      <c r="M2507" s="25" t="s">
        <v>7046</v>
      </c>
      <c r="N2507" s="22"/>
      <c r="O2507" s="22" t="s">
        <v>7047</v>
      </c>
      <c r="P2507" s="22" t="str">
        <f>HYPERLINK("https://ceds.ed.gov/cedselementdetails.aspx?termid=21272")</f>
        <v>https://ceds.ed.gov/cedselementdetails.aspx?termid=21272</v>
      </c>
      <c r="Q2507" s="22">
        <v>58788</v>
      </c>
    </row>
    <row r="2508" spans="1:17" ht="72" x14ac:dyDescent="0.3">
      <c r="A2508" s="22" t="s">
        <v>7839</v>
      </c>
      <c r="B2508" s="22" t="s">
        <v>7845</v>
      </c>
      <c r="C2508" s="22" t="s">
        <v>7849</v>
      </c>
      <c r="D2508" s="22" t="s">
        <v>7710</v>
      </c>
      <c r="E2508" s="22" t="s">
        <v>3603</v>
      </c>
      <c r="F2508" s="24" t="s">
        <v>8113</v>
      </c>
      <c r="G2508" s="23" t="s">
        <v>32</v>
      </c>
      <c r="H2508" s="24" t="s">
        <v>3606</v>
      </c>
      <c r="I2508" s="22"/>
      <c r="J2508" s="22" t="s">
        <v>118</v>
      </c>
      <c r="K2508" s="24"/>
      <c r="L2508" s="24"/>
      <c r="M2508" s="25" t="s">
        <v>3604</v>
      </c>
      <c r="N2508" s="22"/>
      <c r="O2508" s="22" t="s">
        <v>3605</v>
      </c>
      <c r="P2508" s="22" t="str">
        <f>HYPERLINK("https://ceds.ed.gov/cedselementdetails.aspx?termid=21098")</f>
        <v>https://ceds.ed.gov/cedselementdetails.aspx?termid=21098</v>
      </c>
      <c r="Q2508" s="22">
        <v>58745</v>
      </c>
    </row>
    <row r="2509" spans="1:17" ht="172.8" x14ac:dyDescent="0.3">
      <c r="A2509" s="22" t="s">
        <v>7839</v>
      </c>
      <c r="B2509" s="22" t="s">
        <v>7845</v>
      </c>
      <c r="C2509" s="22" t="s">
        <v>7849</v>
      </c>
      <c r="D2509" s="22" t="s">
        <v>7710</v>
      </c>
      <c r="E2509" s="22" t="s">
        <v>3585</v>
      </c>
      <c r="F2509" s="24" t="s">
        <v>3586</v>
      </c>
      <c r="G2509" s="23" t="s">
        <v>32</v>
      </c>
      <c r="H2509" s="24" t="s">
        <v>3589</v>
      </c>
      <c r="I2509" s="22" t="s">
        <v>172</v>
      </c>
      <c r="J2509" s="22" t="s">
        <v>118</v>
      </c>
      <c r="K2509" s="24" t="s">
        <v>7946</v>
      </c>
      <c r="L2509" s="24"/>
      <c r="M2509" s="25" t="s">
        <v>3587</v>
      </c>
      <c r="N2509" s="22"/>
      <c r="O2509" s="22" t="s">
        <v>3588</v>
      </c>
      <c r="P2509" s="22" t="str">
        <f>HYPERLINK("https://ceds.ed.gov/cedselementdetails.aspx?termid=21097")</f>
        <v>https://ceds.ed.gov/cedselementdetails.aspx?termid=21097</v>
      </c>
      <c r="Q2509" s="22">
        <v>61971</v>
      </c>
    </row>
    <row r="2510" spans="1:17" ht="57.6" x14ac:dyDescent="0.3">
      <c r="A2510" s="22" t="s">
        <v>7839</v>
      </c>
      <c r="B2510" s="22" t="s">
        <v>7845</v>
      </c>
      <c r="C2510" s="22" t="s">
        <v>7849</v>
      </c>
      <c r="D2510" s="22" t="s">
        <v>7710</v>
      </c>
      <c r="E2510" s="22" t="s">
        <v>3590</v>
      </c>
      <c r="F2510" s="24" t="s">
        <v>3591</v>
      </c>
      <c r="G2510" s="23" t="s">
        <v>32</v>
      </c>
      <c r="H2510" s="22" t="s">
        <v>58</v>
      </c>
      <c r="I2510" s="22"/>
      <c r="J2510" s="22" t="s">
        <v>118</v>
      </c>
      <c r="K2510" s="24"/>
      <c r="L2510" s="24" t="s">
        <v>143</v>
      </c>
      <c r="M2510" s="25" t="s">
        <v>3592</v>
      </c>
      <c r="N2510" s="22"/>
      <c r="O2510" s="22" t="s">
        <v>3593</v>
      </c>
      <c r="P2510" s="22" t="str">
        <f>HYPERLINK("https://ceds.ed.gov/cedselementdetails.aspx?termid=21107")</f>
        <v>https://ceds.ed.gov/cedselementdetails.aspx?termid=21107</v>
      </c>
      <c r="Q2510" s="22">
        <v>58747</v>
      </c>
    </row>
    <row r="2511" spans="1:17" ht="57.6" x14ac:dyDescent="0.3">
      <c r="A2511" s="22" t="s">
        <v>7839</v>
      </c>
      <c r="B2511" s="22" t="s">
        <v>7845</v>
      </c>
      <c r="C2511" s="22" t="s">
        <v>7849</v>
      </c>
      <c r="D2511" s="22" t="s">
        <v>7710</v>
      </c>
      <c r="E2511" s="22" t="s">
        <v>4748</v>
      </c>
      <c r="F2511" s="24" t="s">
        <v>8218</v>
      </c>
      <c r="G2511" s="23" t="s">
        <v>32</v>
      </c>
      <c r="H2511" s="24" t="s">
        <v>198</v>
      </c>
      <c r="I2511" s="22"/>
      <c r="J2511" s="22" t="s">
        <v>85</v>
      </c>
      <c r="K2511" s="24"/>
      <c r="L2511" s="24"/>
      <c r="M2511" s="25" t="s">
        <v>4749</v>
      </c>
      <c r="N2511" s="22"/>
      <c r="O2511" s="22" t="s">
        <v>4750</v>
      </c>
      <c r="P2511" s="22" t="str">
        <f>HYPERLINK("https://ceds.ed.gov/cedselementdetails.aspx?termid=21165")</f>
        <v>https://ceds.ed.gov/cedselementdetails.aspx?termid=21165</v>
      </c>
      <c r="Q2511" s="22">
        <v>58764</v>
      </c>
    </row>
    <row r="2512" spans="1:17" ht="86.4" x14ac:dyDescent="0.3">
      <c r="A2512" s="22" t="s">
        <v>7839</v>
      </c>
      <c r="B2512" s="22" t="s">
        <v>7845</v>
      </c>
      <c r="C2512" s="22" t="s">
        <v>7849</v>
      </c>
      <c r="D2512" s="22" t="s">
        <v>7710</v>
      </c>
      <c r="E2512" s="22" t="s">
        <v>5906</v>
      </c>
      <c r="F2512" s="24" t="s">
        <v>8273</v>
      </c>
      <c r="G2512" s="26" t="s">
        <v>9069</v>
      </c>
      <c r="H2512" s="22" t="s">
        <v>2608</v>
      </c>
      <c r="I2512" s="22"/>
      <c r="J2512" s="22"/>
      <c r="K2512" s="24"/>
      <c r="L2512" s="24"/>
      <c r="M2512" s="25" t="s">
        <v>5907</v>
      </c>
      <c r="N2512" s="22"/>
      <c r="O2512" s="22" t="s">
        <v>5908</v>
      </c>
      <c r="P2512" s="22" t="str">
        <f>HYPERLINK("https://ceds.ed.gov/cedselementdetails.aspx?termid=22596")</f>
        <v>https://ceds.ed.gov/cedselementdetails.aspx?termid=22596</v>
      </c>
      <c r="Q2512" s="22">
        <v>62095</v>
      </c>
    </row>
    <row r="2513" spans="1:17" ht="57.6" x14ac:dyDescent="0.3">
      <c r="A2513" s="22" t="s">
        <v>7839</v>
      </c>
      <c r="B2513" s="22" t="s">
        <v>7845</v>
      </c>
      <c r="C2513" s="22" t="s">
        <v>7849</v>
      </c>
      <c r="D2513" s="22" t="s">
        <v>7710</v>
      </c>
      <c r="E2513" s="22" t="s">
        <v>7276</v>
      </c>
      <c r="F2513" s="24" t="s">
        <v>7277</v>
      </c>
      <c r="G2513" s="26" t="s">
        <v>9177</v>
      </c>
      <c r="H2513" s="24" t="s">
        <v>198</v>
      </c>
      <c r="I2513" s="22"/>
      <c r="J2513" s="22"/>
      <c r="K2513" s="24"/>
      <c r="L2513" s="24"/>
      <c r="M2513" s="25" t="s">
        <v>7278</v>
      </c>
      <c r="N2513" s="22"/>
      <c r="O2513" s="22" t="s">
        <v>7279</v>
      </c>
      <c r="P2513" s="22" t="str">
        <f>HYPERLINK("https://ceds.ed.gov/cedselementdetails.aspx?termid=21296")</f>
        <v>https://ceds.ed.gov/cedselementdetails.aspx?termid=21296</v>
      </c>
      <c r="Q2513" s="22">
        <v>58792</v>
      </c>
    </row>
    <row r="2514" spans="1:17" ht="43.2" x14ac:dyDescent="0.3">
      <c r="A2514" s="22" t="s">
        <v>7839</v>
      </c>
      <c r="B2514" s="22" t="s">
        <v>7845</v>
      </c>
      <c r="C2514" s="22" t="s">
        <v>7849</v>
      </c>
      <c r="D2514" s="22" t="s">
        <v>7710</v>
      </c>
      <c r="E2514" s="22" t="s">
        <v>3121</v>
      </c>
      <c r="F2514" s="24" t="s">
        <v>8078</v>
      </c>
      <c r="G2514" s="26" t="s">
        <v>8791</v>
      </c>
      <c r="H2514" s="22" t="s">
        <v>3124</v>
      </c>
      <c r="I2514" s="22"/>
      <c r="J2514" s="22"/>
      <c r="K2514" s="24"/>
      <c r="L2514" s="24"/>
      <c r="M2514" s="25" t="s">
        <v>3122</v>
      </c>
      <c r="N2514" s="22"/>
      <c r="O2514" s="22" t="s">
        <v>3123</v>
      </c>
      <c r="P2514" s="22" t="str">
        <f>HYPERLINK("https://ceds.ed.gov/cedselementdetails.aspx?termid=22567")</f>
        <v>https://ceds.ed.gov/cedselementdetails.aspx?termid=22567</v>
      </c>
      <c r="Q2514" s="22">
        <v>62056</v>
      </c>
    </row>
    <row r="2515" spans="1:17" ht="86.4" x14ac:dyDescent="0.3">
      <c r="A2515" s="22" t="s">
        <v>7839</v>
      </c>
      <c r="B2515" s="22" t="s">
        <v>7845</v>
      </c>
      <c r="C2515" s="22" t="s">
        <v>7849</v>
      </c>
      <c r="D2515" s="22" t="s">
        <v>7710</v>
      </c>
      <c r="E2515" s="22" t="s">
        <v>3125</v>
      </c>
      <c r="F2515" s="24" t="s">
        <v>3126</v>
      </c>
      <c r="G2515" s="26" t="s">
        <v>8792</v>
      </c>
      <c r="H2515" s="22" t="s">
        <v>3124</v>
      </c>
      <c r="I2515" s="22"/>
      <c r="J2515" s="22"/>
      <c r="K2515" s="24"/>
      <c r="L2515" s="24"/>
      <c r="M2515" s="25" t="s">
        <v>3128</v>
      </c>
      <c r="N2515" s="22"/>
      <c r="O2515" s="22" t="s">
        <v>3129</v>
      </c>
      <c r="P2515" s="22" t="str">
        <f>HYPERLINK("https://ceds.ed.gov/cedselementdetails.aspx?termid=22568")</f>
        <v>https://ceds.ed.gov/cedselementdetails.aspx?termid=22568</v>
      </c>
      <c r="Q2515" s="22">
        <v>62057</v>
      </c>
    </row>
    <row r="2516" spans="1:17" ht="43.2" x14ac:dyDescent="0.3">
      <c r="A2516" s="22" t="s">
        <v>7839</v>
      </c>
      <c r="B2516" s="22" t="s">
        <v>7845</v>
      </c>
      <c r="C2516" s="22" t="s">
        <v>7849</v>
      </c>
      <c r="D2516" s="22" t="s">
        <v>7710</v>
      </c>
      <c r="E2516" s="22" t="s">
        <v>396</v>
      </c>
      <c r="F2516" s="24" t="s">
        <v>7963</v>
      </c>
      <c r="G2516" s="23" t="s">
        <v>32</v>
      </c>
      <c r="H2516" s="24" t="s">
        <v>399</v>
      </c>
      <c r="I2516" s="22"/>
      <c r="J2516" s="22" t="s">
        <v>118</v>
      </c>
      <c r="K2516" s="24"/>
      <c r="L2516" s="24"/>
      <c r="M2516" s="25" t="s">
        <v>397</v>
      </c>
      <c r="N2516" s="22"/>
      <c r="O2516" s="22" t="s">
        <v>398</v>
      </c>
      <c r="P2516" s="22" t="str">
        <f>HYPERLINK("https://ceds.ed.gov/cedselementdetails.aspx?termid=21323")</f>
        <v>https://ceds.ed.gov/cedselementdetails.aspx?termid=21323</v>
      </c>
      <c r="Q2516" s="22">
        <v>63671</v>
      </c>
    </row>
    <row r="2517" spans="1:17" ht="216" x14ac:dyDescent="0.3">
      <c r="A2517" s="22" t="s">
        <v>7839</v>
      </c>
      <c r="B2517" s="22" t="s">
        <v>7845</v>
      </c>
      <c r="C2517" s="22" t="s">
        <v>7849</v>
      </c>
      <c r="D2517" s="22" t="s">
        <v>7710</v>
      </c>
      <c r="E2517" s="22" t="s">
        <v>7656</v>
      </c>
      <c r="F2517" s="24" t="s">
        <v>7657</v>
      </c>
      <c r="G2517" s="26" t="s">
        <v>8514</v>
      </c>
      <c r="H2517" s="22"/>
      <c r="I2517" s="22" t="s">
        <v>172</v>
      </c>
      <c r="J2517" s="22"/>
      <c r="K2517" s="24" t="s">
        <v>7995</v>
      </c>
      <c r="L2517" s="24"/>
      <c r="M2517" s="25" t="s">
        <v>7658</v>
      </c>
      <c r="N2517" s="22"/>
      <c r="O2517" s="22" t="s">
        <v>7656</v>
      </c>
      <c r="P2517" s="22" t="str">
        <f>HYPERLINK("https://ceds.ed.gov/cedselementdetails.aspx?termid=22959")</f>
        <v>https://ceds.ed.gov/cedselementdetails.aspx?termid=22959</v>
      </c>
      <c r="Q2517" s="22">
        <v>63672</v>
      </c>
    </row>
    <row r="2518" spans="1:17" ht="172.8" x14ac:dyDescent="0.3">
      <c r="A2518" s="22" t="s">
        <v>7839</v>
      </c>
      <c r="B2518" s="22" t="s">
        <v>7845</v>
      </c>
      <c r="C2518" s="22" t="s">
        <v>7850</v>
      </c>
      <c r="D2518" s="22" t="s">
        <v>7710</v>
      </c>
      <c r="E2518" s="22" t="s">
        <v>6174</v>
      </c>
      <c r="F2518" s="24" t="s">
        <v>6175</v>
      </c>
      <c r="G2518" s="23" t="s">
        <v>32</v>
      </c>
      <c r="H2518" s="22" t="s">
        <v>2608</v>
      </c>
      <c r="I2518" s="22" t="s">
        <v>172</v>
      </c>
      <c r="J2518" s="22" t="s">
        <v>132</v>
      </c>
      <c r="K2518" s="24" t="s">
        <v>8282</v>
      </c>
      <c r="L2518" s="24" t="s">
        <v>7945</v>
      </c>
      <c r="M2518" s="25" t="s">
        <v>6176</v>
      </c>
      <c r="N2518" s="22"/>
      <c r="O2518" s="22" t="s">
        <v>6177</v>
      </c>
      <c r="P2518" s="22" t="str">
        <f>HYPERLINK("https://ceds.ed.gov/cedselementdetails.aspx?termid=21618")</f>
        <v>https://ceds.ed.gov/cedselementdetails.aspx?termid=21618</v>
      </c>
      <c r="Q2518" s="22">
        <v>62006</v>
      </c>
    </row>
    <row r="2519" spans="1:17" ht="43.2" x14ac:dyDescent="0.3">
      <c r="A2519" s="22" t="s">
        <v>7839</v>
      </c>
      <c r="B2519" s="22" t="s">
        <v>7845</v>
      </c>
      <c r="C2519" s="22" t="s">
        <v>7850</v>
      </c>
      <c r="D2519" s="22" t="s">
        <v>7710</v>
      </c>
      <c r="E2519" s="22" t="s">
        <v>6189</v>
      </c>
      <c r="F2519" s="24" t="s">
        <v>6190</v>
      </c>
      <c r="G2519" s="23" t="s">
        <v>32</v>
      </c>
      <c r="H2519" s="22" t="s">
        <v>2608</v>
      </c>
      <c r="I2519" s="22" t="s">
        <v>172</v>
      </c>
      <c r="J2519" s="22" t="s">
        <v>157</v>
      </c>
      <c r="K2519" s="24" t="s">
        <v>8282</v>
      </c>
      <c r="L2519" s="24"/>
      <c r="M2519" s="25" t="s">
        <v>6191</v>
      </c>
      <c r="N2519" s="22"/>
      <c r="O2519" s="22" t="s">
        <v>6192</v>
      </c>
      <c r="P2519" s="22" t="str">
        <f>HYPERLINK("https://ceds.ed.gov/cedselementdetails.aspx?termid=21619")</f>
        <v>https://ceds.ed.gov/cedselementdetails.aspx?termid=21619</v>
      </c>
      <c r="Q2519" s="22">
        <v>62012</v>
      </c>
    </row>
    <row r="2520" spans="1:17" ht="115.2" x14ac:dyDescent="0.3">
      <c r="A2520" s="22" t="s">
        <v>7839</v>
      </c>
      <c r="B2520" s="22" t="s">
        <v>7845</v>
      </c>
      <c r="C2520" s="22" t="s">
        <v>7850</v>
      </c>
      <c r="D2520" s="22" t="s">
        <v>7710</v>
      </c>
      <c r="E2520" s="22" t="s">
        <v>6202</v>
      </c>
      <c r="F2520" s="24" t="s">
        <v>6203</v>
      </c>
      <c r="G2520" s="26" t="s">
        <v>9109</v>
      </c>
      <c r="H2520" s="22" t="s">
        <v>2608</v>
      </c>
      <c r="I2520" s="22"/>
      <c r="J2520" s="22"/>
      <c r="K2520" s="24"/>
      <c r="L2520" s="24"/>
      <c r="M2520" s="25" t="s">
        <v>6204</v>
      </c>
      <c r="N2520" s="22"/>
      <c r="O2520" s="22" t="s">
        <v>6205</v>
      </c>
      <c r="P2520" s="22" t="str">
        <f>HYPERLINK("https://ceds.ed.gov/cedselementdetails.aspx?termid=22209")</f>
        <v>https://ceds.ed.gov/cedselementdetails.aspx?termid=22209</v>
      </c>
      <c r="Q2520" s="22">
        <v>62027</v>
      </c>
    </row>
    <row r="2521" spans="1:17" ht="57.6" x14ac:dyDescent="0.3">
      <c r="A2521" s="22" t="s">
        <v>7839</v>
      </c>
      <c r="B2521" s="22" t="s">
        <v>7845</v>
      </c>
      <c r="C2521" s="22" t="s">
        <v>7850</v>
      </c>
      <c r="D2521" s="22" t="s">
        <v>7710</v>
      </c>
      <c r="E2521" s="22" t="s">
        <v>6197</v>
      </c>
      <c r="F2521" s="24" t="s">
        <v>6198</v>
      </c>
      <c r="G2521" s="23" t="s">
        <v>32</v>
      </c>
      <c r="H2521" s="24" t="s">
        <v>6201</v>
      </c>
      <c r="I2521" s="22"/>
      <c r="J2521" s="22" t="s">
        <v>118</v>
      </c>
      <c r="K2521" s="24"/>
      <c r="L2521" s="24"/>
      <c r="M2521" s="25" t="s">
        <v>6199</v>
      </c>
      <c r="N2521" s="22"/>
      <c r="O2521" s="22" t="s">
        <v>6200</v>
      </c>
      <c r="P2521" s="22" t="str">
        <f>HYPERLINK("https://ceds.ed.gov/cedselementdetails.aspx?termid=21583")</f>
        <v>https://ceds.ed.gov/cedselementdetails.aspx?termid=21583</v>
      </c>
      <c r="Q2521" s="22">
        <v>62004</v>
      </c>
    </row>
    <row r="2522" spans="1:17" ht="57.6" x14ac:dyDescent="0.3">
      <c r="A2522" s="22" t="s">
        <v>7839</v>
      </c>
      <c r="B2522" s="22" t="s">
        <v>7845</v>
      </c>
      <c r="C2522" s="22" t="s">
        <v>7850</v>
      </c>
      <c r="D2522" s="22" t="s">
        <v>7710</v>
      </c>
      <c r="E2522" s="22" t="s">
        <v>6193</v>
      </c>
      <c r="F2522" s="24" t="s">
        <v>1938</v>
      </c>
      <c r="G2522" s="23" t="s">
        <v>32</v>
      </c>
      <c r="H2522" s="24" t="s">
        <v>6196</v>
      </c>
      <c r="I2522" s="22"/>
      <c r="J2522" s="22" t="s">
        <v>118</v>
      </c>
      <c r="K2522" s="24"/>
      <c r="L2522" s="24" t="s">
        <v>143</v>
      </c>
      <c r="M2522" s="25" t="s">
        <v>6194</v>
      </c>
      <c r="N2522" s="22"/>
      <c r="O2522" s="22" t="s">
        <v>6195</v>
      </c>
      <c r="P2522" s="22" t="str">
        <f>HYPERLINK("https://ceds.ed.gov/cedselementdetails.aspx?termid=21584")</f>
        <v>https://ceds.ed.gov/cedselementdetails.aspx?termid=21584</v>
      </c>
      <c r="Q2522" s="22">
        <v>62005</v>
      </c>
    </row>
    <row r="2523" spans="1:17" ht="57.6" x14ac:dyDescent="0.3">
      <c r="A2523" s="22" t="s">
        <v>7839</v>
      </c>
      <c r="B2523" s="22" t="s">
        <v>7845</v>
      </c>
      <c r="C2523" s="22" t="s">
        <v>7850</v>
      </c>
      <c r="D2523" s="22" t="s">
        <v>7710</v>
      </c>
      <c r="E2523" s="22" t="s">
        <v>7272</v>
      </c>
      <c r="F2523" s="24" t="s">
        <v>7273</v>
      </c>
      <c r="G2523" s="26" t="s">
        <v>3039</v>
      </c>
      <c r="H2523" s="22" t="s">
        <v>3124</v>
      </c>
      <c r="I2523" s="22"/>
      <c r="J2523" s="22"/>
      <c r="K2523" s="24"/>
      <c r="L2523" s="24"/>
      <c r="M2523" s="25" t="s">
        <v>7274</v>
      </c>
      <c r="N2523" s="22"/>
      <c r="O2523" s="22" t="s">
        <v>7275</v>
      </c>
      <c r="P2523" s="22" t="str">
        <f>HYPERLINK("https://ceds.ed.gov/cedselementdetails.aspx?termid=22610")</f>
        <v>https://ceds.ed.gov/cedselementdetails.aspx?termid=22610</v>
      </c>
      <c r="Q2523" s="22">
        <v>62111</v>
      </c>
    </row>
    <row r="2524" spans="1:17" ht="57.6" x14ac:dyDescent="0.3">
      <c r="A2524" s="22" t="s">
        <v>7839</v>
      </c>
      <c r="B2524" s="22" t="s">
        <v>7845</v>
      </c>
      <c r="C2524" s="22" t="s">
        <v>7850</v>
      </c>
      <c r="D2524" s="22" t="s">
        <v>7710</v>
      </c>
      <c r="E2524" s="22" t="s">
        <v>6181</v>
      </c>
      <c r="F2524" s="24" t="s">
        <v>6182</v>
      </c>
      <c r="G2524" s="23" t="s">
        <v>32</v>
      </c>
      <c r="H2524" s="22" t="s">
        <v>242</v>
      </c>
      <c r="I2524" s="22"/>
      <c r="J2524" s="22" t="s">
        <v>1518</v>
      </c>
      <c r="K2524" s="24"/>
      <c r="L2524" s="24"/>
      <c r="M2524" s="25" t="s">
        <v>6183</v>
      </c>
      <c r="N2524" s="22"/>
      <c r="O2524" s="22" t="s">
        <v>6184</v>
      </c>
      <c r="P2524" s="22" t="str">
        <f>HYPERLINK("https://ceds.ed.gov/cedselementdetails.aspx?termid=21223")</f>
        <v>https://ceds.ed.gov/cedselementdetails.aspx?termid=21223</v>
      </c>
      <c r="Q2524" s="22">
        <v>58779</v>
      </c>
    </row>
    <row r="2525" spans="1:17" ht="43.2" x14ac:dyDescent="0.3">
      <c r="A2525" s="22" t="s">
        <v>7839</v>
      </c>
      <c r="B2525" s="22" t="s">
        <v>7845</v>
      </c>
      <c r="C2525" s="22" t="s">
        <v>7850</v>
      </c>
      <c r="D2525" s="22" t="s">
        <v>7710</v>
      </c>
      <c r="E2525" s="22" t="s">
        <v>6185</v>
      </c>
      <c r="F2525" s="24" t="s">
        <v>6186</v>
      </c>
      <c r="G2525" s="26" t="s">
        <v>8970</v>
      </c>
      <c r="H2525" s="22" t="s">
        <v>242</v>
      </c>
      <c r="I2525" s="22"/>
      <c r="J2525" s="22"/>
      <c r="K2525" s="24"/>
      <c r="L2525" s="24"/>
      <c r="M2525" s="25" t="s">
        <v>6187</v>
      </c>
      <c r="N2525" s="22"/>
      <c r="O2525" s="22" t="s">
        <v>6188</v>
      </c>
      <c r="P2525" s="22" t="str">
        <f>HYPERLINK("https://ceds.ed.gov/cedselementdetails.aspx?termid=21224")</f>
        <v>https://ceds.ed.gov/cedselementdetails.aspx?termid=21224</v>
      </c>
      <c r="Q2525" s="22">
        <v>61989</v>
      </c>
    </row>
    <row r="2526" spans="1:17" ht="187.2" x14ac:dyDescent="0.3">
      <c r="A2526" s="22" t="s">
        <v>7839</v>
      </c>
      <c r="B2526" s="22" t="s">
        <v>7845</v>
      </c>
      <c r="C2526" s="22" t="s">
        <v>7850</v>
      </c>
      <c r="D2526" s="22" t="s">
        <v>7710</v>
      </c>
      <c r="E2526" s="22" t="s">
        <v>5583</v>
      </c>
      <c r="F2526" s="24" t="s">
        <v>5584</v>
      </c>
      <c r="G2526" s="23" t="s">
        <v>32</v>
      </c>
      <c r="H2526" s="24" t="s">
        <v>198</v>
      </c>
      <c r="I2526" s="22"/>
      <c r="J2526" s="22" t="s">
        <v>157</v>
      </c>
      <c r="K2526" s="24"/>
      <c r="L2526" s="24"/>
      <c r="M2526" s="25" t="s">
        <v>5585</v>
      </c>
      <c r="N2526" s="22"/>
      <c r="O2526" s="22" t="s">
        <v>5586</v>
      </c>
      <c r="P2526" s="22" t="str">
        <f>HYPERLINK("https://ceds.ed.gov/cedselementdetails.aspx?termid=21197")</f>
        <v>https://ceds.ed.gov/cedselementdetails.aspx?termid=21197</v>
      </c>
      <c r="Q2526" s="22">
        <v>58773</v>
      </c>
    </row>
    <row r="2527" spans="1:17" ht="86.4" x14ac:dyDescent="0.3">
      <c r="A2527" s="22" t="s">
        <v>7839</v>
      </c>
      <c r="B2527" s="22" t="s">
        <v>7845</v>
      </c>
      <c r="C2527" s="22" t="s">
        <v>7850</v>
      </c>
      <c r="D2527" s="22" t="s">
        <v>7710</v>
      </c>
      <c r="E2527" s="22" t="s">
        <v>5587</v>
      </c>
      <c r="F2527" s="24" t="s">
        <v>5588</v>
      </c>
      <c r="G2527" s="26" t="s">
        <v>9043</v>
      </c>
      <c r="H2527" s="24" t="s">
        <v>198</v>
      </c>
      <c r="I2527" s="22"/>
      <c r="J2527" s="22"/>
      <c r="K2527" s="24"/>
      <c r="L2527" s="24"/>
      <c r="M2527" s="25" t="s">
        <v>5589</v>
      </c>
      <c r="N2527" s="22"/>
      <c r="O2527" s="22" t="s">
        <v>5590</v>
      </c>
      <c r="P2527" s="22" t="str">
        <f>HYPERLINK("https://ceds.ed.gov/cedselementdetails.aspx?termid=21198")</f>
        <v>https://ceds.ed.gov/cedselementdetails.aspx?termid=21198</v>
      </c>
      <c r="Q2527" s="22">
        <v>61979</v>
      </c>
    </row>
    <row r="2528" spans="1:17" ht="72" x14ac:dyDescent="0.3">
      <c r="A2528" s="22" t="s">
        <v>7839</v>
      </c>
      <c r="B2528" s="22" t="s">
        <v>7845</v>
      </c>
      <c r="C2528" s="22" t="s">
        <v>7850</v>
      </c>
      <c r="D2528" s="22" t="s">
        <v>7710</v>
      </c>
      <c r="E2528" s="22" t="s">
        <v>5909</v>
      </c>
      <c r="F2528" s="24" t="s">
        <v>5910</v>
      </c>
      <c r="G2528" s="26" t="s">
        <v>9070</v>
      </c>
      <c r="H2528" s="24" t="s">
        <v>5913</v>
      </c>
      <c r="I2528" s="22"/>
      <c r="J2528" s="22"/>
      <c r="K2528" s="24"/>
      <c r="L2528" s="24"/>
      <c r="M2528" s="25" t="s">
        <v>5911</v>
      </c>
      <c r="N2528" s="22"/>
      <c r="O2528" s="22" t="s">
        <v>5912</v>
      </c>
      <c r="P2528" s="22" t="str">
        <f>HYPERLINK("https://ceds.ed.gov/cedselementdetails.aspx?termid=22595")</f>
        <v>https://ceds.ed.gov/cedselementdetails.aspx?termid=22595</v>
      </c>
      <c r="Q2528" s="22">
        <v>62091</v>
      </c>
    </row>
    <row r="2529" spans="1:17" ht="216" x14ac:dyDescent="0.3">
      <c r="A2529" s="22" t="s">
        <v>7839</v>
      </c>
      <c r="B2529" s="22" t="s">
        <v>7845</v>
      </c>
      <c r="C2529" s="22" t="s">
        <v>7850</v>
      </c>
      <c r="D2529" s="22" t="s">
        <v>7710</v>
      </c>
      <c r="E2529" s="22" t="s">
        <v>3594</v>
      </c>
      <c r="F2529" s="24" t="s">
        <v>3595</v>
      </c>
      <c r="G2529" s="26" t="s">
        <v>8562</v>
      </c>
      <c r="H2529" s="24" t="s">
        <v>198</v>
      </c>
      <c r="I2529" s="22"/>
      <c r="J2529" s="22"/>
      <c r="K2529" s="24"/>
      <c r="L2529" s="24"/>
      <c r="M2529" s="25" t="s">
        <v>3597</v>
      </c>
      <c r="N2529" s="22"/>
      <c r="O2529" s="22" t="s">
        <v>3598</v>
      </c>
      <c r="P2529" s="22" t="str">
        <f>HYPERLINK("https://ceds.ed.gov/cedselementdetails.aspx?termid=21360")</f>
        <v>https://ceds.ed.gov/cedselementdetails.aspx?termid=21360</v>
      </c>
      <c r="Q2529" s="22">
        <v>58795</v>
      </c>
    </row>
    <row r="2530" spans="1:17" ht="72" x14ac:dyDescent="0.3">
      <c r="A2530" s="22" t="s">
        <v>7839</v>
      </c>
      <c r="B2530" s="22" t="s">
        <v>7845</v>
      </c>
      <c r="C2530" s="22" t="s">
        <v>7850</v>
      </c>
      <c r="D2530" s="22" t="s">
        <v>7710</v>
      </c>
      <c r="E2530" s="22" t="s">
        <v>2082</v>
      </c>
      <c r="F2530" s="24" t="s">
        <v>2083</v>
      </c>
      <c r="G2530" s="23" t="s">
        <v>7422</v>
      </c>
      <c r="H2530" s="24" t="s">
        <v>42</v>
      </c>
      <c r="I2530" s="22"/>
      <c r="J2530" s="22"/>
      <c r="K2530" s="24"/>
      <c r="L2530" s="24"/>
      <c r="M2530" s="25" t="s">
        <v>2085</v>
      </c>
      <c r="N2530" s="22" t="s">
        <v>2086</v>
      </c>
      <c r="O2530" s="22" t="s">
        <v>2087</v>
      </c>
      <c r="P2530" s="22" t="str">
        <f>HYPERLINK("https://ceds.ed.gov/cedselementdetails.aspx?termid=21043")</f>
        <v>https://ceds.ed.gov/cedselementdetails.aspx?termid=21043</v>
      </c>
      <c r="Q2530" s="22">
        <v>61950</v>
      </c>
    </row>
    <row r="2531" spans="1:17" ht="72" x14ac:dyDescent="0.3">
      <c r="A2531" s="22" t="s">
        <v>7839</v>
      </c>
      <c r="B2531" s="22" t="s">
        <v>7845</v>
      </c>
      <c r="C2531" s="22" t="s">
        <v>7850</v>
      </c>
      <c r="D2531" s="22" t="s">
        <v>7710</v>
      </c>
      <c r="E2531" s="22" t="s">
        <v>2088</v>
      </c>
      <c r="F2531" s="24" t="s">
        <v>2089</v>
      </c>
      <c r="G2531" s="26" t="s">
        <v>8727</v>
      </c>
      <c r="H2531" s="24" t="s">
        <v>198</v>
      </c>
      <c r="I2531" s="22"/>
      <c r="J2531" s="22"/>
      <c r="K2531" s="24"/>
      <c r="L2531" s="24"/>
      <c r="M2531" s="25" t="s">
        <v>2091</v>
      </c>
      <c r="N2531" s="22" t="s">
        <v>2092</v>
      </c>
      <c r="O2531" s="22" t="s">
        <v>2093</v>
      </c>
      <c r="P2531" s="22" t="str">
        <f>HYPERLINK("https://ceds.ed.gov/cedselementdetails.aspx?termid=21044")</f>
        <v>https://ceds.ed.gov/cedselementdetails.aspx?termid=21044</v>
      </c>
      <c r="Q2531" s="22">
        <v>61955</v>
      </c>
    </row>
    <row r="2532" spans="1:17" ht="86.4" x14ac:dyDescent="0.3">
      <c r="A2532" s="22" t="s">
        <v>7839</v>
      </c>
      <c r="B2532" s="22" t="s">
        <v>7845</v>
      </c>
      <c r="C2532" s="22" t="s">
        <v>7850</v>
      </c>
      <c r="D2532" s="22" t="s">
        <v>7710</v>
      </c>
      <c r="E2532" s="22" t="s">
        <v>2094</v>
      </c>
      <c r="F2532" s="24" t="s">
        <v>2095</v>
      </c>
      <c r="G2532" s="26" t="s">
        <v>8728</v>
      </c>
      <c r="H2532" s="24" t="s">
        <v>198</v>
      </c>
      <c r="I2532" s="22"/>
      <c r="J2532" s="22"/>
      <c r="K2532" s="24"/>
      <c r="L2532" s="24"/>
      <c r="M2532" s="25" t="s">
        <v>2097</v>
      </c>
      <c r="N2532" s="22" t="s">
        <v>2098</v>
      </c>
      <c r="O2532" s="22" t="s">
        <v>2099</v>
      </c>
      <c r="P2532" s="22" t="str">
        <f>HYPERLINK("https://ceds.ed.gov/cedselementdetails.aspx?termid=21045")</f>
        <v>https://ceds.ed.gov/cedselementdetails.aspx?termid=21045</v>
      </c>
      <c r="Q2532" s="22">
        <v>58735</v>
      </c>
    </row>
    <row r="2533" spans="1:17" ht="158.4" x14ac:dyDescent="0.3">
      <c r="A2533" s="22" t="s">
        <v>7839</v>
      </c>
      <c r="B2533" s="22" t="s">
        <v>7845</v>
      </c>
      <c r="C2533" s="22" t="s">
        <v>7850</v>
      </c>
      <c r="D2533" s="22" t="s">
        <v>7710</v>
      </c>
      <c r="E2533" s="22" t="s">
        <v>3223</v>
      </c>
      <c r="F2533" s="24" t="s">
        <v>3224</v>
      </c>
      <c r="G2533" s="26" t="s">
        <v>22</v>
      </c>
      <c r="H2533" s="22"/>
      <c r="I2533" s="22"/>
      <c r="J2533" s="22"/>
      <c r="K2533" s="24"/>
      <c r="L2533" s="24" t="s">
        <v>3219</v>
      </c>
      <c r="M2533" s="25" t="s">
        <v>3226</v>
      </c>
      <c r="N2533" s="22"/>
      <c r="O2533" s="22" t="s">
        <v>3227</v>
      </c>
      <c r="P2533" s="22" t="str">
        <f>HYPERLINK("https://ceds.ed.gov/cedselementdetails.aspx?termid=22289")</f>
        <v>https://ceds.ed.gov/cedselementdetails.aspx?termid=22289</v>
      </c>
      <c r="Q2533" s="22">
        <v>61129</v>
      </c>
    </row>
    <row r="2534" spans="1:17" ht="216" x14ac:dyDescent="0.3">
      <c r="A2534" s="22" t="s">
        <v>7839</v>
      </c>
      <c r="B2534" s="22" t="s">
        <v>7845</v>
      </c>
      <c r="C2534" s="22" t="s">
        <v>7850</v>
      </c>
      <c r="D2534" s="22" t="s">
        <v>7710</v>
      </c>
      <c r="E2534" s="22" t="s">
        <v>7656</v>
      </c>
      <c r="F2534" s="24" t="s">
        <v>7657</v>
      </c>
      <c r="G2534" s="26" t="s">
        <v>8514</v>
      </c>
      <c r="H2534" s="22"/>
      <c r="I2534" s="22" t="s">
        <v>172</v>
      </c>
      <c r="J2534" s="22"/>
      <c r="K2534" s="24" t="s">
        <v>7995</v>
      </c>
      <c r="L2534" s="24"/>
      <c r="M2534" s="25" t="s">
        <v>7658</v>
      </c>
      <c r="N2534" s="22"/>
      <c r="O2534" s="22" t="s">
        <v>7656</v>
      </c>
      <c r="P2534" s="22" t="str">
        <f>HYPERLINK("https://ceds.ed.gov/cedselementdetails.aspx?termid=22959")</f>
        <v>https://ceds.ed.gov/cedselementdetails.aspx?termid=22959</v>
      </c>
      <c r="Q2534" s="22">
        <v>63673</v>
      </c>
    </row>
    <row r="2535" spans="1:17" ht="172.8" x14ac:dyDescent="0.3">
      <c r="A2535" s="22" t="s">
        <v>7839</v>
      </c>
      <c r="B2535" s="22" t="s">
        <v>7845</v>
      </c>
      <c r="C2535" s="22" t="s">
        <v>7851</v>
      </c>
      <c r="D2535" s="22" t="s">
        <v>7710</v>
      </c>
      <c r="E2535" s="22" t="s">
        <v>5653</v>
      </c>
      <c r="F2535" s="24" t="s">
        <v>5654</v>
      </c>
      <c r="G2535" s="23" t="s">
        <v>32</v>
      </c>
      <c r="H2535" s="22"/>
      <c r="I2535" s="22"/>
      <c r="J2535" s="22" t="s">
        <v>5656</v>
      </c>
      <c r="K2535" s="24"/>
      <c r="L2535" s="24"/>
      <c r="M2535" s="25" t="s">
        <v>5657</v>
      </c>
      <c r="N2535" s="22" t="s">
        <v>5658</v>
      </c>
      <c r="O2535" s="22" t="s">
        <v>5658</v>
      </c>
      <c r="P2535" s="22" t="str">
        <f>HYPERLINK("https://ceds.ed.gov/cedselementdetails.aspx?termid=21203")</f>
        <v>https://ceds.ed.gov/cedselementdetails.aspx?termid=21203</v>
      </c>
      <c r="Q2535" s="22">
        <v>61984</v>
      </c>
    </row>
    <row r="2536" spans="1:17" ht="187.2" x14ac:dyDescent="0.3">
      <c r="A2536" s="22" t="s">
        <v>7839</v>
      </c>
      <c r="B2536" s="22" t="s">
        <v>7845</v>
      </c>
      <c r="C2536" s="22" t="s">
        <v>7851</v>
      </c>
      <c r="D2536" s="22" t="s">
        <v>7710</v>
      </c>
      <c r="E2536" s="22" t="s">
        <v>5525</v>
      </c>
      <c r="F2536" s="24" t="s">
        <v>5526</v>
      </c>
      <c r="G2536" s="23" t="s">
        <v>32</v>
      </c>
      <c r="H2536" s="24" t="s">
        <v>5529</v>
      </c>
      <c r="I2536" s="22" t="s">
        <v>172</v>
      </c>
      <c r="J2536" s="22" t="s">
        <v>157</v>
      </c>
      <c r="K2536" s="24" t="s">
        <v>7946</v>
      </c>
      <c r="L2536" s="24"/>
      <c r="M2536" s="25" t="s">
        <v>5527</v>
      </c>
      <c r="N2536" s="22"/>
      <c r="O2536" s="22" t="s">
        <v>5528</v>
      </c>
      <c r="P2536" s="22" t="str">
        <f>HYPERLINK("https://ceds.ed.gov/cedselementdetails.aspx?termid=21191")</f>
        <v>https://ceds.ed.gov/cedselementdetails.aspx?termid=21191</v>
      </c>
      <c r="Q2536" s="22">
        <v>61976</v>
      </c>
    </row>
    <row r="2537" spans="1:17" ht="72" x14ac:dyDescent="0.3">
      <c r="A2537" s="22" t="s">
        <v>7839</v>
      </c>
      <c r="B2537" s="22" t="s">
        <v>7845</v>
      </c>
      <c r="C2537" s="22" t="s">
        <v>7851</v>
      </c>
      <c r="D2537" s="22" t="s">
        <v>7710</v>
      </c>
      <c r="E2537" s="22" t="s">
        <v>5909</v>
      </c>
      <c r="F2537" s="24" t="s">
        <v>5910</v>
      </c>
      <c r="G2537" s="26" t="s">
        <v>9070</v>
      </c>
      <c r="H2537" s="24" t="s">
        <v>5913</v>
      </c>
      <c r="I2537" s="22"/>
      <c r="J2537" s="22"/>
      <c r="K2537" s="24"/>
      <c r="L2537" s="24"/>
      <c r="M2537" s="25" t="s">
        <v>5911</v>
      </c>
      <c r="N2537" s="22"/>
      <c r="O2537" s="22" t="s">
        <v>5912</v>
      </c>
      <c r="P2537" s="22" t="str">
        <f>HYPERLINK("https://ceds.ed.gov/cedselementdetails.aspx?termid=22595")</f>
        <v>https://ceds.ed.gov/cedselementdetails.aspx?termid=22595</v>
      </c>
      <c r="Q2537" s="22">
        <v>62094</v>
      </c>
    </row>
    <row r="2538" spans="1:17" ht="409.6" x14ac:dyDescent="0.3">
      <c r="A2538" s="22" t="s">
        <v>7839</v>
      </c>
      <c r="B2538" s="22" t="s">
        <v>7845</v>
      </c>
      <c r="C2538" s="22" t="s">
        <v>7851</v>
      </c>
      <c r="D2538" s="22" t="s">
        <v>7710</v>
      </c>
      <c r="E2538" s="22" t="s">
        <v>5870</v>
      </c>
      <c r="F2538" s="24" t="s">
        <v>39</v>
      </c>
      <c r="G2538" s="26" t="s">
        <v>9066</v>
      </c>
      <c r="H2538" s="22"/>
      <c r="I2538" s="22"/>
      <c r="J2538" s="22"/>
      <c r="K2538" s="24"/>
      <c r="L2538" s="24"/>
      <c r="M2538" s="25" t="s">
        <v>5871</v>
      </c>
      <c r="N2538" s="22"/>
      <c r="O2538" s="22" t="s">
        <v>5872</v>
      </c>
      <c r="P2538" s="22" t="str">
        <f>HYPERLINK("https://ceds.ed.gov/cedselementdetails.aspx?termid=22649")</f>
        <v>https://ceds.ed.gov/cedselementdetails.aspx?termid=22649</v>
      </c>
      <c r="Q2538" s="22">
        <v>62989</v>
      </c>
    </row>
    <row r="2539" spans="1:17" ht="28.8" x14ac:dyDescent="0.3">
      <c r="A2539" s="22" t="s">
        <v>7839</v>
      </c>
      <c r="B2539" s="22" t="s">
        <v>7845</v>
      </c>
      <c r="C2539" s="22" t="s">
        <v>7851</v>
      </c>
      <c r="D2539" s="22" t="s">
        <v>7710</v>
      </c>
      <c r="E2539" s="22" t="s">
        <v>53</v>
      </c>
      <c r="F2539" s="24" t="s">
        <v>54</v>
      </c>
      <c r="G2539" s="23" t="s">
        <v>32</v>
      </c>
      <c r="H2539" s="22" t="s">
        <v>58</v>
      </c>
      <c r="I2539" s="22"/>
      <c r="J2539" s="22" t="s">
        <v>55</v>
      </c>
      <c r="K2539" s="24"/>
      <c r="L2539" s="24"/>
      <c r="M2539" s="25" t="s">
        <v>56</v>
      </c>
      <c r="N2539" s="22"/>
      <c r="O2539" s="22" t="s">
        <v>57</v>
      </c>
      <c r="P2539" s="22" t="str">
        <f>HYPERLINK("https://ceds.ed.gov/cedselementdetails.aspx?termid=21003")</f>
        <v>https://ceds.ed.gov/cedselementdetails.aspx?termid=21003</v>
      </c>
      <c r="Q2539" s="22">
        <v>61942</v>
      </c>
    </row>
    <row r="2540" spans="1:17" ht="57.6" x14ac:dyDescent="0.3">
      <c r="A2540" s="22" t="s">
        <v>7839</v>
      </c>
      <c r="B2540" s="22" t="s">
        <v>7845</v>
      </c>
      <c r="C2540" s="22" t="s">
        <v>7851</v>
      </c>
      <c r="D2540" s="22" t="s">
        <v>7710</v>
      </c>
      <c r="E2540" s="22" t="s">
        <v>30</v>
      </c>
      <c r="F2540" s="24" t="s">
        <v>31</v>
      </c>
      <c r="G2540" s="23" t="s">
        <v>32</v>
      </c>
      <c r="H2540" s="24" t="s">
        <v>37</v>
      </c>
      <c r="I2540" s="22"/>
      <c r="J2540" s="22" t="s">
        <v>34</v>
      </c>
      <c r="K2540" s="24"/>
      <c r="L2540" s="24"/>
      <c r="M2540" s="25" t="s">
        <v>35</v>
      </c>
      <c r="N2540" s="22"/>
      <c r="O2540" s="22" t="s">
        <v>36</v>
      </c>
      <c r="P2540" s="22" t="str">
        <f>HYPERLINK("https://ceds.ed.gov/cedselementdetails.aspx?termid=21001")</f>
        <v>https://ceds.ed.gov/cedselementdetails.aspx?termid=21001</v>
      </c>
      <c r="Q2540" s="22">
        <v>61938</v>
      </c>
    </row>
    <row r="2541" spans="1:17" ht="115.2" x14ac:dyDescent="0.3">
      <c r="A2541" s="22" t="s">
        <v>7839</v>
      </c>
      <c r="B2541" s="22" t="s">
        <v>7845</v>
      </c>
      <c r="C2541" s="22" t="s">
        <v>7851</v>
      </c>
      <c r="D2541" s="22" t="s">
        <v>7710</v>
      </c>
      <c r="E2541" s="22" t="s">
        <v>3142</v>
      </c>
      <c r="F2541" s="24" t="s">
        <v>3143</v>
      </c>
      <c r="G2541" s="23" t="s">
        <v>32</v>
      </c>
      <c r="H2541" s="24" t="s">
        <v>3148</v>
      </c>
      <c r="I2541" s="22"/>
      <c r="J2541" s="22" t="s">
        <v>3145</v>
      </c>
      <c r="K2541" s="24"/>
      <c r="L2541" s="24"/>
      <c r="M2541" s="25" t="s">
        <v>3146</v>
      </c>
      <c r="N2541" s="22"/>
      <c r="O2541" s="22" t="s">
        <v>3147</v>
      </c>
      <c r="P2541" s="22" t="str">
        <f>HYPERLINK("https://ceds.ed.gov/cedselementdetails.aspx?termid=21081")</f>
        <v>https://ceds.ed.gov/cedselementdetails.aspx?termid=21081</v>
      </c>
      <c r="Q2541" s="22">
        <v>61964</v>
      </c>
    </row>
    <row r="2542" spans="1:17" ht="216" x14ac:dyDescent="0.3">
      <c r="A2542" s="22" t="s">
        <v>7839</v>
      </c>
      <c r="B2542" s="22" t="s">
        <v>7845</v>
      </c>
      <c r="C2542" s="22" t="s">
        <v>7851</v>
      </c>
      <c r="D2542" s="22" t="s">
        <v>7710</v>
      </c>
      <c r="E2542" s="22" t="s">
        <v>38</v>
      </c>
      <c r="F2542" s="24" t="s">
        <v>7941</v>
      </c>
      <c r="G2542" s="26" t="s">
        <v>8562</v>
      </c>
      <c r="H2542" s="24" t="s">
        <v>42</v>
      </c>
      <c r="I2542" s="22"/>
      <c r="J2542" s="22"/>
      <c r="K2542" s="24"/>
      <c r="L2542" s="24"/>
      <c r="M2542" s="25" t="s">
        <v>40</v>
      </c>
      <c r="N2542" s="22"/>
      <c r="O2542" s="22" t="s">
        <v>41</v>
      </c>
      <c r="P2542" s="22" t="str">
        <f>HYPERLINK("https://ceds.ed.gov/cedselementdetails.aspx?termid=21002")</f>
        <v>https://ceds.ed.gov/cedselementdetails.aspx?termid=21002</v>
      </c>
      <c r="Q2542" s="22">
        <v>61940</v>
      </c>
    </row>
    <row r="2543" spans="1:17" ht="86.4" x14ac:dyDescent="0.3">
      <c r="A2543" s="22" t="s">
        <v>7839</v>
      </c>
      <c r="B2543" s="22" t="s">
        <v>7845</v>
      </c>
      <c r="C2543" s="22" t="s">
        <v>7851</v>
      </c>
      <c r="D2543" s="22" t="s">
        <v>7710</v>
      </c>
      <c r="E2543" s="22" t="s">
        <v>43</v>
      </c>
      <c r="F2543" s="24" t="s">
        <v>44</v>
      </c>
      <c r="G2543" s="26" t="s">
        <v>8563</v>
      </c>
      <c r="H2543" s="22"/>
      <c r="I2543" s="22"/>
      <c r="J2543" s="22"/>
      <c r="K2543" s="24"/>
      <c r="L2543" s="24"/>
      <c r="M2543" s="25" t="s">
        <v>46</v>
      </c>
      <c r="N2543" s="22"/>
      <c r="O2543" s="22" t="s">
        <v>47</v>
      </c>
      <c r="P2543" s="22" t="str">
        <f>HYPERLINK("https://ceds.ed.gov/cedselementdetails.aspx?termid=22647")</f>
        <v>https://ceds.ed.gov/cedselementdetails.aspx?termid=22647</v>
      </c>
      <c r="Q2543" s="22">
        <v>62866</v>
      </c>
    </row>
    <row r="2544" spans="1:17" ht="28.8" x14ac:dyDescent="0.3">
      <c r="A2544" s="22" t="s">
        <v>7839</v>
      </c>
      <c r="B2544" s="22" t="s">
        <v>7845</v>
      </c>
      <c r="C2544" s="22" t="s">
        <v>7851</v>
      </c>
      <c r="D2544" s="22" t="s">
        <v>7710</v>
      </c>
      <c r="E2544" s="22" t="s">
        <v>48</v>
      </c>
      <c r="F2544" s="24" t="s">
        <v>49</v>
      </c>
      <c r="G2544" s="23" t="s">
        <v>32</v>
      </c>
      <c r="H2544" s="22"/>
      <c r="I2544" s="22"/>
      <c r="J2544" s="22" t="s">
        <v>50</v>
      </c>
      <c r="K2544" s="24"/>
      <c r="L2544" s="24"/>
      <c r="M2544" s="25" t="s">
        <v>51</v>
      </c>
      <c r="N2544" s="22"/>
      <c r="O2544" s="22" t="s">
        <v>52</v>
      </c>
      <c r="P2544" s="22" t="str">
        <f>HYPERLINK("https://ceds.ed.gov/cedselementdetails.aspx?termid=22646")</f>
        <v>https://ceds.ed.gov/cedselementdetails.aspx?termid=22646</v>
      </c>
      <c r="Q2544" s="22">
        <v>62868</v>
      </c>
    </row>
    <row r="2545" spans="1:17" ht="72" x14ac:dyDescent="0.3">
      <c r="A2545" s="22" t="s">
        <v>7839</v>
      </c>
      <c r="B2545" s="22" t="s">
        <v>7845</v>
      </c>
      <c r="C2545" s="22" t="s">
        <v>7851</v>
      </c>
      <c r="D2545" s="22" t="s">
        <v>7710</v>
      </c>
      <c r="E2545" s="22" t="s">
        <v>2082</v>
      </c>
      <c r="F2545" s="24" t="s">
        <v>2083</v>
      </c>
      <c r="G2545" s="23" t="s">
        <v>7422</v>
      </c>
      <c r="H2545" s="24" t="s">
        <v>42</v>
      </c>
      <c r="I2545" s="22"/>
      <c r="J2545" s="22"/>
      <c r="K2545" s="24"/>
      <c r="L2545" s="24"/>
      <c r="M2545" s="25" t="s">
        <v>2085</v>
      </c>
      <c r="N2545" s="22" t="s">
        <v>2086</v>
      </c>
      <c r="O2545" s="22" t="s">
        <v>2087</v>
      </c>
      <c r="P2545" s="22" t="str">
        <f>HYPERLINK("https://ceds.ed.gov/cedselementdetails.aspx?termid=21043")</f>
        <v>https://ceds.ed.gov/cedselementdetails.aspx?termid=21043</v>
      </c>
      <c r="Q2545" s="22">
        <v>61954</v>
      </c>
    </row>
    <row r="2546" spans="1:17" ht="72" x14ac:dyDescent="0.3">
      <c r="A2546" s="22" t="s">
        <v>7839</v>
      </c>
      <c r="B2546" s="22" t="s">
        <v>7845</v>
      </c>
      <c r="C2546" s="22" t="s">
        <v>7851</v>
      </c>
      <c r="D2546" s="22" t="s">
        <v>7710</v>
      </c>
      <c r="E2546" s="22" t="s">
        <v>2088</v>
      </c>
      <c r="F2546" s="24" t="s">
        <v>2089</v>
      </c>
      <c r="G2546" s="26" t="s">
        <v>8727</v>
      </c>
      <c r="H2546" s="24" t="s">
        <v>198</v>
      </c>
      <c r="I2546" s="22"/>
      <c r="J2546" s="22"/>
      <c r="K2546" s="24"/>
      <c r="L2546" s="24"/>
      <c r="M2546" s="25" t="s">
        <v>2091</v>
      </c>
      <c r="N2546" s="22" t="s">
        <v>2092</v>
      </c>
      <c r="O2546" s="22" t="s">
        <v>2093</v>
      </c>
      <c r="P2546" s="22" t="str">
        <f>HYPERLINK("https://ceds.ed.gov/cedselementdetails.aspx?termid=21044")</f>
        <v>https://ceds.ed.gov/cedselementdetails.aspx?termid=21044</v>
      </c>
      <c r="Q2546" s="22">
        <v>61956</v>
      </c>
    </row>
    <row r="2547" spans="1:17" ht="86.4" x14ac:dyDescent="0.3">
      <c r="A2547" s="22" t="s">
        <v>7839</v>
      </c>
      <c r="B2547" s="22" t="s">
        <v>7845</v>
      </c>
      <c r="C2547" s="22" t="s">
        <v>7851</v>
      </c>
      <c r="D2547" s="22" t="s">
        <v>7710</v>
      </c>
      <c r="E2547" s="22" t="s">
        <v>2094</v>
      </c>
      <c r="F2547" s="24" t="s">
        <v>2095</v>
      </c>
      <c r="G2547" s="26" t="s">
        <v>8728</v>
      </c>
      <c r="H2547" s="24" t="s">
        <v>198</v>
      </c>
      <c r="I2547" s="22"/>
      <c r="J2547" s="22"/>
      <c r="K2547" s="24"/>
      <c r="L2547" s="24"/>
      <c r="M2547" s="25" t="s">
        <v>2097</v>
      </c>
      <c r="N2547" s="22" t="s">
        <v>2098</v>
      </c>
      <c r="O2547" s="22" t="s">
        <v>2099</v>
      </c>
      <c r="P2547" s="22" t="str">
        <f>HYPERLINK("https://ceds.ed.gov/cedselementdetails.aspx?termid=21045")</f>
        <v>https://ceds.ed.gov/cedselementdetails.aspx?termid=21045</v>
      </c>
      <c r="Q2547" s="22">
        <v>61962</v>
      </c>
    </row>
    <row r="2548" spans="1:17" ht="129.6" x14ac:dyDescent="0.3">
      <c r="A2548" s="22" t="s">
        <v>7839</v>
      </c>
      <c r="B2548" s="22" t="s">
        <v>7845</v>
      </c>
      <c r="C2548" s="22" t="s">
        <v>7851</v>
      </c>
      <c r="D2548" s="22" t="s">
        <v>7710</v>
      </c>
      <c r="E2548" s="22" t="s">
        <v>3249</v>
      </c>
      <c r="F2548" s="24" t="s">
        <v>3250</v>
      </c>
      <c r="G2548" s="26" t="s">
        <v>8809</v>
      </c>
      <c r="H2548" s="22"/>
      <c r="I2548" s="22"/>
      <c r="J2548" s="22"/>
      <c r="K2548" s="24"/>
      <c r="L2548" s="24" t="s">
        <v>8081</v>
      </c>
      <c r="M2548" s="25" t="s">
        <v>3252</v>
      </c>
      <c r="N2548" s="22"/>
      <c r="O2548" s="22" t="s">
        <v>3253</v>
      </c>
      <c r="P2548" s="22" t="str">
        <f>HYPERLINK("https://ceds.ed.gov/cedselementdetails.aspx?termid=22622")</f>
        <v>https://ceds.ed.gov/cedselementdetails.aspx?termid=22622</v>
      </c>
      <c r="Q2548" s="22">
        <v>62314</v>
      </c>
    </row>
    <row r="2549" spans="1:17" ht="115.2" x14ac:dyDescent="0.3">
      <c r="A2549" s="22" t="s">
        <v>7839</v>
      </c>
      <c r="B2549" s="22" t="s">
        <v>7845</v>
      </c>
      <c r="C2549" s="22" t="s">
        <v>7851</v>
      </c>
      <c r="D2549" s="22" t="s">
        <v>7710</v>
      </c>
      <c r="E2549" s="22" t="s">
        <v>6134</v>
      </c>
      <c r="F2549" s="24" t="s">
        <v>6135</v>
      </c>
      <c r="G2549" s="26" t="s">
        <v>9103</v>
      </c>
      <c r="H2549" s="22"/>
      <c r="I2549" s="22"/>
      <c r="J2549" s="22"/>
      <c r="K2549" s="24"/>
      <c r="L2549" s="24"/>
      <c r="M2549" s="25" t="s">
        <v>6137</v>
      </c>
      <c r="N2549" s="22"/>
      <c r="O2549" s="22" t="s">
        <v>6138</v>
      </c>
      <c r="P2549" s="22" t="str">
        <f>HYPERLINK("https://ceds.ed.gov/cedselementdetails.aspx?termid=21780")</f>
        <v>https://ceds.ed.gov/cedselementdetails.aspx?termid=21780</v>
      </c>
      <c r="Q2549" s="22">
        <v>62017</v>
      </c>
    </row>
    <row r="2550" spans="1:17" ht="259.2" x14ac:dyDescent="0.3">
      <c r="A2550" s="22" t="s">
        <v>7839</v>
      </c>
      <c r="B2550" s="22" t="s">
        <v>7845</v>
      </c>
      <c r="C2550" s="22" t="s">
        <v>7852</v>
      </c>
      <c r="D2550" s="22" t="s">
        <v>7710</v>
      </c>
      <c r="E2550" s="22" t="s">
        <v>5831</v>
      </c>
      <c r="F2550" s="24" t="s">
        <v>5832</v>
      </c>
      <c r="G2550" s="26" t="s">
        <v>8494</v>
      </c>
      <c r="H2550" s="22"/>
      <c r="I2550" s="22" t="s">
        <v>172</v>
      </c>
      <c r="J2550" s="22"/>
      <c r="K2550" s="24" t="s">
        <v>7946</v>
      </c>
      <c r="L2550" s="24"/>
      <c r="M2550" s="25" t="s">
        <v>5833</v>
      </c>
      <c r="N2550" s="22"/>
      <c r="O2550" s="22" t="s">
        <v>5834</v>
      </c>
      <c r="P2550" s="22" t="str">
        <f>HYPERLINK("https://ceds.ed.gov/cedselementdetails.aspx?termid=22550")</f>
        <v>https://ceds.ed.gov/cedselementdetails.aspx?termid=22550</v>
      </c>
      <c r="Q2550" s="22">
        <v>62842</v>
      </c>
    </row>
    <row r="2551" spans="1:17" ht="172.8" x14ac:dyDescent="0.3">
      <c r="A2551" s="22" t="s">
        <v>7839</v>
      </c>
      <c r="B2551" s="22" t="s">
        <v>7845</v>
      </c>
      <c r="C2551" s="22" t="s">
        <v>7852</v>
      </c>
      <c r="D2551" s="22" t="s">
        <v>7710</v>
      </c>
      <c r="E2551" s="22" t="s">
        <v>5835</v>
      </c>
      <c r="F2551" s="24" t="s">
        <v>5836</v>
      </c>
      <c r="G2551" s="23" t="s">
        <v>32</v>
      </c>
      <c r="H2551" s="22"/>
      <c r="I2551" s="22" t="s">
        <v>172</v>
      </c>
      <c r="J2551" s="22" t="s">
        <v>132</v>
      </c>
      <c r="K2551" s="24" t="s">
        <v>7946</v>
      </c>
      <c r="L2551" s="24" t="s">
        <v>8043</v>
      </c>
      <c r="M2551" s="25" t="s">
        <v>5837</v>
      </c>
      <c r="N2551" s="22"/>
      <c r="O2551" s="22" t="s">
        <v>5838</v>
      </c>
      <c r="P2551" s="22" t="str">
        <f>HYPERLINK("https://ceds.ed.gov/cedselementdetails.aspx?termid=22551")</f>
        <v>https://ceds.ed.gov/cedselementdetails.aspx?termid=22551</v>
      </c>
      <c r="Q2551" s="22">
        <v>62851</v>
      </c>
    </row>
    <row r="2552" spans="1:17" ht="259.2" x14ac:dyDescent="0.3">
      <c r="A2552" s="22" t="s">
        <v>7839</v>
      </c>
      <c r="B2552" s="22" t="s">
        <v>7845</v>
      </c>
      <c r="C2552" s="22" t="s">
        <v>7853</v>
      </c>
      <c r="D2552" s="22" t="s">
        <v>7710</v>
      </c>
      <c r="E2552" s="22" t="s">
        <v>5831</v>
      </c>
      <c r="F2552" s="24" t="s">
        <v>5832</v>
      </c>
      <c r="G2552" s="26" t="s">
        <v>8494</v>
      </c>
      <c r="H2552" s="22"/>
      <c r="I2552" s="22" t="s">
        <v>172</v>
      </c>
      <c r="J2552" s="22"/>
      <c r="K2552" s="24" t="s">
        <v>7946</v>
      </c>
      <c r="L2552" s="24"/>
      <c r="M2552" s="25" t="s">
        <v>5833</v>
      </c>
      <c r="N2552" s="22"/>
      <c r="O2552" s="22" t="s">
        <v>5834</v>
      </c>
      <c r="P2552" s="22" t="str">
        <f>HYPERLINK("https://ceds.ed.gov/cedselementdetails.aspx?termid=22550")</f>
        <v>https://ceds.ed.gov/cedselementdetails.aspx?termid=22550</v>
      </c>
      <c r="Q2552" s="22">
        <v>62843</v>
      </c>
    </row>
    <row r="2553" spans="1:17" ht="172.8" x14ac:dyDescent="0.3">
      <c r="A2553" s="22" t="s">
        <v>7839</v>
      </c>
      <c r="B2553" s="22" t="s">
        <v>7845</v>
      </c>
      <c r="C2553" s="22" t="s">
        <v>7853</v>
      </c>
      <c r="D2553" s="22" t="s">
        <v>7710</v>
      </c>
      <c r="E2553" s="22" t="s">
        <v>5835</v>
      </c>
      <c r="F2553" s="24" t="s">
        <v>5836</v>
      </c>
      <c r="G2553" s="23" t="s">
        <v>32</v>
      </c>
      <c r="H2553" s="22"/>
      <c r="I2553" s="22" t="s">
        <v>172</v>
      </c>
      <c r="J2553" s="22" t="s">
        <v>132</v>
      </c>
      <c r="K2553" s="24" t="s">
        <v>7946</v>
      </c>
      <c r="L2553" s="24" t="s">
        <v>8043</v>
      </c>
      <c r="M2553" s="25" t="s">
        <v>5837</v>
      </c>
      <c r="N2553" s="22"/>
      <c r="O2553" s="22" t="s">
        <v>5838</v>
      </c>
      <c r="P2553" s="22" t="str">
        <f>HYPERLINK("https://ceds.ed.gov/cedselementdetails.aspx?termid=22551")</f>
        <v>https://ceds.ed.gov/cedselementdetails.aspx?termid=22551</v>
      </c>
      <c r="Q2553" s="22">
        <v>62852</v>
      </c>
    </row>
    <row r="2554" spans="1:17" ht="72" x14ac:dyDescent="0.3">
      <c r="A2554" s="22" t="s">
        <v>7839</v>
      </c>
      <c r="B2554" s="22" t="s">
        <v>7845</v>
      </c>
      <c r="C2554" s="22" t="s">
        <v>7854</v>
      </c>
      <c r="D2554" s="22" t="s">
        <v>7710</v>
      </c>
      <c r="E2554" s="22" t="s">
        <v>5896</v>
      </c>
      <c r="F2554" s="24" t="s">
        <v>5897</v>
      </c>
      <c r="G2554" s="26" t="s">
        <v>9068</v>
      </c>
      <c r="H2554" s="24" t="s">
        <v>198</v>
      </c>
      <c r="I2554" s="22"/>
      <c r="J2554" s="22"/>
      <c r="K2554" s="24"/>
      <c r="L2554" s="24"/>
      <c r="M2554" s="25" t="s">
        <v>5898</v>
      </c>
      <c r="N2554" s="22"/>
      <c r="O2554" s="22" t="s">
        <v>5899</v>
      </c>
      <c r="P2554" s="22" t="str">
        <f>HYPERLINK("https://ceds.ed.gov/cedselementdetails.aspx?termid=21095")</f>
        <v>https://ceds.ed.gov/cedselementdetails.aspx?termid=21095</v>
      </c>
      <c r="Q2554" s="22">
        <v>58743</v>
      </c>
    </row>
    <row r="2555" spans="1:17" ht="86.4" x14ac:dyDescent="0.3">
      <c r="A2555" s="22" t="s">
        <v>7839</v>
      </c>
      <c r="B2555" s="22" t="s">
        <v>7845</v>
      </c>
      <c r="C2555" s="22" t="s">
        <v>7854</v>
      </c>
      <c r="D2555" s="22" t="s">
        <v>7710</v>
      </c>
      <c r="E2555" s="22" t="s">
        <v>5890</v>
      </c>
      <c r="F2555" s="24" t="s">
        <v>5891</v>
      </c>
      <c r="G2555" s="26" t="s">
        <v>9067</v>
      </c>
      <c r="H2555" s="24" t="s">
        <v>5895</v>
      </c>
      <c r="I2555" s="22"/>
      <c r="J2555" s="22"/>
      <c r="K2555" s="24"/>
      <c r="L2555" s="24" t="s">
        <v>5892</v>
      </c>
      <c r="M2555" s="25" t="s">
        <v>5893</v>
      </c>
      <c r="N2555" s="22"/>
      <c r="O2555" s="22" t="s">
        <v>5894</v>
      </c>
      <c r="P2555" s="22" t="str">
        <f>HYPERLINK("https://ceds.ed.gov/cedselementdetails.aspx?termid=21096")</f>
        <v>https://ceds.ed.gov/cedselementdetails.aspx?termid=21096</v>
      </c>
      <c r="Q2555" s="22">
        <v>58744</v>
      </c>
    </row>
    <row r="2556" spans="1:17" ht="144" x14ac:dyDescent="0.3">
      <c r="A2556" s="22" t="s">
        <v>7839</v>
      </c>
      <c r="B2556" s="22" t="s">
        <v>7845</v>
      </c>
      <c r="C2556" s="22" t="s">
        <v>7854</v>
      </c>
      <c r="D2556" s="22" t="s">
        <v>7710</v>
      </c>
      <c r="E2556" s="22" t="s">
        <v>70</v>
      </c>
      <c r="F2556" s="24" t="s">
        <v>71</v>
      </c>
      <c r="G2556" s="26" t="s">
        <v>8566</v>
      </c>
      <c r="H2556" s="24" t="s">
        <v>76</v>
      </c>
      <c r="I2556" s="22"/>
      <c r="J2556" s="22"/>
      <c r="K2556" s="24"/>
      <c r="L2556" s="24" t="s">
        <v>73</v>
      </c>
      <c r="M2556" s="25" t="s">
        <v>74</v>
      </c>
      <c r="N2556" s="22"/>
      <c r="O2556" s="22" t="s">
        <v>75</v>
      </c>
      <c r="P2556" s="22" t="str">
        <f>HYPERLINK("https://ceds.ed.gov/cedselementdetails.aspx?termid=21703")</f>
        <v>https://ceds.ed.gov/cedselementdetails.aspx?termid=21703</v>
      </c>
      <c r="Q2556" s="22">
        <v>62015</v>
      </c>
    </row>
    <row r="2557" spans="1:17" ht="57.6" x14ac:dyDescent="0.3">
      <c r="A2557" s="22" t="s">
        <v>7839</v>
      </c>
      <c r="B2557" s="22" t="s">
        <v>7845</v>
      </c>
      <c r="C2557" s="22" t="s">
        <v>7854</v>
      </c>
      <c r="D2557" s="22" t="s">
        <v>7710</v>
      </c>
      <c r="E2557" s="22" t="s">
        <v>77</v>
      </c>
      <c r="F2557" s="24" t="s">
        <v>78</v>
      </c>
      <c r="G2557" s="23" t="s">
        <v>32</v>
      </c>
      <c r="H2557" s="24" t="s">
        <v>76</v>
      </c>
      <c r="I2557" s="22"/>
      <c r="J2557" s="22" t="s">
        <v>79</v>
      </c>
      <c r="K2557" s="24"/>
      <c r="L2557" s="24"/>
      <c r="M2557" s="25" t="s">
        <v>80</v>
      </c>
      <c r="N2557" s="22"/>
      <c r="O2557" s="22" t="s">
        <v>81</v>
      </c>
      <c r="P2557" s="22" t="str">
        <f>HYPERLINK("https://ceds.ed.gov/cedselementdetails.aspx?termid=21702")</f>
        <v>https://ceds.ed.gov/cedselementdetails.aspx?termid=21702</v>
      </c>
      <c r="Q2557" s="22">
        <v>62014</v>
      </c>
    </row>
    <row r="2558" spans="1:17" ht="43.2" x14ac:dyDescent="0.3">
      <c r="A2558" s="22" t="s">
        <v>7839</v>
      </c>
      <c r="B2558" s="22" t="s">
        <v>7845</v>
      </c>
      <c r="C2558" s="22" t="s">
        <v>7854</v>
      </c>
      <c r="D2558" s="22" t="s">
        <v>7710</v>
      </c>
      <c r="E2558" s="22" t="s">
        <v>4802</v>
      </c>
      <c r="F2558" s="24" t="s">
        <v>4803</v>
      </c>
      <c r="G2558" s="26" t="s">
        <v>8970</v>
      </c>
      <c r="H2558" s="24" t="s">
        <v>198</v>
      </c>
      <c r="I2558" s="22"/>
      <c r="J2558" s="22"/>
      <c r="K2558" s="24"/>
      <c r="L2558" s="24"/>
      <c r="M2558" s="25" t="s">
        <v>4804</v>
      </c>
      <c r="N2558" s="22"/>
      <c r="O2558" s="22" t="s">
        <v>4805</v>
      </c>
      <c r="P2558" s="22" t="str">
        <f>HYPERLINK("https://ceds.ed.gov/cedselementdetails.aspx?termid=21169")</f>
        <v>https://ceds.ed.gov/cedselementdetails.aspx?termid=21169</v>
      </c>
      <c r="Q2558" s="22">
        <v>58766</v>
      </c>
    </row>
    <row r="2559" spans="1:17" ht="43.2" x14ac:dyDescent="0.3">
      <c r="A2559" s="22" t="s">
        <v>7839</v>
      </c>
      <c r="B2559" s="22" t="s">
        <v>7845</v>
      </c>
      <c r="C2559" s="22" t="s">
        <v>7854</v>
      </c>
      <c r="D2559" s="22" t="s">
        <v>7710</v>
      </c>
      <c r="E2559" s="22" t="s">
        <v>4792</v>
      </c>
      <c r="F2559" s="24" t="s">
        <v>4793</v>
      </c>
      <c r="G2559" s="23" t="s">
        <v>32</v>
      </c>
      <c r="H2559" s="24" t="s">
        <v>198</v>
      </c>
      <c r="I2559" s="22"/>
      <c r="J2559" s="22" t="s">
        <v>1518</v>
      </c>
      <c r="K2559" s="24"/>
      <c r="L2559" s="24"/>
      <c r="M2559" s="25" t="s">
        <v>4794</v>
      </c>
      <c r="N2559" s="22"/>
      <c r="O2559" s="22" t="s">
        <v>4795</v>
      </c>
      <c r="P2559" s="22" t="str">
        <f>HYPERLINK("https://ceds.ed.gov/cedselementdetails.aspx?termid=21168")</f>
        <v>https://ceds.ed.gov/cedselementdetails.aspx?termid=21168</v>
      </c>
      <c r="Q2559" s="22">
        <v>58765</v>
      </c>
    </row>
    <row r="2560" spans="1:17" ht="43.2" x14ac:dyDescent="0.3">
      <c r="A2560" s="22" t="s">
        <v>7839</v>
      </c>
      <c r="B2560" s="22" t="s">
        <v>7845</v>
      </c>
      <c r="C2560" s="22" t="s">
        <v>7854</v>
      </c>
      <c r="D2560" s="22" t="s">
        <v>7710</v>
      </c>
      <c r="E2560" s="22" t="s">
        <v>4796</v>
      </c>
      <c r="F2560" s="24" t="s">
        <v>4797</v>
      </c>
      <c r="G2560" s="23" t="s">
        <v>32</v>
      </c>
      <c r="H2560" s="22" t="s">
        <v>4801</v>
      </c>
      <c r="I2560" s="22"/>
      <c r="J2560" s="22" t="s">
        <v>1518</v>
      </c>
      <c r="K2560" s="24"/>
      <c r="L2560" s="24"/>
      <c r="M2560" s="25" t="s">
        <v>4799</v>
      </c>
      <c r="N2560" s="22"/>
      <c r="O2560" s="22" t="s">
        <v>4800</v>
      </c>
      <c r="P2560" s="22" t="str">
        <f>HYPERLINK("https://ceds.ed.gov/cedselementdetails.aspx?termid=21361")</f>
        <v>https://ceds.ed.gov/cedselementdetails.aspx?termid=21361</v>
      </c>
      <c r="Q2560" s="22">
        <v>58796</v>
      </c>
    </row>
    <row r="2561" spans="1:17" ht="187.2" x14ac:dyDescent="0.3">
      <c r="A2561" s="22" t="s">
        <v>7839</v>
      </c>
      <c r="B2561" s="22" t="s">
        <v>7845</v>
      </c>
      <c r="C2561" s="22" t="s">
        <v>7854</v>
      </c>
      <c r="D2561" s="22" t="s">
        <v>7710</v>
      </c>
      <c r="E2561" s="22" t="s">
        <v>7261</v>
      </c>
      <c r="F2561" s="24" t="s">
        <v>8342</v>
      </c>
      <c r="G2561" s="26" t="s">
        <v>22</v>
      </c>
      <c r="H2561" s="24" t="s">
        <v>198</v>
      </c>
      <c r="I2561" s="22"/>
      <c r="J2561" s="22"/>
      <c r="K2561" s="24"/>
      <c r="L2561" s="24"/>
      <c r="M2561" s="25" t="s">
        <v>7262</v>
      </c>
      <c r="N2561" s="22"/>
      <c r="O2561" s="22" t="s">
        <v>7263</v>
      </c>
      <c r="P2561" s="22" t="str">
        <f>HYPERLINK("https://ceds.ed.gov/cedselementdetails.aspx?termid=21292")</f>
        <v>https://ceds.ed.gov/cedselementdetails.aspx?termid=21292</v>
      </c>
      <c r="Q2561" s="22">
        <v>58791</v>
      </c>
    </row>
    <row r="2562" spans="1:17" ht="302.39999999999998" x14ac:dyDescent="0.3">
      <c r="A2562" s="22" t="s">
        <v>7839</v>
      </c>
      <c r="B2562" s="22" t="s">
        <v>7845</v>
      </c>
      <c r="C2562" s="22" t="s">
        <v>7854</v>
      </c>
      <c r="D2562" s="22" t="s">
        <v>7710</v>
      </c>
      <c r="E2562" s="22" t="s">
        <v>3217</v>
      </c>
      <c r="F2562" s="24" t="s">
        <v>8080</v>
      </c>
      <c r="G2562" s="26" t="s">
        <v>8806</v>
      </c>
      <c r="H2562" s="22" t="s">
        <v>3222</v>
      </c>
      <c r="I2562" s="22"/>
      <c r="J2562" s="22"/>
      <c r="K2562" s="24"/>
      <c r="L2562" s="24" t="s">
        <v>3219</v>
      </c>
      <c r="M2562" s="25" t="s">
        <v>3220</v>
      </c>
      <c r="N2562" s="22"/>
      <c r="O2562" s="22" t="s">
        <v>3221</v>
      </c>
      <c r="P2562" s="22" t="str">
        <f>HYPERLINK("https://ceds.ed.gov/cedselementdetails.aspx?termid=21704")</f>
        <v>https://ceds.ed.gov/cedselementdetails.aspx?termid=21704</v>
      </c>
      <c r="Q2562" s="22">
        <v>60150</v>
      </c>
    </row>
    <row r="2563" spans="1:17" ht="100.8" x14ac:dyDescent="0.3">
      <c r="A2563" s="22" t="s">
        <v>7839</v>
      </c>
      <c r="B2563" s="22" t="s">
        <v>7845</v>
      </c>
      <c r="C2563" s="22" t="s">
        <v>7854</v>
      </c>
      <c r="D2563" s="22" t="s">
        <v>7710</v>
      </c>
      <c r="E2563" s="22" t="s">
        <v>5918</v>
      </c>
      <c r="F2563" s="24" t="s">
        <v>5919</v>
      </c>
      <c r="G2563" s="26" t="s">
        <v>22</v>
      </c>
      <c r="H2563" s="22" t="s">
        <v>252</v>
      </c>
      <c r="I2563" s="22"/>
      <c r="J2563" s="22"/>
      <c r="K2563" s="24"/>
      <c r="L2563" s="24" t="s">
        <v>5920</v>
      </c>
      <c r="M2563" s="25" t="s">
        <v>5921</v>
      </c>
      <c r="N2563" s="22"/>
      <c r="O2563" s="22" t="s">
        <v>5922</v>
      </c>
      <c r="P2563" s="22" t="str">
        <f>HYPERLINK("https://ceds.ed.gov/cedselementdetails.aspx?termid=21741")</f>
        <v>https://ceds.ed.gov/cedselementdetails.aspx?termid=21741</v>
      </c>
      <c r="Q2563" s="22">
        <v>59263</v>
      </c>
    </row>
    <row r="2564" spans="1:17" ht="57.6" x14ac:dyDescent="0.3">
      <c r="A2564" s="22" t="s">
        <v>7839</v>
      </c>
      <c r="B2564" s="22" t="s">
        <v>7845</v>
      </c>
      <c r="C2564" s="22" t="s">
        <v>7854</v>
      </c>
      <c r="D2564" s="22" t="s">
        <v>7710</v>
      </c>
      <c r="E2564" s="22" t="s">
        <v>4069</v>
      </c>
      <c r="F2564" s="24" t="s">
        <v>4070</v>
      </c>
      <c r="G2564" s="26" t="s">
        <v>22</v>
      </c>
      <c r="H2564" s="22" t="s">
        <v>252</v>
      </c>
      <c r="I2564" s="22"/>
      <c r="J2564" s="22"/>
      <c r="K2564" s="24"/>
      <c r="L2564" s="24"/>
      <c r="M2564" s="25" t="s">
        <v>4071</v>
      </c>
      <c r="N2564" s="22"/>
      <c r="O2564" s="22" t="s">
        <v>4072</v>
      </c>
      <c r="P2564" s="22" t="str">
        <f>HYPERLINK("https://ceds.ed.gov/cedselementdetails.aspx?termid=21743")</f>
        <v>https://ceds.ed.gov/cedselementdetails.aspx?termid=21743</v>
      </c>
      <c r="Q2564" s="22">
        <v>59264</v>
      </c>
    </row>
    <row r="2565" spans="1:17" ht="57.6" x14ac:dyDescent="0.3">
      <c r="A2565" s="22" t="s">
        <v>7839</v>
      </c>
      <c r="B2565" s="22" t="s">
        <v>7845</v>
      </c>
      <c r="C2565" s="22" t="s">
        <v>7854</v>
      </c>
      <c r="D2565" s="22" t="s">
        <v>7710</v>
      </c>
      <c r="E2565" s="22" t="s">
        <v>6798</v>
      </c>
      <c r="F2565" s="24" t="s">
        <v>6799</v>
      </c>
      <c r="G2565" s="26" t="s">
        <v>22</v>
      </c>
      <c r="H2565" s="22" t="s">
        <v>252</v>
      </c>
      <c r="I2565" s="22"/>
      <c r="J2565" s="22"/>
      <c r="K2565" s="24"/>
      <c r="L2565" s="24"/>
      <c r="M2565" s="25" t="s">
        <v>6800</v>
      </c>
      <c r="N2565" s="22"/>
      <c r="O2565" s="22" t="s">
        <v>6801</v>
      </c>
      <c r="P2565" s="22" t="str">
        <f>HYPERLINK("https://ceds.ed.gov/cedselementdetails.aspx?termid=21744")</f>
        <v>https://ceds.ed.gov/cedselementdetails.aspx?termid=21744</v>
      </c>
      <c r="Q2565" s="22">
        <v>59265</v>
      </c>
    </row>
    <row r="2566" spans="1:17" ht="72" x14ac:dyDescent="0.3">
      <c r="A2566" s="22" t="s">
        <v>7839</v>
      </c>
      <c r="B2566" s="22" t="s">
        <v>7845</v>
      </c>
      <c r="C2566" s="22" t="s">
        <v>7854</v>
      </c>
      <c r="D2566" s="22" t="s">
        <v>7710</v>
      </c>
      <c r="E2566" s="22" t="s">
        <v>3149</v>
      </c>
      <c r="F2566" s="24" t="s">
        <v>3150</v>
      </c>
      <c r="G2566" s="26" t="s">
        <v>8794</v>
      </c>
      <c r="H2566" s="24" t="s">
        <v>3154</v>
      </c>
      <c r="I2566" s="22"/>
      <c r="J2566" s="22"/>
      <c r="K2566" s="24"/>
      <c r="L2566" s="24"/>
      <c r="M2566" s="25" t="s">
        <v>3152</v>
      </c>
      <c r="N2566" s="22"/>
      <c r="O2566" s="22" t="s">
        <v>3153</v>
      </c>
      <c r="P2566" s="22" t="str">
        <f>HYPERLINK("https://ceds.ed.gov/cedselementdetails.aspx?termid=22569")</f>
        <v>https://ceds.ed.gov/cedselementdetails.aspx?termid=22569</v>
      </c>
      <c r="Q2566" s="22">
        <v>62059</v>
      </c>
    </row>
    <row r="2567" spans="1:17" ht="43.2" x14ac:dyDescent="0.3">
      <c r="A2567" s="22" t="s">
        <v>7839</v>
      </c>
      <c r="B2567" s="22" t="s">
        <v>7845</v>
      </c>
      <c r="C2567" s="22" t="s">
        <v>7854</v>
      </c>
      <c r="D2567" s="22" t="s">
        <v>7710</v>
      </c>
      <c r="E2567" s="22" t="s">
        <v>3212</v>
      </c>
      <c r="F2567" s="24" t="s">
        <v>3213</v>
      </c>
      <c r="G2567" s="26" t="s">
        <v>22</v>
      </c>
      <c r="H2567" s="22"/>
      <c r="I2567" s="22"/>
      <c r="J2567" s="22"/>
      <c r="K2567" s="24"/>
      <c r="L2567" s="24"/>
      <c r="M2567" s="25" t="s">
        <v>3215</v>
      </c>
      <c r="N2567" s="22"/>
      <c r="O2567" s="22" t="s">
        <v>3216</v>
      </c>
      <c r="P2567" s="22" t="str">
        <f>HYPERLINK("https://ceds.ed.gov/cedselementdetails.aspx?termid=21603")</f>
        <v>https://ceds.ed.gov/cedselementdetails.aspx?termid=21603</v>
      </c>
      <c r="Q2567" s="22">
        <v>63680</v>
      </c>
    </row>
    <row r="2568" spans="1:17" ht="144" x14ac:dyDescent="0.3">
      <c r="A2568" s="22" t="s">
        <v>7839</v>
      </c>
      <c r="B2568" s="22" t="s">
        <v>7845</v>
      </c>
      <c r="C2568" s="22" t="s">
        <v>7797</v>
      </c>
      <c r="D2568" s="22" t="s">
        <v>7710</v>
      </c>
      <c r="E2568" s="22" t="s">
        <v>70</v>
      </c>
      <c r="F2568" s="24" t="s">
        <v>71</v>
      </c>
      <c r="G2568" s="26" t="s">
        <v>8566</v>
      </c>
      <c r="H2568" s="24" t="s">
        <v>76</v>
      </c>
      <c r="I2568" s="22"/>
      <c r="J2568" s="22"/>
      <c r="K2568" s="24"/>
      <c r="L2568" s="24" t="s">
        <v>73</v>
      </c>
      <c r="M2568" s="25" t="s">
        <v>74</v>
      </c>
      <c r="N2568" s="22"/>
      <c r="O2568" s="22" t="s">
        <v>75</v>
      </c>
      <c r="P2568" s="22" t="str">
        <f>HYPERLINK("https://ceds.ed.gov/cedselementdetails.aspx?termid=21703")</f>
        <v>https://ceds.ed.gov/cedselementdetails.aspx?termid=21703</v>
      </c>
      <c r="Q2568" s="22">
        <v>60149</v>
      </c>
    </row>
    <row r="2569" spans="1:17" ht="57.6" x14ac:dyDescent="0.3">
      <c r="A2569" s="22" t="s">
        <v>7839</v>
      </c>
      <c r="B2569" s="22" t="s">
        <v>7845</v>
      </c>
      <c r="C2569" s="22" t="s">
        <v>7797</v>
      </c>
      <c r="D2569" s="22" t="s">
        <v>7710</v>
      </c>
      <c r="E2569" s="22" t="s">
        <v>77</v>
      </c>
      <c r="F2569" s="24" t="s">
        <v>78</v>
      </c>
      <c r="G2569" s="23" t="s">
        <v>32</v>
      </c>
      <c r="H2569" s="24" t="s">
        <v>76</v>
      </c>
      <c r="I2569" s="22"/>
      <c r="J2569" s="22" t="s">
        <v>79</v>
      </c>
      <c r="K2569" s="24"/>
      <c r="L2569" s="24"/>
      <c r="M2569" s="25" t="s">
        <v>80</v>
      </c>
      <c r="N2569" s="22"/>
      <c r="O2569" s="22" t="s">
        <v>81</v>
      </c>
      <c r="P2569" s="22" t="str">
        <f>HYPERLINK("https://ceds.ed.gov/cedselementdetails.aspx?termid=21702")</f>
        <v>https://ceds.ed.gov/cedselementdetails.aspx?termid=21702</v>
      </c>
      <c r="Q2569" s="22">
        <v>60148</v>
      </c>
    </row>
    <row r="2570" spans="1:17" ht="43.2" x14ac:dyDescent="0.3">
      <c r="A2570" s="22" t="s">
        <v>7839</v>
      </c>
      <c r="B2570" s="22" t="s">
        <v>7845</v>
      </c>
      <c r="C2570" s="22" t="s">
        <v>7797</v>
      </c>
      <c r="D2570" s="22" t="s">
        <v>7710</v>
      </c>
      <c r="E2570" s="22" t="s">
        <v>4203</v>
      </c>
      <c r="F2570" s="24" t="s">
        <v>8208</v>
      </c>
      <c r="G2570" s="23" t="s">
        <v>32</v>
      </c>
      <c r="H2570" s="22" t="s">
        <v>58</v>
      </c>
      <c r="I2570" s="22"/>
      <c r="J2570" s="22" t="s">
        <v>990</v>
      </c>
      <c r="K2570" s="24"/>
      <c r="L2570" s="24"/>
      <c r="M2570" s="25" t="s">
        <v>4204</v>
      </c>
      <c r="N2570" s="22"/>
      <c r="O2570" s="22" t="s">
        <v>4205</v>
      </c>
      <c r="P2570" s="22" t="str">
        <f>HYPERLINK("https://ceds.ed.gov/cedselementdetails.aspx?termid=21127")</f>
        <v>https://ceds.ed.gov/cedselementdetails.aspx?termid=21127</v>
      </c>
      <c r="Q2570" s="22">
        <v>58754</v>
      </c>
    </row>
    <row r="2571" spans="1:17" ht="158.4" x14ac:dyDescent="0.3">
      <c r="A2571" s="22" t="s">
        <v>7839</v>
      </c>
      <c r="B2571" s="22" t="s">
        <v>7845</v>
      </c>
      <c r="C2571" s="22" t="s">
        <v>7797</v>
      </c>
      <c r="D2571" s="22" t="s">
        <v>7710</v>
      </c>
      <c r="E2571" s="22" t="s">
        <v>4206</v>
      </c>
      <c r="F2571" s="24" t="s">
        <v>4207</v>
      </c>
      <c r="G2571" s="23" t="s">
        <v>32</v>
      </c>
      <c r="H2571" s="24" t="s">
        <v>4213</v>
      </c>
      <c r="I2571" s="22"/>
      <c r="J2571" s="22" t="s">
        <v>990</v>
      </c>
      <c r="K2571" s="24"/>
      <c r="L2571" s="24" t="s">
        <v>4209</v>
      </c>
      <c r="M2571" s="25" t="s">
        <v>4210</v>
      </c>
      <c r="N2571" s="22" t="s">
        <v>4211</v>
      </c>
      <c r="O2571" s="22" t="s">
        <v>4212</v>
      </c>
      <c r="P2571" s="22" t="str">
        <f>HYPERLINK("https://ceds.ed.gov/cedselementdetails.aspx?termid=21128")</f>
        <v>https://ceds.ed.gov/cedselementdetails.aspx?termid=21128</v>
      </c>
      <c r="Q2571" s="22">
        <v>60023</v>
      </c>
    </row>
    <row r="2572" spans="1:17" ht="57.6" x14ac:dyDescent="0.3">
      <c r="A2572" s="22" t="s">
        <v>7839</v>
      </c>
      <c r="B2572" s="22" t="s">
        <v>7845</v>
      </c>
      <c r="C2572" s="22" t="s">
        <v>7797</v>
      </c>
      <c r="D2572" s="22" t="s">
        <v>7710</v>
      </c>
      <c r="E2572" s="22" t="s">
        <v>3254</v>
      </c>
      <c r="F2572" s="24" t="s">
        <v>8082</v>
      </c>
      <c r="G2572" s="23" t="s">
        <v>32</v>
      </c>
      <c r="H2572" s="22" t="s">
        <v>58</v>
      </c>
      <c r="I2572" s="22"/>
      <c r="J2572" s="22" t="s">
        <v>1518</v>
      </c>
      <c r="K2572" s="24"/>
      <c r="L2572" s="24"/>
      <c r="M2572" s="25" t="s">
        <v>3255</v>
      </c>
      <c r="N2572" s="22"/>
      <c r="O2572" s="22" t="s">
        <v>3256</v>
      </c>
      <c r="P2572" s="22" t="str">
        <f>HYPERLINK("https://ceds.ed.gov/cedselementdetails.aspx?termid=21085")</f>
        <v>https://ceds.ed.gov/cedselementdetails.aspx?termid=21085</v>
      </c>
      <c r="Q2572" s="22">
        <v>58742</v>
      </c>
    </row>
    <row r="2573" spans="1:17" ht="72" x14ac:dyDescent="0.3">
      <c r="A2573" s="22" t="s">
        <v>7839</v>
      </c>
      <c r="B2573" s="22" t="s">
        <v>7845</v>
      </c>
      <c r="C2573" s="22" t="s">
        <v>7797</v>
      </c>
      <c r="D2573" s="22" t="s">
        <v>7710</v>
      </c>
      <c r="E2573" s="22" t="s">
        <v>315</v>
      </c>
      <c r="F2573" s="24" t="s">
        <v>7957</v>
      </c>
      <c r="G2573" s="23" t="s">
        <v>32</v>
      </c>
      <c r="H2573" s="22" t="s">
        <v>58</v>
      </c>
      <c r="I2573" s="22"/>
      <c r="J2573" s="22" t="s">
        <v>317</v>
      </c>
      <c r="K2573" s="24"/>
      <c r="L2573" s="24"/>
      <c r="M2573" s="25" t="s">
        <v>318</v>
      </c>
      <c r="N2573" s="22" t="s">
        <v>319</v>
      </c>
      <c r="O2573" s="22" t="s">
        <v>320</v>
      </c>
      <c r="P2573" s="22" t="str">
        <f>HYPERLINK("https://ceds.ed.gov/cedselementdetails.aspx?termid=21018")</f>
        <v>https://ceds.ed.gov/cedselementdetails.aspx?termid=21018</v>
      </c>
      <c r="Q2573" s="22">
        <v>58728</v>
      </c>
    </row>
    <row r="2574" spans="1:17" ht="43.2" x14ac:dyDescent="0.3">
      <c r="A2574" s="22" t="s">
        <v>7839</v>
      </c>
      <c r="B2574" s="22" t="s">
        <v>7845</v>
      </c>
      <c r="C2574" s="22" t="s">
        <v>7797</v>
      </c>
      <c r="D2574" s="22" t="s">
        <v>7710</v>
      </c>
      <c r="E2574" s="22" t="s">
        <v>2750</v>
      </c>
      <c r="F2574" s="24" t="s">
        <v>2751</v>
      </c>
      <c r="G2574" s="23" t="s">
        <v>32</v>
      </c>
      <c r="H2574" s="22"/>
      <c r="I2574" s="22"/>
      <c r="J2574" s="22" t="s">
        <v>317</v>
      </c>
      <c r="K2574" s="24"/>
      <c r="L2574" s="24"/>
      <c r="M2574" s="25" t="s">
        <v>2752</v>
      </c>
      <c r="N2574" s="22"/>
      <c r="O2574" s="22" t="s">
        <v>2753</v>
      </c>
      <c r="P2574" s="22" t="str">
        <f>HYPERLINK("https://ceds.ed.gov/cedselementdetails.aspx?termid=22282")</f>
        <v>https://ceds.ed.gov/cedselementdetails.aspx?termid=22282</v>
      </c>
      <c r="Q2574" s="22">
        <v>61119</v>
      </c>
    </row>
    <row r="2575" spans="1:17" ht="100.8" x14ac:dyDescent="0.3">
      <c r="A2575" s="22" t="s">
        <v>7839</v>
      </c>
      <c r="B2575" s="22" t="s">
        <v>7845</v>
      </c>
      <c r="C2575" s="22" t="s">
        <v>7797</v>
      </c>
      <c r="D2575" s="22" t="s">
        <v>7710</v>
      </c>
      <c r="E2575" s="22" t="s">
        <v>2980</v>
      </c>
      <c r="F2575" s="24" t="s">
        <v>7476</v>
      </c>
      <c r="G2575" s="23" t="s">
        <v>32</v>
      </c>
      <c r="H2575" s="24" t="s">
        <v>64</v>
      </c>
      <c r="I2575" s="22"/>
      <c r="J2575" s="22" t="s">
        <v>1518</v>
      </c>
      <c r="K2575" s="24"/>
      <c r="L2575" s="24"/>
      <c r="M2575" s="25" t="s">
        <v>2981</v>
      </c>
      <c r="N2575" s="22"/>
      <c r="O2575" s="22" t="s">
        <v>2982</v>
      </c>
      <c r="P2575" s="22" t="str">
        <f>HYPERLINK("https://ceds.ed.gov/cedselementdetails.aspx?termid=21073")</f>
        <v>https://ceds.ed.gov/cedselementdetails.aspx?termid=21073</v>
      </c>
      <c r="Q2575" s="22">
        <v>63643</v>
      </c>
    </row>
    <row r="2576" spans="1:17" ht="100.8" x14ac:dyDescent="0.3">
      <c r="A2576" s="22" t="s">
        <v>7839</v>
      </c>
      <c r="B2576" s="22" t="s">
        <v>7845</v>
      </c>
      <c r="C2576" s="22" t="s">
        <v>7797</v>
      </c>
      <c r="D2576" s="22" t="s">
        <v>7710</v>
      </c>
      <c r="E2576" s="22" t="s">
        <v>2983</v>
      </c>
      <c r="F2576" s="24" t="s">
        <v>7477</v>
      </c>
      <c r="G2576" s="23" t="s">
        <v>32</v>
      </c>
      <c r="H2576" s="24" t="s">
        <v>64</v>
      </c>
      <c r="I2576" s="22"/>
      <c r="J2576" s="22" t="s">
        <v>1518</v>
      </c>
      <c r="K2576" s="24"/>
      <c r="L2576" s="24"/>
      <c r="M2576" s="25" t="s">
        <v>2984</v>
      </c>
      <c r="N2576" s="22"/>
      <c r="O2576" s="22" t="s">
        <v>2985</v>
      </c>
      <c r="P2576" s="22" t="str">
        <f>HYPERLINK("https://ceds.ed.gov/cedselementdetails.aspx?termid=21074")</f>
        <v>https://ceds.ed.gov/cedselementdetails.aspx?termid=21074</v>
      </c>
      <c r="Q2576" s="22">
        <v>63644</v>
      </c>
    </row>
    <row r="2577" spans="1:17" ht="72" x14ac:dyDescent="0.3">
      <c r="A2577" s="22" t="s">
        <v>7839</v>
      </c>
      <c r="B2577" s="22" t="s">
        <v>7845</v>
      </c>
      <c r="C2577" s="22" t="s">
        <v>7797</v>
      </c>
      <c r="D2577" s="22" t="s">
        <v>7710</v>
      </c>
      <c r="E2577" s="22" t="s">
        <v>5595</v>
      </c>
      <c r="F2577" s="24" t="s">
        <v>5596</v>
      </c>
      <c r="G2577" s="23" t="s">
        <v>32</v>
      </c>
      <c r="H2577" s="24" t="s">
        <v>64</v>
      </c>
      <c r="I2577" s="22"/>
      <c r="J2577" s="22" t="s">
        <v>1518</v>
      </c>
      <c r="K2577" s="24"/>
      <c r="L2577" s="24"/>
      <c r="M2577" s="25" t="s">
        <v>5597</v>
      </c>
      <c r="N2577" s="22"/>
      <c r="O2577" s="22" t="s">
        <v>5598</v>
      </c>
      <c r="P2577" s="22" t="str">
        <f>HYPERLINK("https://ceds.ed.gov/cedselementdetails.aspx?termid=21199")</f>
        <v>https://ceds.ed.gov/cedselementdetails.aspx?termid=21199</v>
      </c>
      <c r="Q2577" s="22">
        <v>63645</v>
      </c>
    </row>
    <row r="2578" spans="1:17" ht="100.8" x14ac:dyDescent="0.3">
      <c r="A2578" s="22" t="s">
        <v>7839</v>
      </c>
      <c r="B2578" s="22" t="s">
        <v>7845</v>
      </c>
      <c r="C2578" s="22" t="s">
        <v>7797</v>
      </c>
      <c r="D2578" s="22" t="s">
        <v>7710</v>
      </c>
      <c r="E2578" s="22" t="s">
        <v>5599</v>
      </c>
      <c r="F2578" s="24" t="s">
        <v>5600</v>
      </c>
      <c r="G2578" s="23" t="s">
        <v>32</v>
      </c>
      <c r="H2578" s="24" t="s">
        <v>5342</v>
      </c>
      <c r="I2578" s="22"/>
      <c r="J2578" s="22" t="s">
        <v>1518</v>
      </c>
      <c r="K2578" s="24"/>
      <c r="L2578" s="24"/>
      <c r="M2578" s="25" t="s">
        <v>5601</v>
      </c>
      <c r="N2578" s="22"/>
      <c r="O2578" s="22" t="s">
        <v>5602</v>
      </c>
      <c r="P2578" s="22" t="str">
        <f>HYPERLINK("https://ceds.ed.gov/cedselementdetails.aspx?termid=21200")</f>
        <v>https://ceds.ed.gov/cedselementdetails.aspx?termid=21200</v>
      </c>
      <c r="Q2578" s="22">
        <v>63646</v>
      </c>
    </row>
    <row r="2579" spans="1:17" ht="172.8" x14ac:dyDescent="0.3">
      <c r="A2579" s="22" t="s">
        <v>7839</v>
      </c>
      <c r="B2579" s="22" t="s">
        <v>7845</v>
      </c>
      <c r="C2579" s="22" t="s">
        <v>7799</v>
      </c>
      <c r="D2579" s="22" t="s">
        <v>7710</v>
      </c>
      <c r="E2579" s="22" t="s">
        <v>6174</v>
      </c>
      <c r="F2579" s="24" t="s">
        <v>6175</v>
      </c>
      <c r="G2579" s="23" t="s">
        <v>32</v>
      </c>
      <c r="H2579" s="22" t="s">
        <v>2608</v>
      </c>
      <c r="I2579" s="22" t="s">
        <v>172</v>
      </c>
      <c r="J2579" s="22" t="s">
        <v>132</v>
      </c>
      <c r="K2579" s="24" t="s">
        <v>8282</v>
      </c>
      <c r="L2579" s="24" t="s">
        <v>7945</v>
      </c>
      <c r="M2579" s="25" t="s">
        <v>6176</v>
      </c>
      <c r="N2579" s="22"/>
      <c r="O2579" s="22" t="s">
        <v>6177</v>
      </c>
      <c r="P2579" s="22" t="str">
        <f>HYPERLINK("https://ceds.ed.gov/cedselementdetails.aspx?termid=21618")</f>
        <v>https://ceds.ed.gov/cedselementdetails.aspx?termid=21618</v>
      </c>
      <c r="Q2579" s="22">
        <v>62008</v>
      </c>
    </row>
    <row r="2580" spans="1:17" ht="72" x14ac:dyDescent="0.3">
      <c r="A2580" s="22" t="s">
        <v>7839</v>
      </c>
      <c r="B2580" s="22" t="s">
        <v>7845</v>
      </c>
      <c r="C2580" s="22" t="s">
        <v>7799</v>
      </c>
      <c r="D2580" s="22" t="s">
        <v>7710</v>
      </c>
      <c r="E2580" s="22" t="s">
        <v>2082</v>
      </c>
      <c r="F2580" s="24" t="s">
        <v>2083</v>
      </c>
      <c r="G2580" s="23" t="s">
        <v>7422</v>
      </c>
      <c r="H2580" s="24" t="s">
        <v>42</v>
      </c>
      <c r="I2580" s="22"/>
      <c r="J2580" s="22"/>
      <c r="K2580" s="24"/>
      <c r="L2580" s="24"/>
      <c r="M2580" s="25" t="s">
        <v>2085</v>
      </c>
      <c r="N2580" s="22" t="s">
        <v>2086</v>
      </c>
      <c r="O2580" s="22" t="s">
        <v>2087</v>
      </c>
      <c r="P2580" s="22" t="str">
        <f>HYPERLINK("https://ceds.ed.gov/cedselementdetails.aspx?termid=21043")</f>
        <v>https://ceds.ed.gov/cedselementdetails.aspx?termid=21043</v>
      </c>
      <c r="Q2580" s="22">
        <v>61952</v>
      </c>
    </row>
    <row r="2581" spans="1:17" ht="28.8" x14ac:dyDescent="0.3">
      <c r="A2581" s="22" t="s">
        <v>7839</v>
      </c>
      <c r="B2581" s="22" t="s">
        <v>7845</v>
      </c>
      <c r="C2581" s="22" t="s">
        <v>7799</v>
      </c>
      <c r="D2581" s="22" t="s">
        <v>7710</v>
      </c>
      <c r="E2581" s="22" t="s">
        <v>53</v>
      </c>
      <c r="F2581" s="24" t="s">
        <v>54</v>
      </c>
      <c r="G2581" s="23" t="s">
        <v>32</v>
      </c>
      <c r="H2581" s="22" t="s">
        <v>58</v>
      </c>
      <c r="I2581" s="22"/>
      <c r="J2581" s="22" t="s">
        <v>55</v>
      </c>
      <c r="K2581" s="24"/>
      <c r="L2581" s="24"/>
      <c r="M2581" s="25" t="s">
        <v>56</v>
      </c>
      <c r="N2581" s="22"/>
      <c r="O2581" s="22" t="s">
        <v>57</v>
      </c>
      <c r="P2581" s="22" t="str">
        <f>HYPERLINK("https://ceds.ed.gov/cedselementdetails.aspx?termid=21003")</f>
        <v>https://ceds.ed.gov/cedselementdetails.aspx?termid=21003</v>
      </c>
      <c r="Q2581" s="22">
        <v>61941</v>
      </c>
    </row>
    <row r="2582" spans="1:17" ht="409.6" x14ac:dyDescent="0.3">
      <c r="A2582" s="22" t="s">
        <v>7839</v>
      </c>
      <c r="B2582" s="22" t="s">
        <v>7845</v>
      </c>
      <c r="C2582" s="22" t="s">
        <v>7799</v>
      </c>
      <c r="D2582" s="22" t="s">
        <v>7710</v>
      </c>
      <c r="E2582" s="22" t="s">
        <v>5870</v>
      </c>
      <c r="F2582" s="24" t="s">
        <v>39</v>
      </c>
      <c r="G2582" s="26" t="s">
        <v>9066</v>
      </c>
      <c r="H2582" s="22"/>
      <c r="I2582" s="22"/>
      <c r="J2582" s="22"/>
      <c r="K2582" s="24"/>
      <c r="L2582" s="24"/>
      <c r="M2582" s="25" t="s">
        <v>5871</v>
      </c>
      <c r="N2582" s="22"/>
      <c r="O2582" s="22" t="s">
        <v>5872</v>
      </c>
      <c r="P2582" s="22" t="str">
        <f>HYPERLINK("https://ceds.ed.gov/cedselementdetails.aspx?termid=22649")</f>
        <v>https://ceds.ed.gov/cedselementdetails.aspx?termid=22649</v>
      </c>
      <c r="Q2582" s="22">
        <v>62988</v>
      </c>
    </row>
    <row r="2583" spans="1:17" ht="57.6" x14ac:dyDescent="0.3">
      <c r="A2583" s="22" t="s">
        <v>7839</v>
      </c>
      <c r="B2583" s="22" t="s">
        <v>7845</v>
      </c>
      <c r="C2583" s="22" t="s">
        <v>7799</v>
      </c>
      <c r="D2583" s="22" t="s">
        <v>7710</v>
      </c>
      <c r="E2583" s="22" t="s">
        <v>30</v>
      </c>
      <c r="F2583" s="24" t="s">
        <v>31</v>
      </c>
      <c r="G2583" s="23" t="s">
        <v>32</v>
      </c>
      <c r="H2583" s="24" t="s">
        <v>37</v>
      </c>
      <c r="I2583" s="22"/>
      <c r="J2583" s="22" t="s">
        <v>34</v>
      </c>
      <c r="K2583" s="24"/>
      <c r="L2583" s="24"/>
      <c r="M2583" s="25" t="s">
        <v>35</v>
      </c>
      <c r="N2583" s="22"/>
      <c r="O2583" s="22" t="s">
        <v>36</v>
      </c>
      <c r="P2583" s="22" t="str">
        <f>HYPERLINK("https://ceds.ed.gov/cedselementdetails.aspx?termid=21001")</f>
        <v>https://ceds.ed.gov/cedselementdetails.aspx?termid=21001</v>
      </c>
      <c r="Q2583" s="22">
        <v>58725</v>
      </c>
    </row>
    <row r="2584" spans="1:17" ht="115.2" x14ac:dyDescent="0.3">
      <c r="A2584" s="22" t="s">
        <v>7839</v>
      </c>
      <c r="B2584" s="22" t="s">
        <v>7845</v>
      </c>
      <c r="C2584" s="22" t="s">
        <v>7799</v>
      </c>
      <c r="D2584" s="22" t="s">
        <v>7710</v>
      </c>
      <c r="E2584" s="22" t="s">
        <v>3142</v>
      </c>
      <c r="F2584" s="24" t="s">
        <v>3143</v>
      </c>
      <c r="G2584" s="23" t="s">
        <v>32</v>
      </c>
      <c r="H2584" s="24" t="s">
        <v>3148</v>
      </c>
      <c r="I2584" s="22"/>
      <c r="J2584" s="22" t="s">
        <v>3145</v>
      </c>
      <c r="K2584" s="24"/>
      <c r="L2584" s="24"/>
      <c r="M2584" s="25" t="s">
        <v>3146</v>
      </c>
      <c r="N2584" s="22"/>
      <c r="O2584" s="22" t="s">
        <v>3147</v>
      </c>
      <c r="P2584" s="22" t="str">
        <f>HYPERLINK("https://ceds.ed.gov/cedselementdetails.aspx?termid=21081")</f>
        <v>https://ceds.ed.gov/cedselementdetails.aspx?termid=21081</v>
      </c>
      <c r="Q2584" s="22">
        <v>61963</v>
      </c>
    </row>
    <row r="2585" spans="1:17" ht="72" x14ac:dyDescent="0.3">
      <c r="A2585" s="22" t="s">
        <v>7839</v>
      </c>
      <c r="B2585" s="22" t="s">
        <v>7845</v>
      </c>
      <c r="C2585" s="22" t="s">
        <v>7799</v>
      </c>
      <c r="D2585" s="22" t="s">
        <v>7710</v>
      </c>
      <c r="E2585" s="22" t="s">
        <v>5909</v>
      </c>
      <c r="F2585" s="24" t="s">
        <v>5910</v>
      </c>
      <c r="G2585" s="26" t="s">
        <v>9070</v>
      </c>
      <c r="H2585" s="24" t="s">
        <v>5913</v>
      </c>
      <c r="I2585" s="22"/>
      <c r="J2585" s="22"/>
      <c r="K2585" s="24"/>
      <c r="L2585" s="24"/>
      <c r="M2585" s="25" t="s">
        <v>5911</v>
      </c>
      <c r="N2585" s="22"/>
      <c r="O2585" s="22" t="s">
        <v>5912</v>
      </c>
      <c r="P2585" s="22" t="str">
        <f>HYPERLINK("https://ceds.ed.gov/cedselementdetails.aspx?termid=22595")</f>
        <v>https://ceds.ed.gov/cedselementdetails.aspx?termid=22595</v>
      </c>
      <c r="Q2585" s="22">
        <v>62093</v>
      </c>
    </row>
    <row r="2586" spans="1:17" ht="216" x14ac:dyDescent="0.3">
      <c r="A2586" s="22" t="s">
        <v>7839</v>
      </c>
      <c r="B2586" s="22" t="s">
        <v>7845</v>
      </c>
      <c r="C2586" s="22" t="s">
        <v>7799</v>
      </c>
      <c r="D2586" s="22" t="s">
        <v>7710</v>
      </c>
      <c r="E2586" s="22" t="s">
        <v>38</v>
      </c>
      <c r="F2586" s="24" t="s">
        <v>7941</v>
      </c>
      <c r="G2586" s="26" t="s">
        <v>8562</v>
      </c>
      <c r="H2586" s="24" t="s">
        <v>42</v>
      </c>
      <c r="I2586" s="22"/>
      <c r="J2586" s="22"/>
      <c r="K2586" s="24"/>
      <c r="L2586" s="24"/>
      <c r="M2586" s="25" t="s">
        <v>40</v>
      </c>
      <c r="N2586" s="22"/>
      <c r="O2586" s="22" t="s">
        <v>41</v>
      </c>
      <c r="P2586" s="22" t="str">
        <f>HYPERLINK("https://ceds.ed.gov/cedselementdetails.aspx?termid=21002")</f>
        <v>https://ceds.ed.gov/cedselementdetails.aspx?termid=21002</v>
      </c>
      <c r="Q2586" s="22">
        <v>61939</v>
      </c>
    </row>
    <row r="2587" spans="1:17" ht="86.4" x14ac:dyDescent="0.3">
      <c r="A2587" s="22" t="s">
        <v>7839</v>
      </c>
      <c r="B2587" s="22" t="s">
        <v>7845</v>
      </c>
      <c r="C2587" s="22" t="s">
        <v>7799</v>
      </c>
      <c r="D2587" s="22" t="s">
        <v>7710</v>
      </c>
      <c r="E2587" s="22" t="s">
        <v>43</v>
      </c>
      <c r="F2587" s="24" t="s">
        <v>44</v>
      </c>
      <c r="G2587" s="26" t="s">
        <v>8563</v>
      </c>
      <c r="H2587" s="22"/>
      <c r="I2587" s="22"/>
      <c r="J2587" s="22"/>
      <c r="K2587" s="24"/>
      <c r="L2587" s="24"/>
      <c r="M2587" s="25" t="s">
        <v>46</v>
      </c>
      <c r="N2587" s="22"/>
      <c r="O2587" s="22" t="s">
        <v>47</v>
      </c>
      <c r="P2587" s="22" t="str">
        <f>HYPERLINK("https://ceds.ed.gov/cedselementdetails.aspx?termid=22647")</f>
        <v>https://ceds.ed.gov/cedselementdetails.aspx?termid=22647</v>
      </c>
      <c r="Q2587" s="22">
        <v>62865</v>
      </c>
    </row>
    <row r="2588" spans="1:17" ht="28.8" x14ac:dyDescent="0.3">
      <c r="A2588" s="22" t="s">
        <v>7839</v>
      </c>
      <c r="B2588" s="22" t="s">
        <v>7845</v>
      </c>
      <c r="C2588" s="22" t="s">
        <v>7799</v>
      </c>
      <c r="D2588" s="22" t="s">
        <v>7710</v>
      </c>
      <c r="E2588" s="22" t="s">
        <v>48</v>
      </c>
      <c r="F2588" s="24" t="s">
        <v>49</v>
      </c>
      <c r="G2588" s="23" t="s">
        <v>32</v>
      </c>
      <c r="H2588" s="22"/>
      <c r="I2588" s="22"/>
      <c r="J2588" s="22" t="s">
        <v>50</v>
      </c>
      <c r="K2588" s="24"/>
      <c r="L2588" s="24"/>
      <c r="M2588" s="25" t="s">
        <v>51</v>
      </c>
      <c r="N2588" s="22"/>
      <c r="O2588" s="22" t="s">
        <v>52</v>
      </c>
      <c r="P2588" s="22" t="str">
        <f>HYPERLINK("https://ceds.ed.gov/cedselementdetails.aspx?termid=22646")</f>
        <v>https://ceds.ed.gov/cedselementdetails.aspx?termid=22646</v>
      </c>
      <c r="Q2588" s="22">
        <v>62867</v>
      </c>
    </row>
    <row r="2589" spans="1:17" ht="72" x14ac:dyDescent="0.3">
      <c r="A2589" s="22" t="s">
        <v>7839</v>
      </c>
      <c r="B2589" s="22" t="s">
        <v>7845</v>
      </c>
      <c r="C2589" s="22" t="s">
        <v>7799</v>
      </c>
      <c r="D2589" s="22" t="s">
        <v>7710</v>
      </c>
      <c r="E2589" s="22" t="s">
        <v>2088</v>
      </c>
      <c r="F2589" s="24" t="s">
        <v>2089</v>
      </c>
      <c r="G2589" s="26" t="s">
        <v>8727</v>
      </c>
      <c r="H2589" s="24" t="s">
        <v>198</v>
      </c>
      <c r="I2589" s="22"/>
      <c r="J2589" s="22"/>
      <c r="K2589" s="24"/>
      <c r="L2589" s="24"/>
      <c r="M2589" s="25" t="s">
        <v>2091</v>
      </c>
      <c r="N2589" s="22" t="s">
        <v>2092</v>
      </c>
      <c r="O2589" s="22" t="s">
        <v>2093</v>
      </c>
      <c r="P2589" s="22" t="str">
        <f>HYPERLINK("https://ceds.ed.gov/cedselementdetails.aspx?termid=21044")</f>
        <v>https://ceds.ed.gov/cedselementdetails.aspx?termid=21044</v>
      </c>
      <c r="Q2589" s="22">
        <v>61957</v>
      </c>
    </row>
    <row r="2590" spans="1:17" ht="86.4" x14ac:dyDescent="0.3">
      <c r="A2590" s="22" t="s">
        <v>7839</v>
      </c>
      <c r="B2590" s="22" t="s">
        <v>7845</v>
      </c>
      <c r="C2590" s="22" t="s">
        <v>7799</v>
      </c>
      <c r="D2590" s="22" t="s">
        <v>7710</v>
      </c>
      <c r="E2590" s="22" t="s">
        <v>2094</v>
      </c>
      <c r="F2590" s="24" t="s">
        <v>2095</v>
      </c>
      <c r="G2590" s="26" t="s">
        <v>8728</v>
      </c>
      <c r="H2590" s="24" t="s">
        <v>198</v>
      </c>
      <c r="I2590" s="22"/>
      <c r="J2590" s="22"/>
      <c r="K2590" s="24"/>
      <c r="L2590" s="24"/>
      <c r="M2590" s="25" t="s">
        <v>2097</v>
      </c>
      <c r="N2590" s="22" t="s">
        <v>2098</v>
      </c>
      <c r="O2590" s="22" t="s">
        <v>2099</v>
      </c>
      <c r="P2590" s="22" t="str">
        <f>HYPERLINK("https://ceds.ed.gov/cedselementdetails.aspx?termid=21045")</f>
        <v>https://ceds.ed.gov/cedselementdetails.aspx?termid=21045</v>
      </c>
      <c r="Q2590" s="22">
        <v>61960</v>
      </c>
    </row>
    <row r="2591" spans="1:17" ht="172.8" x14ac:dyDescent="0.3">
      <c r="A2591" s="22" t="s">
        <v>7839</v>
      </c>
      <c r="B2591" s="22" t="s">
        <v>7845</v>
      </c>
      <c r="C2591" s="22" t="s">
        <v>7799</v>
      </c>
      <c r="D2591" s="22" t="s">
        <v>7710</v>
      </c>
      <c r="E2591" s="22" t="s">
        <v>2965</v>
      </c>
      <c r="F2591" s="24" t="s">
        <v>2966</v>
      </c>
      <c r="G2591" s="26" t="s">
        <v>8776</v>
      </c>
      <c r="H2591" s="22"/>
      <c r="I2591" s="22"/>
      <c r="J2591" s="22"/>
      <c r="K2591" s="24"/>
      <c r="L2591" s="24"/>
      <c r="M2591" s="25" t="s">
        <v>2968</v>
      </c>
      <c r="N2591" s="22"/>
      <c r="O2591" s="22" t="s">
        <v>2969</v>
      </c>
      <c r="P2591" s="22" t="str">
        <f>HYPERLINK("https://ceds.ed.gov/cedselementdetails.aspx?termid=22283")</f>
        <v>https://ceds.ed.gov/cedselementdetails.aspx?termid=22283</v>
      </c>
      <c r="Q2591" s="22">
        <v>61121</v>
      </c>
    </row>
    <row r="2592" spans="1:17" ht="129.6" x14ac:dyDescent="0.3">
      <c r="A2592" s="22" t="s">
        <v>7839</v>
      </c>
      <c r="B2592" s="22" t="s">
        <v>7845</v>
      </c>
      <c r="C2592" s="22" t="s">
        <v>7799</v>
      </c>
      <c r="D2592" s="22" t="s">
        <v>7710</v>
      </c>
      <c r="E2592" s="22" t="s">
        <v>3249</v>
      </c>
      <c r="F2592" s="24" t="s">
        <v>3250</v>
      </c>
      <c r="G2592" s="26" t="s">
        <v>8809</v>
      </c>
      <c r="H2592" s="22"/>
      <c r="I2592" s="22"/>
      <c r="J2592" s="22"/>
      <c r="K2592" s="24"/>
      <c r="L2592" s="24" t="s">
        <v>8081</v>
      </c>
      <c r="M2592" s="25" t="s">
        <v>3252</v>
      </c>
      <c r="N2592" s="22"/>
      <c r="O2592" s="22" t="s">
        <v>3253</v>
      </c>
      <c r="P2592" s="22" t="str">
        <f>HYPERLINK("https://ceds.ed.gov/cedselementdetails.aspx?termid=22622")</f>
        <v>https://ceds.ed.gov/cedselementdetails.aspx?termid=22622</v>
      </c>
      <c r="Q2592" s="22">
        <v>62313</v>
      </c>
    </row>
    <row r="2593" spans="1:17" ht="115.2" x14ac:dyDescent="0.3">
      <c r="A2593" s="22" t="s">
        <v>7839</v>
      </c>
      <c r="B2593" s="22" t="s">
        <v>7845</v>
      </c>
      <c r="C2593" s="22" t="s">
        <v>7799</v>
      </c>
      <c r="D2593" s="22" t="s">
        <v>7710</v>
      </c>
      <c r="E2593" s="22" t="s">
        <v>6134</v>
      </c>
      <c r="F2593" s="24" t="s">
        <v>6135</v>
      </c>
      <c r="G2593" s="26" t="s">
        <v>9103</v>
      </c>
      <c r="H2593" s="22"/>
      <c r="I2593" s="22"/>
      <c r="J2593" s="22"/>
      <c r="K2593" s="24"/>
      <c r="L2593" s="24"/>
      <c r="M2593" s="25" t="s">
        <v>6137</v>
      </c>
      <c r="N2593" s="22"/>
      <c r="O2593" s="22" t="s">
        <v>6138</v>
      </c>
      <c r="P2593" s="22" t="str">
        <f>HYPERLINK("https://ceds.ed.gov/cedselementdetails.aspx?termid=21780")</f>
        <v>https://ceds.ed.gov/cedselementdetails.aspx?termid=21780</v>
      </c>
      <c r="Q2593" s="22">
        <v>62016</v>
      </c>
    </row>
    <row r="2594" spans="1:17" ht="172.8" x14ac:dyDescent="0.3">
      <c r="A2594" s="22" t="s">
        <v>7839</v>
      </c>
      <c r="B2594" s="22" t="s">
        <v>7845</v>
      </c>
      <c r="C2594" s="22" t="s">
        <v>7855</v>
      </c>
      <c r="D2594" s="22" t="s">
        <v>7710</v>
      </c>
      <c r="E2594" s="22" t="s">
        <v>5835</v>
      </c>
      <c r="F2594" s="24" t="s">
        <v>5836</v>
      </c>
      <c r="G2594" s="23" t="s">
        <v>32</v>
      </c>
      <c r="H2594" s="22"/>
      <c r="I2594" s="22" t="s">
        <v>172</v>
      </c>
      <c r="J2594" s="22" t="s">
        <v>132</v>
      </c>
      <c r="K2594" s="24" t="s">
        <v>7946</v>
      </c>
      <c r="L2594" s="24" t="s">
        <v>8043</v>
      </c>
      <c r="M2594" s="25" t="s">
        <v>5837</v>
      </c>
      <c r="N2594" s="22"/>
      <c r="O2594" s="22" t="s">
        <v>5838</v>
      </c>
      <c r="P2594" s="22" t="str">
        <f>HYPERLINK("https://ceds.ed.gov/cedselementdetails.aspx?termid=22551")</f>
        <v>https://ceds.ed.gov/cedselementdetails.aspx?termid=22551</v>
      </c>
      <c r="Q2594" s="22">
        <v>62849</v>
      </c>
    </row>
    <row r="2595" spans="1:17" ht="259.2" x14ac:dyDescent="0.3">
      <c r="A2595" s="22" t="s">
        <v>7839</v>
      </c>
      <c r="B2595" s="22" t="s">
        <v>7845</v>
      </c>
      <c r="C2595" s="22" t="s">
        <v>7855</v>
      </c>
      <c r="D2595" s="22" t="s">
        <v>7710</v>
      </c>
      <c r="E2595" s="22" t="s">
        <v>5831</v>
      </c>
      <c r="F2595" s="24" t="s">
        <v>5832</v>
      </c>
      <c r="G2595" s="26" t="s">
        <v>8494</v>
      </c>
      <c r="H2595" s="22"/>
      <c r="I2595" s="22" t="s">
        <v>172</v>
      </c>
      <c r="J2595" s="22"/>
      <c r="K2595" s="24" t="s">
        <v>7946</v>
      </c>
      <c r="L2595" s="24"/>
      <c r="M2595" s="25" t="s">
        <v>5833</v>
      </c>
      <c r="N2595" s="22"/>
      <c r="O2595" s="22" t="s">
        <v>5834</v>
      </c>
      <c r="P2595" s="22" t="str">
        <f>HYPERLINK("https://ceds.ed.gov/cedselementdetails.aspx?termid=22550")</f>
        <v>https://ceds.ed.gov/cedselementdetails.aspx?termid=22550</v>
      </c>
      <c r="Q2595" s="22">
        <v>62840</v>
      </c>
    </row>
    <row r="2596" spans="1:17" ht="172.8" x14ac:dyDescent="0.3">
      <c r="A2596" s="22" t="s">
        <v>7839</v>
      </c>
      <c r="B2596" s="22" t="s">
        <v>7845</v>
      </c>
      <c r="C2596" s="22" t="s">
        <v>7856</v>
      </c>
      <c r="D2596" s="22" t="s">
        <v>7710</v>
      </c>
      <c r="E2596" s="22" t="s">
        <v>5835</v>
      </c>
      <c r="F2596" s="24" t="s">
        <v>5836</v>
      </c>
      <c r="G2596" s="23" t="s">
        <v>32</v>
      </c>
      <c r="H2596" s="22"/>
      <c r="I2596" s="22" t="s">
        <v>172</v>
      </c>
      <c r="J2596" s="22" t="s">
        <v>132</v>
      </c>
      <c r="K2596" s="24" t="s">
        <v>7946</v>
      </c>
      <c r="L2596" s="24" t="s">
        <v>8043</v>
      </c>
      <c r="M2596" s="25" t="s">
        <v>5837</v>
      </c>
      <c r="N2596" s="22"/>
      <c r="O2596" s="22" t="s">
        <v>5838</v>
      </c>
      <c r="P2596" s="22" t="str">
        <f>HYPERLINK("https://ceds.ed.gov/cedselementdetails.aspx?termid=22551")</f>
        <v>https://ceds.ed.gov/cedselementdetails.aspx?termid=22551</v>
      </c>
      <c r="Q2596" s="22">
        <v>62850</v>
      </c>
    </row>
    <row r="2597" spans="1:17" ht="259.2" x14ac:dyDescent="0.3">
      <c r="A2597" s="22" t="s">
        <v>7839</v>
      </c>
      <c r="B2597" s="22" t="s">
        <v>7845</v>
      </c>
      <c r="C2597" s="22" t="s">
        <v>7856</v>
      </c>
      <c r="D2597" s="22" t="s">
        <v>7710</v>
      </c>
      <c r="E2597" s="22" t="s">
        <v>5831</v>
      </c>
      <c r="F2597" s="24" t="s">
        <v>5832</v>
      </c>
      <c r="G2597" s="26" t="s">
        <v>8494</v>
      </c>
      <c r="H2597" s="22"/>
      <c r="I2597" s="22" t="s">
        <v>172</v>
      </c>
      <c r="J2597" s="22"/>
      <c r="K2597" s="24" t="s">
        <v>7946</v>
      </c>
      <c r="L2597" s="24"/>
      <c r="M2597" s="25" t="s">
        <v>5833</v>
      </c>
      <c r="N2597" s="22"/>
      <c r="O2597" s="22" t="s">
        <v>5834</v>
      </c>
      <c r="P2597" s="22" t="str">
        <f>HYPERLINK("https://ceds.ed.gov/cedselementdetails.aspx?termid=22550")</f>
        <v>https://ceds.ed.gov/cedselementdetails.aspx?termid=22550</v>
      </c>
      <c r="Q2597" s="22">
        <v>62841</v>
      </c>
    </row>
    <row r="2598" spans="1:17" ht="172.8" x14ac:dyDescent="0.3">
      <c r="A2598" s="22" t="s">
        <v>7839</v>
      </c>
      <c r="B2598" s="22" t="s">
        <v>7845</v>
      </c>
      <c r="C2598" s="22" t="s">
        <v>7798</v>
      </c>
      <c r="D2598" s="22" t="s">
        <v>7710</v>
      </c>
      <c r="E2598" s="22" t="s">
        <v>130</v>
      </c>
      <c r="F2598" s="24" t="s">
        <v>131</v>
      </c>
      <c r="G2598" s="23" t="s">
        <v>32</v>
      </c>
      <c r="H2598" s="24" t="s">
        <v>64</v>
      </c>
      <c r="I2598" s="22"/>
      <c r="J2598" s="22" t="s">
        <v>132</v>
      </c>
      <c r="K2598" s="24"/>
      <c r="L2598" s="24" t="s">
        <v>7945</v>
      </c>
      <c r="M2598" s="25" t="s">
        <v>134</v>
      </c>
      <c r="N2598" s="22"/>
      <c r="O2598" s="22" t="s">
        <v>135</v>
      </c>
      <c r="P2598" s="22" t="str">
        <f>HYPERLINK("https://ceds.ed.gov/cedselementdetails.aspx?termid=21006")</f>
        <v>https://ceds.ed.gov/cedselementdetails.aspx?termid=21006</v>
      </c>
      <c r="Q2598" s="22">
        <v>62455</v>
      </c>
    </row>
    <row r="2599" spans="1:17" ht="72" x14ac:dyDescent="0.3">
      <c r="A2599" s="22" t="s">
        <v>7839</v>
      </c>
      <c r="B2599" s="22" t="s">
        <v>7845</v>
      </c>
      <c r="C2599" s="22" t="s">
        <v>7798</v>
      </c>
      <c r="D2599" s="22" t="s">
        <v>7710</v>
      </c>
      <c r="E2599" s="22" t="s">
        <v>155</v>
      </c>
      <c r="F2599" s="24" t="s">
        <v>156</v>
      </c>
      <c r="G2599" s="23" t="s">
        <v>32</v>
      </c>
      <c r="H2599" s="24" t="s">
        <v>64</v>
      </c>
      <c r="I2599" s="22"/>
      <c r="J2599" s="22" t="s">
        <v>157</v>
      </c>
      <c r="K2599" s="24"/>
      <c r="L2599" s="24"/>
      <c r="M2599" s="25" t="s">
        <v>158</v>
      </c>
      <c r="N2599" s="22"/>
      <c r="O2599" s="22" t="s">
        <v>159</v>
      </c>
      <c r="P2599" s="22" t="str">
        <f>HYPERLINK("https://ceds.ed.gov/cedselementdetails.aspx?termid=21009")</f>
        <v>https://ceds.ed.gov/cedselementdetails.aspx?termid=21009</v>
      </c>
      <c r="Q2599" s="22">
        <v>62457</v>
      </c>
    </row>
    <row r="2600" spans="1:17" ht="72" x14ac:dyDescent="0.3">
      <c r="A2600" s="22" t="s">
        <v>7839</v>
      </c>
      <c r="B2600" s="22" t="s">
        <v>7845</v>
      </c>
      <c r="C2600" s="22" t="s">
        <v>7798</v>
      </c>
      <c r="D2600" s="22" t="s">
        <v>7710</v>
      </c>
      <c r="E2600" s="22" t="s">
        <v>125</v>
      </c>
      <c r="F2600" s="24" t="s">
        <v>126</v>
      </c>
      <c r="G2600" s="23" t="s">
        <v>32</v>
      </c>
      <c r="H2600" s="22"/>
      <c r="I2600" s="22"/>
      <c r="J2600" s="22" t="s">
        <v>113</v>
      </c>
      <c r="K2600" s="24"/>
      <c r="L2600" s="24"/>
      <c r="M2600" s="25" t="s">
        <v>128</v>
      </c>
      <c r="N2600" s="22"/>
      <c r="O2600" s="22" t="s">
        <v>129</v>
      </c>
      <c r="P2600" s="22" t="str">
        <f>HYPERLINK("https://ceds.ed.gov/cedselementdetails.aspx?termid=22505")</f>
        <v>https://ceds.ed.gov/cedselementdetails.aspx?termid=22505</v>
      </c>
      <c r="Q2600" s="22">
        <v>62458</v>
      </c>
    </row>
    <row r="2601" spans="1:17" ht="72" x14ac:dyDescent="0.3">
      <c r="A2601" s="22" t="s">
        <v>7839</v>
      </c>
      <c r="B2601" s="22" t="s">
        <v>7845</v>
      </c>
      <c r="C2601" s="22" t="s">
        <v>7798</v>
      </c>
      <c r="D2601" s="22" t="s">
        <v>7710</v>
      </c>
      <c r="E2601" s="22" t="s">
        <v>137</v>
      </c>
      <c r="F2601" s="24" t="s">
        <v>138</v>
      </c>
      <c r="G2601" s="23" t="s">
        <v>32</v>
      </c>
      <c r="H2601" s="24" t="s">
        <v>64</v>
      </c>
      <c r="I2601" s="22"/>
      <c r="J2601" s="22" t="s">
        <v>118</v>
      </c>
      <c r="K2601" s="24"/>
      <c r="L2601" s="24"/>
      <c r="M2601" s="25" t="s">
        <v>139</v>
      </c>
      <c r="N2601" s="22"/>
      <c r="O2601" s="22" t="s">
        <v>140</v>
      </c>
      <c r="P2601" s="22" t="str">
        <f>HYPERLINK("https://ceds.ed.gov/cedselementdetails.aspx?termid=21007")</f>
        <v>https://ceds.ed.gov/cedselementdetails.aspx?termid=21007</v>
      </c>
      <c r="Q2601" s="22">
        <v>62456</v>
      </c>
    </row>
    <row r="2602" spans="1:17" ht="72" x14ac:dyDescent="0.3">
      <c r="A2602" s="22" t="s">
        <v>7839</v>
      </c>
      <c r="B2602" s="22" t="s">
        <v>7845</v>
      </c>
      <c r="C2602" s="22" t="s">
        <v>7798</v>
      </c>
      <c r="D2602" s="22" t="s">
        <v>7710</v>
      </c>
      <c r="E2602" s="22" t="s">
        <v>141</v>
      </c>
      <c r="F2602" s="24" t="s">
        <v>142</v>
      </c>
      <c r="G2602" s="23" t="s">
        <v>32</v>
      </c>
      <c r="H2602" s="24" t="s">
        <v>64</v>
      </c>
      <c r="I2602" s="22"/>
      <c r="J2602" s="22" t="s">
        <v>118</v>
      </c>
      <c r="K2602" s="24"/>
      <c r="L2602" s="24" t="s">
        <v>143</v>
      </c>
      <c r="M2602" s="25" t="s">
        <v>144</v>
      </c>
      <c r="N2602" s="22"/>
      <c r="O2602" s="22" t="s">
        <v>145</v>
      </c>
      <c r="P2602" s="22" t="str">
        <f>HYPERLINK("https://ceds.ed.gov/cedselementdetails.aspx?termid=21008")</f>
        <v>https://ceds.ed.gov/cedselementdetails.aspx?termid=21008</v>
      </c>
      <c r="Q2602" s="22">
        <v>62459</v>
      </c>
    </row>
    <row r="2603" spans="1:17" ht="72" x14ac:dyDescent="0.3">
      <c r="A2603" s="22" t="s">
        <v>7839</v>
      </c>
      <c r="B2603" s="22" t="s">
        <v>7845</v>
      </c>
      <c r="C2603" s="22" t="s">
        <v>7798</v>
      </c>
      <c r="D2603" s="22" t="s">
        <v>7710</v>
      </c>
      <c r="E2603" s="22" t="s">
        <v>146</v>
      </c>
      <c r="F2603" s="24" t="s">
        <v>147</v>
      </c>
      <c r="G2603" s="23" t="s">
        <v>32</v>
      </c>
      <c r="H2603" s="22"/>
      <c r="I2603" s="22"/>
      <c r="J2603" s="22" t="s">
        <v>148</v>
      </c>
      <c r="K2603" s="24"/>
      <c r="L2603" s="24"/>
      <c r="M2603" s="25" t="s">
        <v>149</v>
      </c>
      <c r="N2603" s="22"/>
      <c r="O2603" s="22" t="s">
        <v>150</v>
      </c>
      <c r="P2603" s="22" t="str">
        <f>HYPERLINK("https://ceds.ed.gov/cedselementdetails.aspx?termid=22502")</f>
        <v>https://ceds.ed.gov/cedselementdetails.aspx?termid=22502</v>
      </c>
      <c r="Q2603" s="22">
        <v>62460</v>
      </c>
    </row>
    <row r="2604" spans="1:17" ht="86.4" x14ac:dyDescent="0.3">
      <c r="A2604" s="22" t="s">
        <v>7839</v>
      </c>
      <c r="B2604" s="22" t="s">
        <v>7845</v>
      </c>
      <c r="C2604" s="22" t="s">
        <v>7798</v>
      </c>
      <c r="D2604" s="22" t="s">
        <v>7710</v>
      </c>
      <c r="E2604" s="22" t="s">
        <v>151</v>
      </c>
      <c r="F2604" s="24" t="s">
        <v>152</v>
      </c>
      <c r="G2604" s="26" t="s">
        <v>8572</v>
      </c>
      <c r="H2604" s="22"/>
      <c r="I2604" s="22"/>
      <c r="J2604" s="22"/>
      <c r="K2604" s="24"/>
      <c r="L2604" s="24"/>
      <c r="M2604" s="25" t="s">
        <v>153</v>
      </c>
      <c r="N2604" s="22"/>
      <c r="O2604" s="22" t="s">
        <v>154</v>
      </c>
      <c r="P2604" s="22" t="str">
        <f>HYPERLINK("https://ceds.ed.gov/cedselementdetails.aspx?termid=22503")</f>
        <v>https://ceds.ed.gov/cedselementdetails.aspx?termid=22503</v>
      </c>
      <c r="Q2604" s="22">
        <v>62461</v>
      </c>
    </row>
    <row r="2605" spans="1:17" ht="43.2" x14ac:dyDescent="0.3">
      <c r="A2605" s="22" t="s">
        <v>7839</v>
      </c>
      <c r="B2605" s="22" t="s">
        <v>7845</v>
      </c>
      <c r="C2605" s="22" t="s">
        <v>7857</v>
      </c>
      <c r="D2605" s="22" t="s">
        <v>7710</v>
      </c>
      <c r="E2605" s="22" t="s">
        <v>1946</v>
      </c>
      <c r="F2605" s="24" t="s">
        <v>1947</v>
      </c>
      <c r="G2605" s="23" t="s">
        <v>32</v>
      </c>
      <c r="H2605" s="22"/>
      <c r="I2605" s="22"/>
      <c r="J2605" s="22" t="s">
        <v>118</v>
      </c>
      <c r="K2605" s="24"/>
      <c r="L2605" s="24"/>
      <c r="M2605" s="25" t="s">
        <v>1948</v>
      </c>
      <c r="N2605" s="22"/>
      <c r="O2605" s="22" t="s">
        <v>1949</v>
      </c>
      <c r="P2605" s="22" t="str">
        <f>HYPERLINK("https://ceds.ed.gov/cedselementdetails.aspx?termid=22563")</f>
        <v>https://ceds.ed.gov/cedselementdetails.aspx?termid=22563</v>
      </c>
      <c r="Q2605" s="22">
        <v>62048</v>
      </c>
    </row>
    <row r="2606" spans="1:17" ht="57.6" x14ac:dyDescent="0.3">
      <c r="A2606" s="22" t="s">
        <v>7839</v>
      </c>
      <c r="B2606" s="22" t="s">
        <v>7845</v>
      </c>
      <c r="C2606" s="22" t="s">
        <v>7857</v>
      </c>
      <c r="D2606" s="22" t="s">
        <v>7710</v>
      </c>
      <c r="E2606" s="22" t="s">
        <v>1937</v>
      </c>
      <c r="F2606" s="24" t="s">
        <v>1938</v>
      </c>
      <c r="G2606" s="23" t="s">
        <v>32</v>
      </c>
      <c r="H2606" s="22"/>
      <c r="I2606" s="22"/>
      <c r="J2606" s="22" t="s">
        <v>118</v>
      </c>
      <c r="K2606" s="24"/>
      <c r="L2606" s="24" t="s">
        <v>143</v>
      </c>
      <c r="M2606" s="25" t="s">
        <v>1940</v>
      </c>
      <c r="N2606" s="22"/>
      <c r="O2606" s="22" t="s">
        <v>1941</v>
      </c>
      <c r="P2606" s="22" t="str">
        <f>HYPERLINK("https://ceds.ed.gov/cedselementdetails.aspx?termid=22562")</f>
        <v>https://ceds.ed.gov/cedselementdetails.aspx?termid=22562</v>
      </c>
      <c r="Q2606" s="22">
        <v>62041</v>
      </c>
    </row>
    <row r="2607" spans="1:17" ht="72" x14ac:dyDescent="0.3">
      <c r="A2607" s="22" t="s">
        <v>7839</v>
      </c>
      <c r="B2607" s="22" t="s">
        <v>7845</v>
      </c>
      <c r="C2607" s="22" t="s">
        <v>7857</v>
      </c>
      <c r="D2607" s="22" t="s">
        <v>7710</v>
      </c>
      <c r="E2607" s="22" t="s">
        <v>1942</v>
      </c>
      <c r="F2607" s="24" t="s">
        <v>1943</v>
      </c>
      <c r="G2607" s="26" t="s">
        <v>22</v>
      </c>
      <c r="H2607" s="22"/>
      <c r="I2607" s="22"/>
      <c r="J2607" s="22"/>
      <c r="K2607" s="24"/>
      <c r="L2607" s="24"/>
      <c r="M2607" s="25" t="s">
        <v>1944</v>
      </c>
      <c r="N2607" s="22"/>
      <c r="O2607" s="22" t="s">
        <v>1945</v>
      </c>
      <c r="P2607" s="22" t="str">
        <f>HYPERLINK("https://ceds.ed.gov/cedselementdetails.aspx?termid=22257")</f>
        <v>https://ceds.ed.gov/cedselementdetails.aspx?termid=22257</v>
      </c>
      <c r="Q2607" s="22">
        <v>62030</v>
      </c>
    </row>
    <row r="2608" spans="1:17" ht="86.4" x14ac:dyDescent="0.3">
      <c r="A2608" s="22" t="s">
        <v>7839</v>
      </c>
      <c r="B2608" s="22" t="s">
        <v>7845</v>
      </c>
      <c r="C2608" s="22" t="s">
        <v>7857</v>
      </c>
      <c r="D2608" s="22" t="s">
        <v>7710</v>
      </c>
      <c r="E2608" s="22" t="s">
        <v>1895</v>
      </c>
      <c r="F2608" s="24" t="s">
        <v>1896</v>
      </c>
      <c r="G2608" s="26" t="s">
        <v>22</v>
      </c>
      <c r="H2608" s="24" t="s">
        <v>1901</v>
      </c>
      <c r="I2608" s="22"/>
      <c r="J2608" s="22"/>
      <c r="K2608" s="24"/>
      <c r="L2608" s="24"/>
      <c r="M2608" s="25" t="s">
        <v>1898</v>
      </c>
      <c r="N2608" s="22" t="s">
        <v>1899</v>
      </c>
      <c r="O2608" s="22" t="s">
        <v>1900</v>
      </c>
      <c r="P2608" s="22" t="str">
        <f>HYPERLINK("https://ceds.ed.gov/cedselementdetails.aspx?termid=21037")</f>
        <v>https://ceds.ed.gov/cedselementdetails.aspx?termid=21037</v>
      </c>
      <c r="Q2608" s="22">
        <v>59348</v>
      </c>
    </row>
    <row r="2609" spans="1:17" ht="57.6" x14ac:dyDescent="0.3">
      <c r="A2609" s="22" t="s">
        <v>7839</v>
      </c>
      <c r="B2609" s="22" t="s">
        <v>7845</v>
      </c>
      <c r="C2609" s="22" t="s">
        <v>7857</v>
      </c>
      <c r="D2609" s="22" t="s">
        <v>7710</v>
      </c>
      <c r="E2609" s="22" t="s">
        <v>1920</v>
      </c>
      <c r="F2609" s="24" t="s">
        <v>1921</v>
      </c>
      <c r="G2609" s="26" t="s">
        <v>22</v>
      </c>
      <c r="H2609" s="22" t="s">
        <v>226</v>
      </c>
      <c r="I2609" s="22"/>
      <c r="J2609" s="22"/>
      <c r="K2609" s="24"/>
      <c r="L2609" s="24"/>
      <c r="M2609" s="25" t="s">
        <v>1922</v>
      </c>
      <c r="N2609" s="22" t="s">
        <v>1923</v>
      </c>
      <c r="O2609" s="22" t="s">
        <v>1924</v>
      </c>
      <c r="P2609" s="22" t="str">
        <f>HYPERLINK("https://ceds.ed.gov/cedselementdetails.aspx?termid=21585")</f>
        <v>https://ceds.ed.gov/cedselementdetails.aspx?termid=21585</v>
      </c>
      <c r="Q2609" s="22">
        <v>59349</v>
      </c>
    </row>
    <row r="2610" spans="1:17" ht="86.4" x14ac:dyDescent="0.3">
      <c r="A2610" s="22" t="s">
        <v>7839</v>
      </c>
      <c r="B2610" s="22" t="s">
        <v>7845</v>
      </c>
      <c r="C2610" s="22" t="s">
        <v>7857</v>
      </c>
      <c r="D2610" s="22" t="s">
        <v>7710</v>
      </c>
      <c r="E2610" s="22" t="s">
        <v>1950</v>
      </c>
      <c r="F2610" s="24" t="s">
        <v>1951</v>
      </c>
      <c r="G2610" s="26" t="s">
        <v>8714</v>
      </c>
      <c r="H2610" s="22" t="s">
        <v>226</v>
      </c>
      <c r="I2610" s="22"/>
      <c r="J2610" s="22"/>
      <c r="K2610" s="24"/>
      <c r="L2610" s="24"/>
      <c r="M2610" s="25" t="s">
        <v>1952</v>
      </c>
      <c r="N2610" s="22" t="s">
        <v>1953</v>
      </c>
      <c r="O2610" s="22" t="s">
        <v>1954</v>
      </c>
      <c r="P2610" s="22" t="str">
        <f>HYPERLINK("https://ceds.ed.gov/cedselementdetails.aspx?termid=21581")</f>
        <v>https://ceds.ed.gov/cedselementdetails.aspx?termid=21581</v>
      </c>
      <c r="Q2610" s="22">
        <v>59350</v>
      </c>
    </row>
    <row r="2611" spans="1:17" ht="230.4" x14ac:dyDescent="0.3">
      <c r="A2611" s="22" t="s">
        <v>7839</v>
      </c>
      <c r="B2611" s="22" t="s">
        <v>7845</v>
      </c>
      <c r="C2611" s="22" t="s">
        <v>7857</v>
      </c>
      <c r="D2611" s="22" t="s">
        <v>7710</v>
      </c>
      <c r="E2611" s="22" t="s">
        <v>1955</v>
      </c>
      <c r="F2611" s="24" t="s">
        <v>8035</v>
      </c>
      <c r="G2611" s="26" t="s">
        <v>22</v>
      </c>
      <c r="H2611" s="22" t="s">
        <v>226</v>
      </c>
      <c r="I2611" s="22"/>
      <c r="J2611" s="22"/>
      <c r="K2611" s="24"/>
      <c r="L2611" s="24"/>
      <c r="M2611" s="25" t="s">
        <v>1957</v>
      </c>
      <c r="N2611" s="22" t="s">
        <v>1958</v>
      </c>
      <c r="O2611" s="22" t="s">
        <v>1959</v>
      </c>
      <c r="P2611" s="22" t="str">
        <f>HYPERLINK("https://ceds.ed.gov/cedselementdetails.aspx?termid=21084")</f>
        <v>https://ceds.ed.gov/cedselementdetails.aspx?termid=21084</v>
      </c>
      <c r="Q2611" s="22">
        <v>59344</v>
      </c>
    </row>
    <row r="2612" spans="1:17" ht="86.4" x14ac:dyDescent="0.3">
      <c r="A2612" s="22" t="s">
        <v>7839</v>
      </c>
      <c r="B2612" s="22" t="s">
        <v>7845</v>
      </c>
      <c r="C2612" s="22" t="s">
        <v>7857</v>
      </c>
      <c r="D2612" s="22" t="s">
        <v>7710</v>
      </c>
      <c r="E2612" s="22" t="s">
        <v>1914</v>
      </c>
      <c r="F2612" s="24" t="s">
        <v>1915</v>
      </c>
      <c r="G2612" s="26" t="s">
        <v>22</v>
      </c>
      <c r="H2612" s="22" t="s">
        <v>226</v>
      </c>
      <c r="I2612" s="22"/>
      <c r="J2612" s="22"/>
      <c r="K2612" s="24"/>
      <c r="L2612" s="24"/>
      <c r="M2612" s="25" t="s">
        <v>1917</v>
      </c>
      <c r="N2612" s="22" t="s">
        <v>1918</v>
      </c>
      <c r="O2612" s="22" t="s">
        <v>1919</v>
      </c>
      <c r="P2612" s="22" t="str">
        <f>HYPERLINK("https://ceds.ed.gov/cedselementdetails.aspx?termid=21586")</f>
        <v>https://ceds.ed.gov/cedselementdetails.aspx?termid=21586</v>
      </c>
      <c r="Q2612" s="22">
        <v>60838</v>
      </c>
    </row>
    <row r="2613" spans="1:17" ht="244.8" x14ac:dyDescent="0.3">
      <c r="A2613" s="22" t="s">
        <v>7839</v>
      </c>
      <c r="B2613" s="22" t="s">
        <v>7845</v>
      </c>
      <c r="C2613" s="22" t="s">
        <v>7857</v>
      </c>
      <c r="D2613" s="22" t="s">
        <v>7710</v>
      </c>
      <c r="E2613" s="22" t="s">
        <v>5761</v>
      </c>
      <c r="F2613" s="24" t="s">
        <v>5762</v>
      </c>
      <c r="G2613" s="26" t="s">
        <v>3039</v>
      </c>
      <c r="H2613" s="22"/>
      <c r="I2613" s="22"/>
      <c r="J2613" s="22"/>
      <c r="K2613" s="24"/>
      <c r="L2613" s="24"/>
      <c r="M2613" s="25" t="s">
        <v>5763</v>
      </c>
      <c r="N2613" s="22"/>
      <c r="O2613" s="22" t="s">
        <v>5764</v>
      </c>
      <c r="P2613" s="22" t="str">
        <f>HYPERLINK("https://ceds.ed.gov/cedselementdetails.aspx?termid=22908")</f>
        <v>https://ceds.ed.gov/cedselementdetails.aspx?termid=22908</v>
      </c>
      <c r="Q2613" s="22">
        <v>63431</v>
      </c>
    </row>
    <row r="2614" spans="1:17" ht="43.2" x14ac:dyDescent="0.3">
      <c r="A2614" s="22" t="s">
        <v>7839</v>
      </c>
      <c r="B2614" s="22" t="s">
        <v>7845</v>
      </c>
      <c r="C2614" s="22" t="s">
        <v>7756</v>
      </c>
      <c r="D2614" s="22" t="s">
        <v>7710</v>
      </c>
      <c r="E2614" s="22" t="s">
        <v>3169</v>
      </c>
      <c r="F2614" s="24" t="s">
        <v>3170</v>
      </c>
      <c r="G2614" s="26" t="s">
        <v>22</v>
      </c>
      <c r="H2614" s="22" t="s">
        <v>226</v>
      </c>
      <c r="I2614" s="22"/>
      <c r="J2614" s="22"/>
      <c r="K2614" s="24"/>
      <c r="L2614" s="24"/>
      <c r="M2614" s="25" t="s">
        <v>3171</v>
      </c>
      <c r="N2614" s="22"/>
      <c r="O2614" s="22" t="s">
        <v>3172</v>
      </c>
      <c r="P2614" s="22" t="str">
        <f>HYPERLINK("https://ceds.ed.gov/cedselementdetails.aspx?termid=21569")</f>
        <v>https://ceds.ed.gov/cedselementdetails.aspx?termid=21569</v>
      </c>
      <c r="Q2614" s="22">
        <v>61127</v>
      </c>
    </row>
    <row r="2615" spans="1:17" ht="230.4" x14ac:dyDescent="0.3">
      <c r="A2615" s="22" t="s">
        <v>7839</v>
      </c>
      <c r="B2615" s="22" t="s">
        <v>7845</v>
      </c>
      <c r="C2615" s="22" t="s">
        <v>7756</v>
      </c>
      <c r="D2615" s="22" t="s">
        <v>7710</v>
      </c>
      <c r="E2615" s="22" t="s">
        <v>4411</v>
      </c>
      <c r="F2615" s="24" t="s">
        <v>4412</v>
      </c>
      <c r="G2615" s="26" t="s">
        <v>22</v>
      </c>
      <c r="H2615" s="24" t="s">
        <v>4415</v>
      </c>
      <c r="I2615" s="22"/>
      <c r="J2615" s="22"/>
      <c r="K2615" s="24"/>
      <c r="L2615" s="24"/>
      <c r="M2615" s="25" t="s">
        <v>4413</v>
      </c>
      <c r="N2615" s="22"/>
      <c r="O2615" s="22" t="s">
        <v>4414</v>
      </c>
      <c r="P2615" s="22" t="str">
        <f>HYPERLINK("https://ceds.ed.gov/cedselementdetails.aspx?termid=21151")</f>
        <v>https://ceds.ed.gov/cedselementdetails.aspx?termid=21151</v>
      </c>
      <c r="Q2615" s="22">
        <v>61214</v>
      </c>
    </row>
    <row r="2616" spans="1:17" ht="201.6" x14ac:dyDescent="0.3">
      <c r="A2616" s="22" t="s">
        <v>7839</v>
      </c>
      <c r="B2616" s="22" t="s">
        <v>7845</v>
      </c>
      <c r="C2616" s="22" t="s">
        <v>7756</v>
      </c>
      <c r="D2616" s="22" t="s">
        <v>7710</v>
      </c>
      <c r="E2616" s="22" t="s">
        <v>5959</v>
      </c>
      <c r="F2616" s="24" t="s">
        <v>5960</v>
      </c>
      <c r="G2616" s="26" t="s">
        <v>9076</v>
      </c>
      <c r="H2616" s="24" t="s">
        <v>5964</v>
      </c>
      <c r="I2616" s="22"/>
      <c r="J2616" s="22"/>
      <c r="K2616" s="24"/>
      <c r="L2616" s="24" t="s">
        <v>5961</v>
      </c>
      <c r="M2616" s="25" t="s">
        <v>5962</v>
      </c>
      <c r="N2616" s="22"/>
      <c r="O2616" s="22" t="s">
        <v>5963</v>
      </c>
      <c r="P2616" s="22" t="str">
        <f>HYPERLINK("https://ceds.ed.gov/cedselementdetails.aspx?termid=21218")</f>
        <v>https://ceds.ed.gov/cedselementdetails.aspx?termid=21218</v>
      </c>
      <c r="Q2616" s="22">
        <v>61325</v>
      </c>
    </row>
    <row r="2617" spans="1:17" ht="316.8" x14ac:dyDescent="0.3">
      <c r="A2617" s="22" t="s">
        <v>7839</v>
      </c>
      <c r="B2617" s="22" t="s">
        <v>7845</v>
      </c>
      <c r="C2617" s="22" t="s">
        <v>7756</v>
      </c>
      <c r="D2617" s="22" t="s">
        <v>7710</v>
      </c>
      <c r="E2617" s="22" t="s">
        <v>94</v>
      </c>
      <c r="F2617" s="24" t="s">
        <v>95</v>
      </c>
      <c r="G2617" s="26" t="s">
        <v>8568</v>
      </c>
      <c r="H2617" s="22"/>
      <c r="I2617" s="22"/>
      <c r="J2617" s="22"/>
      <c r="K2617" s="24"/>
      <c r="L2617" s="24"/>
      <c r="M2617" s="25" t="s">
        <v>97</v>
      </c>
      <c r="N2617" s="22"/>
      <c r="O2617" s="22" t="s">
        <v>98</v>
      </c>
      <c r="P2617" s="22" t="str">
        <f>HYPERLINK("https://ceds.ed.gov/cedselementdetails.aspx?termid=22243")</f>
        <v>https://ceds.ed.gov/cedselementdetails.aspx?termid=22243</v>
      </c>
      <c r="Q2617" s="22">
        <v>61044</v>
      </c>
    </row>
    <row r="2618" spans="1:17" ht="216" x14ac:dyDescent="0.3">
      <c r="A2618" s="22" t="s">
        <v>7839</v>
      </c>
      <c r="B2618" s="22" t="s">
        <v>7845</v>
      </c>
      <c r="C2618" s="22" t="s">
        <v>7756</v>
      </c>
      <c r="D2618" s="22" t="s">
        <v>7710</v>
      </c>
      <c r="E2618" s="22" t="s">
        <v>3160</v>
      </c>
      <c r="F2618" s="24" t="s">
        <v>3161</v>
      </c>
      <c r="G2618" s="26" t="s">
        <v>8796</v>
      </c>
      <c r="H2618" s="22"/>
      <c r="I2618" s="22"/>
      <c r="J2618" s="22"/>
      <c r="K2618" s="24"/>
      <c r="L2618" s="24" t="s">
        <v>3162</v>
      </c>
      <c r="M2618" s="25" t="s">
        <v>3163</v>
      </c>
      <c r="N2618" s="22"/>
      <c r="O2618" s="22" t="s">
        <v>3164</v>
      </c>
      <c r="P2618" s="22" t="str">
        <f>HYPERLINK("https://ceds.ed.gov/cedselementdetails.aspx?termid=22286")</f>
        <v>https://ceds.ed.gov/cedselementdetails.aspx?termid=22286</v>
      </c>
      <c r="Q2618" s="22">
        <v>61125</v>
      </c>
    </row>
    <row r="2619" spans="1:17" ht="72" x14ac:dyDescent="0.3">
      <c r="A2619" s="22" t="s">
        <v>7839</v>
      </c>
      <c r="B2619" s="22" t="s">
        <v>7845</v>
      </c>
      <c r="C2619" s="22" t="s">
        <v>7756</v>
      </c>
      <c r="D2619" s="22" t="s">
        <v>7710</v>
      </c>
      <c r="E2619" s="22" t="s">
        <v>3155</v>
      </c>
      <c r="F2619" s="24" t="s">
        <v>3156</v>
      </c>
      <c r="G2619" s="26" t="s">
        <v>8795</v>
      </c>
      <c r="H2619" s="22"/>
      <c r="I2619" s="22"/>
      <c r="J2619" s="22"/>
      <c r="K2619" s="24"/>
      <c r="L2619" s="24"/>
      <c r="M2619" s="25" t="s">
        <v>3157</v>
      </c>
      <c r="N2619" s="22" t="s">
        <v>3158</v>
      </c>
      <c r="O2619" s="22" t="s">
        <v>3159</v>
      </c>
      <c r="P2619" s="22" t="str">
        <f>HYPERLINK("https://ceds.ed.gov/cedselementdetails.aspx?termid=22285")</f>
        <v>https://ceds.ed.gov/cedselementdetails.aspx?termid=22285</v>
      </c>
      <c r="Q2619" s="22">
        <v>61124</v>
      </c>
    </row>
    <row r="2620" spans="1:17" ht="144" x14ac:dyDescent="0.3">
      <c r="A2620" s="22" t="s">
        <v>7839</v>
      </c>
      <c r="B2620" s="22" t="s">
        <v>7845</v>
      </c>
      <c r="C2620" s="22" t="s">
        <v>7756</v>
      </c>
      <c r="D2620" s="22" t="s">
        <v>7710</v>
      </c>
      <c r="E2620" s="22" t="s">
        <v>3165</v>
      </c>
      <c r="F2620" s="24" t="s">
        <v>3166</v>
      </c>
      <c r="G2620" s="26" t="s">
        <v>8798</v>
      </c>
      <c r="H2620" s="22"/>
      <c r="I2620" s="22"/>
      <c r="J2620" s="22"/>
      <c r="K2620" s="24"/>
      <c r="L2620" s="24" t="s">
        <v>3162</v>
      </c>
      <c r="M2620" s="25" t="s">
        <v>3167</v>
      </c>
      <c r="N2620" s="22"/>
      <c r="O2620" s="22" t="s">
        <v>3168</v>
      </c>
      <c r="P2620" s="22" t="str">
        <f>HYPERLINK("https://ceds.ed.gov/cedselementdetails.aspx?termid=22287")</f>
        <v>https://ceds.ed.gov/cedselementdetails.aspx?termid=22287</v>
      </c>
      <c r="Q2620" s="22">
        <v>61126</v>
      </c>
    </row>
    <row r="2621" spans="1:17" ht="86.4" x14ac:dyDescent="0.3">
      <c r="A2621" s="22" t="s">
        <v>7839</v>
      </c>
      <c r="B2621" s="22" t="s">
        <v>7845</v>
      </c>
      <c r="C2621" s="22" t="s">
        <v>7756</v>
      </c>
      <c r="D2621" s="22" t="s">
        <v>7710</v>
      </c>
      <c r="E2621" s="22" t="s">
        <v>6676</v>
      </c>
      <c r="F2621" s="24" t="s">
        <v>6677</v>
      </c>
      <c r="G2621" s="26" t="s">
        <v>22</v>
      </c>
      <c r="H2621" s="24" t="s">
        <v>4415</v>
      </c>
      <c r="I2621" s="22"/>
      <c r="J2621" s="22"/>
      <c r="K2621" s="24"/>
      <c r="L2621" s="24"/>
      <c r="M2621" s="25" t="s">
        <v>6678</v>
      </c>
      <c r="N2621" s="22"/>
      <c r="O2621" s="22" t="s">
        <v>6679</v>
      </c>
      <c r="P2621" s="22" t="str">
        <f>HYPERLINK("https://ceds.ed.gov/cedselementdetails.aspx?termid=21249")</f>
        <v>https://ceds.ed.gov/cedselementdetails.aspx?termid=21249</v>
      </c>
      <c r="Q2621" s="22">
        <v>63660</v>
      </c>
    </row>
    <row r="2622" spans="1:17" ht="86.4" x14ac:dyDescent="0.3">
      <c r="A2622" s="22" t="s">
        <v>7839</v>
      </c>
      <c r="B2622" s="22" t="s">
        <v>7845</v>
      </c>
      <c r="C2622" s="22" t="s">
        <v>7858</v>
      </c>
      <c r="D2622" s="22" t="s">
        <v>7710</v>
      </c>
      <c r="E2622" s="22" t="s">
        <v>3245</v>
      </c>
      <c r="F2622" s="24" t="s">
        <v>3246</v>
      </c>
      <c r="G2622" s="26" t="s">
        <v>8808</v>
      </c>
      <c r="H2622" s="22"/>
      <c r="I2622" s="22"/>
      <c r="J2622" s="22"/>
      <c r="K2622" s="24"/>
      <c r="L2622" s="24"/>
      <c r="M2622" s="25" t="s">
        <v>3247</v>
      </c>
      <c r="N2622" s="22"/>
      <c r="O2622" s="22" t="s">
        <v>3248</v>
      </c>
      <c r="P2622" s="22" t="str">
        <f>HYPERLINK("https://ceds.ed.gov/cedselementdetails.aspx?termid=22293")</f>
        <v>https://ceds.ed.gov/cedselementdetails.aspx?termid=22293</v>
      </c>
      <c r="Q2622" s="22">
        <v>61133</v>
      </c>
    </row>
    <row r="2623" spans="1:17" ht="43.2" x14ac:dyDescent="0.3">
      <c r="A2623" s="22" t="s">
        <v>7839</v>
      </c>
      <c r="B2623" s="22" t="s">
        <v>7845</v>
      </c>
      <c r="C2623" s="22" t="s">
        <v>7858</v>
      </c>
      <c r="D2623" s="22" t="s">
        <v>7710</v>
      </c>
      <c r="E2623" s="22" t="s">
        <v>3241</v>
      </c>
      <c r="F2623" s="24" t="s">
        <v>3242</v>
      </c>
      <c r="G2623" s="23" t="s">
        <v>32</v>
      </c>
      <c r="H2623" s="22"/>
      <c r="I2623" s="22"/>
      <c r="J2623" s="22" t="s">
        <v>118</v>
      </c>
      <c r="K2623" s="24"/>
      <c r="L2623" s="24"/>
      <c r="M2623" s="25" t="s">
        <v>3243</v>
      </c>
      <c r="N2623" s="22"/>
      <c r="O2623" s="22" t="s">
        <v>3244</v>
      </c>
      <c r="P2623" s="22" t="str">
        <f>HYPERLINK("https://ceds.ed.gov/cedselementdetails.aspx?termid=22292")</f>
        <v>https://ceds.ed.gov/cedselementdetails.aspx?termid=22292</v>
      </c>
      <c r="Q2623" s="22">
        <v>61132</v>
      </c>
    </row>
    <row r="2624" spans="1:17" ht="86.4" x14ac:dyDescent="0.3">
      <c r="A2624" s="22" t="s">
        <v>7839</v>
      </c>
      <c r="B2624" s="22" t="s">
        <v>7845</v>
      </c>
      <c r="C2624" s="22" t="s">
        <v>7858</v>
      </c>
      <c r="D2624" s="22" t="s">
        <v>7710</v>
      </c>
      <c r="E2624" s="22" t="s">
        <v>4252</v>
      </c>
      <c r="F2624" s="24" t="s">
        <v>4253</v>
      </c>
      <c r="G2624" s="26" t="s">
        <v>8914</v>
      </c>
      <c r="H2624" s="22"/>
      <c r="I2624" s="22"/>
      <c r="J2624" s="22"/>
      <c r="K2624" s="24"/>
      <c r="L2624" s="24"/>
      <c r="M2624" s="25" t="s">
        <v>4254</v>
      </c>
      <c r="N2624" s="22"/>
      <c r="O2624" s="22" t="s">
        <v>4255</v>
      </c>
      <c r="P2624" s="22" t="str">
        <f>HYPERLINK("https://ceds.ed.gov/cedselementdetails.aspx?termid=22324")</f>
        <v>https://ceds.ed.gov/cedselementdetails.aspx?termid=22324</v>
      </c>
      <c r="Q2624" s="22">
        <v>61209</v>
      </c>
    </row>
    <row r="2625" spans="1:17" ht="43.2" x14ac:dyDescent="0.3">
      <c r="A2625" s="22" t="s">
        <v>7839</v>
      </c>
      <c r="B2625" s="22" t="s">
        <v>7845</v>
      </c>
      <c r="C2625" s="22" t="s">
        <v>7858</v>
      </c>
      <c r="D2625" s="22" t="s">
        <v>7710</v>
      </c>
      <c r="E2625" s="22" t="s">
        <v>3232</v>
      </c>
      <c r="F2625" s="24" t="s">
        <v>3233</v>
      </c>
      <c r="G2625" s="26" t="s">
        <v>8807</v>
      </c>
      <c r="H2625" s="22"/>
      <c r="I2625" s="22"/>
      <c r="J2625" s="22"/>
      <c r="K2625" s="24"/>
      <c r="L2625" s="24"/>
      <c r="M2625" s="25" t="s">
        <v>3235</v>
      </c>
      <c r="N2625" s="22"/>
      <c r="O2625" s="22" t="s">
        <v>3236</v>
      </c>
      <c r="P2625" s="22" t="str">
        <f>HYPERLINK("https://ceds.ed.gov/cedselementdetails.aspx?termid=22290")</f>
        <v>https://ceds.ed.gov/cedselementdetails.aspx?termid=22290</v>
      </c>
      <c r="Q2625" s="22">
        <v>61130</v>
      </c>
    </row>
    <row r="2626" spans="1:17" ht="28.8" x14ac:dyDescent="0.3">
      <c r="A2626" s="22" t="s">
        <v>7839</v>
      </c>
      <c r="B2626" s="22" t="s">
        <v>7845</v>
      </c>
      <c r="C2626" s="22" t="s">
        <v>7858</v>
      </c>
      <c r="D2626" s="22" t="s">
        <v>7710</v>
      </c>
      <c r="E2626" s="22" t="s">
        <v>3237</v>
      </c>
      <c r="F2626" s="24" t="s">
        <v>3238</v>
      </c>
      <c r="G2626" s="23" t="s">
        <v>32</v>
      </c>
      <c r="H2626" s="22"/>
      <c r="I2626" s="22"/>
      <c r="J2626" s="22" t="s">
        <v>118</v>
      </c>
      <c r="K2626" s="24"/>
      <c r="L2626" s="24"/>
      <c r="M2626" s="25" t="s">
        <v>3239</v>
      </c>
      <c r="N2626" s="22"/>
      <c r="O2626" s="22" t="s">
        <v>3240</v>
      </c>
      <c r="P2626" s="22" t="str">
        <f>HYPERLINK("https://ceds.ed.gov/cedselementdetails.aspx?termid=22291")</f>
        <v>https://ceds.ed.gov/cedselementdetails.aspx?termid=22291</v>
      </c>
      <c r="Q2626" s="22">
        <v>61131</v>
      </c>
    </row>
    <row r="2627" spans="1:17" x14ac:dyDescent="0.3">
      <c r="A2627" s="22" t="s">
        <v>7839</v>
      </c>
      <c r="B2627" s="22" t="s">
        <v>7845</v>
      </c>
      <c r="C2627" s="22" t="s">
        <v>7858</v>
      </c>
      <c r="D2627" s="22" t="s">
        <v>7710</v>
      </c>
      <c r="E2627" s="22" t="s">
        <v>7180</v>
      </c>
      <c r="F2627" s="24" t="s">
        <v>7181</v>
      </c>
      <c r="G2627" s="23" t="s">
        <v>32</v>
      </c>
      <c r="H2627" s="22"/>
      <c r="I2627" s="22"/>
      <c r="J2627" s="22" t="s">
        <v>328</v>
      </c>
      <c r="K2627" s="24"/>
      <c r="L2627" s="24"/>
      <c r="M2627" s="25" t="s">
        <v>7182</v>
      </c>
      <c r="N2627" s="22"/>
      <c r="O2627" s="22" t="s">
        <v>7183</v>
      </c>
      <c r="P2627" s="22" t="str">
        <f>HYPERLINK("https://ceds.ed.gov/cedselementdetails.aspx?termid=22468")</f>
        <v>https://ceds.ed.gov/cedselementdetails.aspx?termid=22468</v>
      </c>
      <c r="Q2627" s="22">
        <v>61449</v>
      </c>
    </row>
    <row r="2628" spans="1:17" ht="28.8" x14ac:dyDescent="0.3">
      <c r="A2628" s="22" t="s">
        <v>7839</v>
      </c>
      <c r="B2628" s="22" t="s">
        <v>7845</v>
      </c>
      <c r="C2628" s="22" t="s">
        <v>7858</v>
      </c>
      <c r="D2628" s="22" t="s">
        <v>7710</v>
      </c>
      <c r="E2628" s="22" t="s">
        <v>5675</v>
      </c>
      <c r="F2628" s="24" t="s">
        <v>5676</v>
      </c>
      <c r="G2628" s="23" t="s">
        <v>32</v>
      </c>
      <c r="H2628" s="22"/>
      <c r="I2628" s="22"/>
      <c r="J2628" s="22" t="s">
        <v>118</v>
      </c>
      <c r="K2628" s="24"/>
      <c r="L2628" s="24"/>
      <c r="M2628" s="25" t="s">
        <v>5677</v>
      </c>
      <c r="N2628" s="22"/>
      <c r="O2628" s="22" t="s">
        <v>5678</v>
      </c>
      <c r="P2628" s="22" t="str">
        <f>HYPERLINK("https://ceds.ed.gov/cedselementdetails.aspx?termid=22386")</f>
        <v>https://ceds.ed.gov/cedselementdetails.aspx?termid=22386</v>
      </c>
      <c r="Q2628" s="22">
        <v>61298</v>
      </c>
    </row>
    <row r="2629" spans="1:17" ht="72" x14ac:dyDescent="0.3">
      <c r="A2629" s="22" t="s">
        <v>7839</v>
      </c>
      <c r="B2629" s="22" t="s">
        <v>7845</v>
      </c>
      <c r="C2629" s="22" t="s">
        <v>7858</v>
      </c>
      <c r="D2629" s="22" t="s">
        <v>7710</v>
      </c>
      <c r="E2629" s="22" t="s">
        <v>5671</v>
      </c>
      <c r="F2629" s="24" t="s">
        <v>5672</v>
      </c>
      <c r="G2629" s="26" t="s">
        <v>22</v>
      </c>
      <c r="H2629" s="22"/>
      <c r="I2629" s="22"/>
      <c r="J2629" s="22"/>
      <c r="K2629" s="24"/>
      <c r="L2629" s="24"/>
      <c r="M2629" s="25" t="s">
        <v>5673</v>
      </c>
      <c r="N2629" s="22"/>
      <c r="O2629" s="22" t="s">
        <v>5674</v>
      </c>
      <c r="P2629" s="22" t="str">
        <f>HYPERLINK("https://ceds.ed.gov/cedselementdetails.aspx?termid=22385")</f>
        <v>https://ceds.ed.gov/cedselementdetails.aspx?termid=22385</v>
      </c>
      <c r="Q2629" s="22">
        <v>61297</v>
      </c>
    </row>
    <row r="2630" spans="1:17" ht="158.4" x14ac:dyDescent="0.3">
      <c r="A2630" s="22" t="s">
        <v>7839</v>
      </c>
      <c r="B2630" s="22" t="s">
        <v>7845</v>
      </c>
      <c r="C2630" s="22" t="s">
        <v>7859</v>
      </c>
      <c r="D2630" s="22" t="s">
        <v>7710</v>
      </c>
      <c r="E2630" s="22" t="s">
        <v>6361</v>
      </c>
      <c r="F2630" s="24" t="s">
        <v>6362</v>
      </c>
      <c r="G2630" s="26" t="s">
        <v>8510</v>
      </c>
      <c r="H2630" s="22"/>
      <c r="I2630" s="22" t="s">
        <v>172</v>
      </c>
      <c r="J2630" s="22"/>
      <c r="K2630" s="24" t="s">
        <v>8050</v>
      </c>
      <c r="L2630" s="24"/>
      <c r="M2630" s="25" t="s">
        <v>6363</v>
      </c>
      <c r="N2630" s="22"/>
      <c r="O2630" s="22" t="s">
        <v>6364</v>
      </c>
      <c r="P2630" s="22" t="str">
        <f>HYPERLINK("https://ceds.ed.gov/cedselementdetails.aspx?termid=21515")</f>
        <v>https://ceds.ed.gov/cedselementdetails.aspx?termid=21515</v>
      </c>
      <c r="Q2630" s="22">
        <v>61527</v>
      </c>
    </row>
    <row r="2631" spans="1:17" ht="158.4" x14ac:dyDescent="0.3">
      <c r="A2631" s="22" t="s">
        <v>7839</v>
      </c>
      <c r="B2631" s="22" t="s">
        <v>7845</v>
      </c>
      <c r="C2631" s="22" t="s">
        <v>7859</v>
      </c>
      <c r="D2631" s="22" t="s">
        <v>7710</v>
      </c>
      <c r="E2631" s="22" t="s">
        <v>4050</v>
      </c>
      <c r="F2631" s="24" t="s">
        <v>4051</v>
      </c>
      <c r="G2631" s="23" t="s">
        <v>32</v>
      </c>
      <c r="H2631" s="24" t="s">
        <v>4054</v>
      </c>
      <c r="I2631" s="22"/>
      <c r="J2631" s="22" t="s">
        <v>7536</v>
      </c>
      <c r="K2631" s="24"/>
      <c r="L2631" s="24" t="s">
        <v>8200</v>
      </c>
      <c r="M2631" s="25" t="s">
        <v>4052</v>
      </c>
      <c r="N2631" s="22"/>
      <c r="O2631" s="22" t="s">
        <v>4053</v>
      </c>
      <c r="P2631" s="22" t="str">
        <f>HYPERLINK("https://ceds.ed.gov/cedselementdetails.aspx?termid=21115")</f>
        <v>https://ceds.ed.gov/cedselementdetails.aspx?termid=21115</v>
      </c>
      <c r="Q2631" s="22">
        <v>61858</v>
      </c>
    </row>
    <row r="2632" spans="1:17" ht="158.4" x14ac:dyDescent="0.3">
      <c r="A2632" s="22" t="s">
        <v>7839</v>
      </c>
      <c r="B2632" s="22" t="s">
        <v>7845</v>
      </c>
      <c r="C2632" s="22" t="s">
        <v>7859</v>
      </c>
      <c r="D2632" s="22" t="s">
        <v>7710</v>
      </c>
      <c r="E2632" s="22" t="s">
        <v>5415</v>
      </c>
      <c r="F2632" s="24" t="s">
        <v>5416</v>
      </c>
      <c r="G2632" s="23" t="s">
        <v>32</v>
      </c>
      <c r="H2632" s="24" t="s">
        <v>4054</v>
      </c>
      <c r="I2632" s="22"/>
      <c r="J2632" s="22" t="s">
        <v>7536</v>
      </c>
      <c r="K2632" s="24"/>
      <c r="L2632" s="24" t="s">
        <v>8207</v>
      </c>
      <c r="M2632" s="25" t="s">
        <v>5417</v>
      </c>
      <c r="N2632" s="22"/>
      <c r="O2632" s="22" t="s">
        <v>5418</v>
      </c>
      <c r="P2632" s="22" t="str">
        <f>HYPERLINK("https://ceds.ed.gov/cedselementdetails.aspx?termid=21184")</f>
        <v>https://ceds.ed.gov/cedselementdetails.aspx?termid=21184</v>
      </c>
      <c r="Q2632" s="22">
        <v>61528</v>
      </c>
    </row>
    <row r="2633" spans="1:17" ht="158.4" x14ac:dyDescent="0.3">
      <c r="A2633" s="22" t="s">
        <v>7839</v>
      </c>
      <c r="B2633" s="22" t="s">
        <v>7845</v>
      </c>
      <c r="C2633" s="22" t="s">
        <v>7859</v>
      </c>
      <c r="D2633" s="22" t="s">
        <v>7710</v>
      </c>
      <c r="E2633" s="22" t="s">
        <v>4973</v>
      </c>
      <c r="F2633" s="24" t="s">
        <v>4974</v>
      </c>
      <c r="G2633" s="23" t="s">
        <v>32</v>
      </c>
      <c r="H2633" s="24" t="s">
        <v>4054</v>
      </c>
      <c r="I2633" s="22"/>
      <c r="J2633" s="22" t="s">
        <v>7536</v>
      </c>
      <c r="K2633" s="24"/>
      <c r="L2633" s="24" t="s">
        <v>8207</v>
      </c>
      <c r="M2633" s="25" t="s">
        <v>4975</v>
      </c>
      <c r="N2633" s="22" t="s">
        <v>4976</v>
      </c>
      <c r="O2633" s="22" t="s">
        <v>4977</v>
      </c>
      <c r="P2633" s="22" t="str">
        <f>HYPERLINK("https://ceds.ed.gov/cedselementdetails.aspx?termid=21172")</f>
        <v>https://ceds.ed.gov/cedselementdetails.aspx?termid=21172</v>
      </c>
      <c r="Q2633" s="22">
        <v>61529</v>
      </c>
    </row>
    <row r="2634" spans="1:17" ht="28.8" x14ac:dyDescent="0.3">
      <c r="A2634" s="22" t="s">
        <v>7839</v>
      </c>
      <c r="B2634" s="22" t="s">
        <v>7845</v>
      </c>
      <c r="C2634" s="22" t="s">
        <v>7859</v>
      </c>
      <c r="D2634" s="22" t="s">
        <v>7710</v>
      </c>
      <c r="E2634" s="22" t="s">
        <v>5728</v>
      </c>
      <c r="F2634" s="24" t="s">
        <v>5729</v>
      </c>
      <c r="G2634" s="23" t="s">
        <v>32</v>
      </c>
      <c r="H2634" s="22"/>
      <c r="I2634" s="22"/>
      <c r="J2634" s="22" t="s">
        <v>1301</v>
      </c>
      <c r="K2634" s="24"/>
      <c r="L2634" s="24" t="s">
        <v>5730</v>
      </c>
      <c r="M2634" s="25" t="s">
        <v>5731</v>
      </c>
      <c r="N2634" s="22"/>
      <c r="O2634" s="22" t="s">
        <v>5732</v>
      </c>
      <c r="P2634" s="22" t="str">
        <f>HYPERLINK("https://ceds.ed.gov/cedselementdetails.aspx?termid=22486")</f>
        <v>https://ceds.ed.gov/cedselementdetails.aspx?termid=22486</v>
      </c>
      <c r="Q2634" s="22">
        <v>61641</v>
      </c>
    </row>
    <row r="2635" spans="1:17" ht="28.8" x14ac:dyDescent="0.3">
      <c r="A2635" s="22" t="s">
        <v>7839</v>
      </c>
      <c r="B2635" s="22" t="s">
        <v>7845</v>
      </c>
      <c r="C2635" s="22" t="s">
        <v>7859</v>
      </c>
      <c r="D2635" s="22" t="s">
        <v>7710</v>
      </c>
      <c r="E2635" s="22" t="s">
        <v>5733</v>
      </c>
      <c r="F2635" s="24" t="s">
        <v>5734</v>
      </c>
      <c r="G2635" s="23" t="s">
        <v>32</v>
      </c>
      <c r="H2635" s="22"/>
      <c r="I2635" s="22"/>
      <c r="J2635" s="22" t="s">
        <v>1301</v>
      </c>
      <c r="K2635" s="24"/>
      <c r="L2635" s="24" t="s">
        <v>5735</v>
      </c>
      <c r="M2635" s="25" t="s">
        <v>5736</v>
      </c>
      <c r="N2635" s="22"/>
      <c r="O2635" s="22" t="s">
        <v>5737</v>
      </c>
      <c r="P2635" s="22" t="str">
        <f>HYPERLINK("https://ceds.ed.gov/cedselementdetails.aspx?termid=22485")</f>
        <v>https://ceds.ed.gov/cedselementdetails.aspx?termid=22485</v>
      </c>
      <c r="Q2635" s="22">
        <v>61625</v>
      </c>
    </row>
    <row r="2636" spans="1:17" ht="28.8" x14ac:dyDescent="0.3">
      <c r="A2636" s="22" t="s">
        <v>7839</v>
      </c>
      <c r="B2636" s="22" t="s">
        <v>7845</v>
      </c>
      <c r="C2636" s="22" t="s">
        <v>7859</v>
      </c>
      <c r="D2636" s="22" t="s">
        <v>7710</v>
      </c>
      <c r="E2636" s="22" t="s">
        <v>5738</v>
      </c>
      <c r="F2636" s="24" t="s">
        <v>5739</v>
      </c>
      <c r="G2636" s="23" t="s">
        <v>32</v>
      </c>
      <c r="H2636" s="22"/>
      <c r="I2636" s="22"/>
      <c r="J2636" s="22" t="s">
        <v>1301</v>
      </c>
      <c r="K2636" s="24"/>
      <c r="L2636" s="24" t="s">
        <v>5740</v>
      </c>
      <c r="M2636" s="25" t="s">
        <v>5741</v>
      </c>
      <c r="N2636" s="22"/>
      <c r="O2636" s="22" t="s">
        <v>5742</v>
      </c>
      <c r="P2636" s="22" t="str">
        <f>HYPERLINK("https://ceds.ed.gov/cedselementdetails.aspx?termid=22487")</f>
        <v>https://ceds.ed.gov/cedselementdetails.aspx?termid=22487</v>
      </c>
      <c r="Q2636" s="22">
        <v>61657</v>
      </c>
    </row>
    <row r="2637" spans="1:17" ht="129.6" x14ac:dyDescent="0.3">
      <c r="A2637" s="22" t="s">
        <v>7839</v>
      </c>
      <c r="B2637" s="22" t="s">
        <v>7845</v>
      </c>
      <c r="C2637" s="22" t="s">
        <v>7859</v>
      </c>
      <c r="D2637" s="22" t="s">
        <v>7710</v>
      </c>
      <c r="E2637" s="22" t="s">
        <v>5743</v>
      </c>
      <c r="F2637" s="24" t="s">
        <v>5744</v>
      </c>
      <c r="G2637" s="23" t="s">
        <v>32</v>
      </c>
      <c r="H2637" s="24" t="s">
        <v>4119</v>
      </c>
      <c r="I2637" s="22"/>
      <c r="J2637" s="22" t="s">
        <v>132</v>
      </c>
      <c r="K2637" s="24"/>
      <c r="L2637" s="24"/>
      <c r="M2637" s="25" t="s">
        <v>5745</v>
      </c>
      <c r="N2637" s="22"/>
      <c r="O2637" s="22" t="s">
        <v>5746</v>
      </c>
      <c r="P2637" s="22" t="str">
        <f>HYPERLINK("https://ceds.ed.gov/cedselementdetails.aspx?termid=21206")</f>
        <v>https://ceds.ed.gov/cedselementdetails.aspx?termid=21206</v>
      </c>
      <c r="Q2637" s="22">
        <v>61530</v>
      </c>
    </row>
    <row r="2638" spans="1:17" ht="57.6" x14ac:dyDescent="0.3">
      <c r="A2638" s="22" t="s">
        <v>7839</v>
      </c>
      <c r="B2638" s="22" t="s">
        <v>7845</v>
      </c>
      <c r="C2638" s="22" t="s">
        <v>7860</v>
      </c>
      <c r="D2638" s="22" t="s">
        <v>7710</v>
      </c>
      <c r="E2638" s="22" t="s">
        <v>7105</v>
      </c>
      <c r="F2638" s="24" t="s">
        <v>7106</v>
      </c>
      <c r="G2638" s="26" t="s">
        <v>9158</v>
      </c>
      <c r="H2638" s="22" t="s">
        <v>355</v>
      </c>
      <c r="I2638" s="22"/>
      <c r="J2638" s="22"/>
      <c r="K2638" s="24"/>
      <c r="L2638" s="24"/>
      <c r="M2638" s="25" t="s">
        <v>7107</v>
      </c>
      <c r="N2638" s="22"/>
      <c r="O2638" s="22" t="s">
        <v>7108</v>
      </c>
      <c r="P2638" s="22" t="str">
        <f>HYPERLINK("https://ceds.ed.gov/cedselementdetails.aspx?termid=21749")</f>
        <v>https://ceds.ed.gov/cedselementdetails.aspx?termid=21749</v>
      </c>
      <c r="Q2638" s="22">
        <v>59269</v>
      </c>
    </row>
    <row r="2639" spans="1:17" ht="100.8" x14ac:dyDescent="0.3">
      <c r="A2639" s="22" t="s">
        <v>7839</v>
      </c>
      <c r="B2639" s="22" t="s">
        <v>7845</v>
      </c>
      <c r="C2639" s="22" t="s">
        <v>7860</v>
      </c>
      <c r="D2639" s="22" t="s">
        <v>7710</v>
      </c>
      <c r="E2639" s="22" t="s">
        <v>7102</v>
      </c>
      <c r="F2639" s="24" t="s">
        <v>8338</v>
      </c>
      <c r="G2639" s="26" t="s">
        <v>8599</v>
      </c>
      <c r="H2639" s="22" t="s">
        <v>355</v>
      </c>
      <c r="I2639" s="22"/>
      <c r="J2639" s="22"/>
      <c r="K2639" s="24"/>
      <c r="L2639" s="24"/>
      <c r="M2639" s="25" t="s">
        <v>7103</v>
      </c>
      <c r="N2639" s="22"/>
      <c r="O2639" s="22" t="s">
        <v>7104</v>
      </c>
      <c r="P2639" s="22" t="str">
        <f>HYPERLINK("https://ceds.ed.gov/cedselementdetails.aspx?termid=21750")</f>
        <v>https://ceds.ed.gov/cedselementdetails.aspx?termid=21750</v>
      </c>
      <c r="Q2639" s="22">
        <v>59270</v>
      </c>
    </row>
    <row r="2640" spans="1:17" ht="216" x14ac:dyDescent="0.3">
      <c r="A2640" s="22" t="s">
        <v>7839</v>
      </c>
      <c r="B2640" s="22" t="s">
        <v>7845</v>
      </c>
      <c r="C2640" s="22" t="s">
        <v>7860</v>
      </c>
      <c r="D2640" s="22" t="s">
        <v>7710</v>
      </c>
      <c r="E2640" s="22" t="s">
        <v>7135</v>
      </c>
      <c r="F2640" s="24" t="s">
        <v>7136</v>
      </c>
      <c r="G2640" s="26" t="s">
        <v>9160</v>
      </c>
      <c r="H2640" s="22" t="s">
        <v>355</v>
      </c>
      <c r="I2640" s="22"/>
      <c r="J2640" s="22"/>
      <c r="K2640" s="24"/>
      <c r="L2640" s="24"/>
      <c r="M2640" s="25" t="s">
        <v>7137</v>
      </c>
      <c r="N2640" s="22"/>
      <c r="O2640" s="22" t="s">
        <v>7138</v>
      </c>
      <c r="P2640" s="22" t="str">
        <f>HYPERLINK("https://ceds.ed.gov/cedselementdetails.aspx?termid=21278")</f>
        <v>https://ceds.ed.gov/cedselementdetails.aspx?termid=21278</v>
      </c>
      <c r="Q2640" s="22">
        <v>59278</v>
      </c>
    </row>
    <row r="2641" spans="1:17" ht="187.2" x14ac:dyDescent="0.3">
      <c r="A2641" s="22" t="s">
        <v>7839</v>
      </c>
      <c r="B2641" s="22" t="s">
        <v>7845</v>
      </c>
      <c r="C2641" s="22" t="s">
        <v>7860</v>
      </c>
      <c r="D2641" s="22" t="s">
        <v>7710</v>
      </c>
      <c r="E2641" s="22" t="s">
        <v>7130</v>
      </c>
      <c r="F2641" s="24" t="s">
        <v>7131</v>
      </c>
      <c r="G2641" s="26" t="s">
        <v>9159</v>
      </c>
      <c r="H2641" s="22" t="s">
        <v>355</v>
      </c>
      <c r="I2641" s="22"/>
      <c r="J2641" s="22"/>
      <c r="K2641" s="24"/>
      <c r="L2641" s="24"/>
      <c r="M2641" s="25" t="s">
        <v>7133</v>
      </c>
      <c r="N2641" s="22"/>
      <c r="O2641" s="22" t="s">
        <v>7134</v>
      </c>
      <c r="P2641" s="22" t="str">
        <f>HYPERLINK("https://ceds.ed.gov/cedselementdetails.aspx?termid=21277")</f>
        <v>https://ceds.ed.gov/cedselementdetails.aspx?termid=21277</v>
      </c>
      <c r="Q2641" s="22">
        <v>59277</v>
      </c>
    </row>
    <row r="2642" spans="1:17" ht="57.6" x14ac:dyDescent="0.3">
      <c r="A2642" s="22" t="s">
        <v>7839</v>
      </c>
      <c r="B2642" s="22" t="s">
        <v>7845</v>
      </c>
      <c r="C2642" s="22" t="s">
        <v>7860</v>
      </c>
      <c r="D2642" s="22" t="s">
        <v>7710</v>
      </c>
      <c r="E2642" s="22" t="s">
        <v>7057</v>
      </c>
      <c r="F2642" s="24" t="s">
        <v>7058</v>
      </c>
      <c r="G2642" s="26" t="s">
        <v>8599</v>
      </c>
      <c r="H2642" s="22" t="s">
        <v>355</v>
      </c>
      <c r="I2642" s="22"/>
      <c r="J2642" s="22"/>
      <c r="K2642" s="24"/>
      <c r="L2642" s="24"/>
      <c r="M2642" s="25" t="s">
        <v>7059</v>
      </c>
      <c r="N2642" s="22"/>
      <c r="O2642" s="22" t="s">
        <v>7060</v>
      </c>
      <c r="P2642" s="22" t="str">
        <f>HYPERLINK("https://ceds.ed.gov/cedselementdetails.aspx?termid=21754")</f>
        <v>https://ceds.ed.gov/cedselementdetails.aspx?termid=21754</v>
      </c>
      <c r="Q2642" s="22">
        <v>59273</v>
      </c>
    </row>
    <row r="2643" spans="1:17" ht="57.6" x14ac:dyDescent="0.3">
      <c r="A2643" s="22" t="s">
        <v>7839</v>
      </c>
      <c r="B2643" s="22" t="s">
        <v>7845</v>
      </c>
      <c r="C2643" s="22" t="s">
        <v>7860</v>
      </c>
      <c r="D2643" s="22" t="s">
        <v>7710</v>
      </c>
      <c r="E2643" s="22" t="s">
        <v>7061</v>
      </c>
      <c r="F2643" s="24" t="s">
        <v>8336</v>
      </c>
      <c r="G2643" s="23" t="s">
        <v>32</v>
      </c>
      <c r="H2643" s="22" t="s">
        <v>355</v>
      </c>
      <c r="I2643" s="22"/>
      <c r="J2643" s="22" t="s">
        <v>317</v>
      </c>
      <c r="K2643" s="24"/>
      <c r="L2643" s="24"/>
      <c r="M2643" s="25" t="s">
        <v>7062</v>
      </c>
      <c r="N2643" s="22"/>
      <c r="O2643" s="22" t="s">
        <v>7063</v>
      </c>
      <c r="P2643" s="22" t="str">
        <f>HYPERLINK("https://ceds.ed.gov/cedselementdetails.aspx?termid=21755")</f>
        <v>https://ceds.ed.gov/cedselementdetails.aspx?termid=21755</v>
      </c>
      <c r="Q2643" s="22">
        <v>59274</v>
      </c>
    </row>
    <row r="2644" spans="1:17" ht="86.4" x14ac:dyDescent="0.3">
      <c r="A2644" s="22" t="s">
        <v>7839</v>
      </c>
      <c r="B2644" s="22" t="s">
        <v>7845</v>
      </c>
      <c r="C2644" s="22" t="s">
        <v>7860</v>
      </c>
      <c r="D2644" s="22" t="s">
        <v>7710</v>
      </c>
      <c r="E2644" s="22" t="s">
        <v>7087</v>
      </c>
      <c r="F2644" s="24" t="s">
        <v>7088</v>
      </c>
      <c r="G2644" s="26" t="s">
        <v>8545</v>
      </c>
      <c r="H2644" s="22" t="s">
        <v>355</v>
      </c>
      <c r="I2644" s="22" t="s">
        <v>172</v>
      </c>
      <c r="J2644" s="22"/>
      <c r="K2644" s="24" t="s">
        <v>7946</v>
      </c>
      <c r="L2644" s="24"/>
      <c r="M2644" s="25" t="s">
        <v>7089</v>
      </c>
      <c r="N2644" s="22"/>
      <c r="O2644" s="22" t="s">
        <v>7090</v>
      </c>
      <c r="P2644" s="22" t="str">
        <f>HYPERLINK("https://ceds.ed.gov/cedselementdetails.aspx?termid=21756")</f>
        <v>https://ceds.ed.gov/cedselementdetails.aspx?termid=21756</v>
      </c>
      <c r="Q2644" s="22">
        <v>59275</v>
      </c>
    </row>
    <row r="2645" spans="1:17" ht="86.4" x14ac:dyDescent="0.3">
      <c r="A2645" s="22" t="s">
        <v>7839</v>
      </c>
      <c r="B2645" s="22" t="s">
        <v>7845</v>
      </c>
      <c r="C2645" s="22" t="s">
        <v>7860</v>
      </c>
      <c r="D2645" s="22" t="s">
        <v>7710</v>
      </c>
      <c r="E2645" s="22" t="s">
        <v>7083</v>
      </c>
      <c r="F2645" s="24" t="s">
        <v>7084</v>
      </c>
      <c r="G2645" s="23" t="s">
        <v>32</v>
      </c>
      <c r="H2645" s="22" t="s">
        <v>355</v>
      </c>
      <c r="I2645" s="22" t="s">
        <v>172</v>
      </c>
      <c r="J2645" s="22" t="s">
        <v>85</v>
      </c>
      <c r="K2645" s="24" t="s">
        <v>7946</v>
      </c>
      <c r="L2645" s="24" t="s">
        <v>8337</v>
      </c>
      <c r="M2645" s="25" t="s">
        <v>7085</v>
      </c>
      <c r="N2645" s="22"/>
      <c r="O2645" s="22" t="s">
        <v>7086</v>
      </c>
      <c r="P2645" s="22" t="str">
        <f>HYPERLINK("https://ceds.ed.gov/cedselementdetails.aspx?termid=21757")</f>
        <v>https://ceds.ed.gov/cedselementdetails.aspx?termid=21757</v>
      </c>
      <c r="Q2645" s="22">
        <v>59276</v>
      </c>
    </row>
    <row r="2646" spans="1:17" ht="144" x14ac:dyDescent="0.3">
      <c r="A2646" s="22" t="s">
        <v>7839</v>
      </c>
      <c r="B2646" s="22" t="s">
        <v>7845</v>
      </c>
      <c r="C2646" s="22" t="s">
        <v>7860</v>
      </c>
      <c r="D2646" s="22" t="s">
        <v>7710</v>
      </c>
      <c r="E2646" s="22" t="s">
        <v>7091</v>
      </c>
      <c r="F2646" s="24" t="s">
        <v>7092</v>
      </c>
      <c r="G2646" s="26" t="s">
        <v>9157</v>
      </c>
      <c r="H2646" s="22" t="s">
        <v>355</v>
      </c>
      <c r="I2646" s="22"/>
      <c r="J2646" s="22"/>
      <c r="K2646" s="24"/>
      <c r="L2646" s="24"/>
      <c r="M2646" s="25" t="s">
        <v>7093</v>
      </c>
      <c r="N2646" s="22"/>
      <c r="O2646" s="22" t="s">
        <v>7094</v>
      </c>
      <c r="P2646" s="22" t="str">
        <f>HYPERLINK("https://ceds.ed.gov/cedselementdetails.aspx?termid=21748")</f>
        <v>https://ceds.ed.gov/cedselementdetails.aspx?termid=21748</v>
      </c>
      <c r="Q2646" s="22">
        <v>59268</v>
      </c>
    </row>
    <row r="2647" spans="1:17" ht="57.6" x14ac:dyDescent="0.3">
      <c r="A2647" s="22" t="s">
        <v>7839</v>
      </c>
      <c r="B2647" s="22" t="s">
        <v>7845</v>
      </c>
      <c r="C2647" s="22" t="s">
        <v>7860</v>
      </c>
      <c r="D2647" s="22" t="s">
        <v>7710</v>
      </c>
      <c r="E2647" s="22" t="s">
        <v>350</v>
      </c>
      <c r="F2647" s="24" t="s">
        <v>351</v>
      </c>
      <c r="G2647" s="26" t="s">
        <v>8599</v>
      </c>
      <c r="H2647" s="22" t="s">
        <v>355</v>
      </c>
      <c r="I2647" s="22"/>
      <c r="J2647" s="22"/>
      <c r="K2647" s="24"/>
      <c r="L2647" s="24"/>
      <c r="M2647" s="25" t="s">
        <v>353</v>
      </c>
      <c r="N2647" s="22"/>
      <c r="O2647" s="22" t="s">
        <v>354</v>
      </c>
      <c r="P2647" s="22" t="str">
        <f>HYPERLINK("https://ceds.ed.gov/cedselementdetails.aspx?termid=21751")</f>
        <v>https://ceds.ed.gov/cedselementdetails.aspx?termid=21751</v>
      </c>
      <c r="Q2647" s="22">
        <v>59271</v>
      </c>
    </row>
    <row r="2648" spans="1:17" ht="57.6" x14ac:dyDescent="0.3">
      <c r="A2648" s="22" t="s">
        <v>7839</v>
      </c>
      <c r="B2648" s="22" t="s">
        <v>7845</v>
      </c>
      <c r="C2648" s="22" t="s">
        <v>7860</v>
      </c>
      <c r="D2648" s="22" t="s">
        <v>7710</v>
      </c>
      <c r="E2648" s="22" t="s">
        <v>3017</v>
      </c>
      <c r="F2648" s="24" t="s">
        <v>3018</v>
      </c>
      <c r="G2648" s="26" t="s">
        <v>8599</v>
      </c>
      <c r="H2648" s="22" t="s">
        <v>355</v>
      </c>
      <c r="I2648" s="22"/>
      <c r="J2648" s="22"/>
      <c r="K2648" s="24"/>
      <c r="L2648" s="24" t="s">
        <v>3019</v>
      </c>
      <c r="M2648" s="25" t="s">
        <v>3020</v>
      </c>
      <c r="N2648" s="22"/>
      <c r="O2648" s="22" t="s">
        <v>3021</v>
      </c>
      <c r="P2648" s="22" t="str">
        <f>HYPERLINK("https://ceds.ed.gov/cedselementdetails.aspx?termid=21753")</f>
        <v>https://ceds.ed.gov/cedselementdetails.aspx?termid=21753</v>
      </c>
      <c r="Q2648" s="22">
        <v>59272</v>
      </c>
    </row>
    <row r="2649" spans="1:17" ht="57.6" x14ac:dyDescent="0.3">
      <c r="A2649" s="22" t="s">
        <v>7839</v>
      </c>
      <c r="B2649" s="22" t="s">
        <v>7845</v>
      </c>
      <c r="C2649" s="22" t="s">
        <v>7860</v>
      </c>
      <c r="D2649" s="22" t="s">
        <v>7710</v>
      </c>
      <c r="E2649" s="22" t="s">
        <v>5644</v>
      </c>
      <c r="F2649" s="24" t="s">
        <v>5645</v>
      </c>
      <c r="G2649" s="23" t="s">
        <v>32</v>
      </c>
      <c r="H2649" s="22" t="s">
        <v>207</v>
      </c>
      <c r="I2649" s="22"/>
      <c r="J2649" s="22" t="s">
        <v>1518</v>
      </c>
      <c r="K2649" s="24"/>
      <c r="L2649" s="24"/>
      <c r="M2649" s="25" t="s">
        <v>5646</v>
      </c>
      <c r="N2649" s="22"/>
      <c r="O2649" s="22" t="s">
        <v>5647</v>
      </c>
      <c r="P2649" s="22" t="str">
        <f>HYPERLINK("https://ceds.ed.gov/cedselementdetails.aspx?termid=21815")</f>
        <v>https://ceds.ed.gov/cedselementdetails.aspx?termid=21815</v>
      </c>
      <c r="Q2649" s="22">
        <v>63679</v>
      </c>
    </row>
    <row r="2650" spans="1:17" ht="144" x14ac:dyDescent="0.3">
      <c r="A2650" s="22" t="s">
        <v>7839</v>
      </c>
      <c r="B2650" s="22" t="s">
        <v>7845</v>
      </c>
      <c r="C2650" s="22" t="s">
        <v>7861</v>
      </c>
      <c r="D2650" s="22" t="s">
        <v>7710</v>
      </c>
      <c r="E2650" s="22" t="s">
        <v>410</v>
      </c>
      <c r="F2650" s="24" t="s">
        <v>411</v>
      </c>
      <c r="G2650" s="26" t="s">
        <v>8606</v>
      </c>
      <c r="H2650" s="24" t="s">
        <v>93</v>
      </c>
      <c r="I2650" s="22"/>
      <c r="J2650" s="22"/>
      <c r="K2650" s="24"/>
      <c r="L2650" s="24"/>
      <c r="M2650" s="25" t="s">
        <v>413</v>
      </c>
      <c r="N2650" s="22"/>
      <c r="O2650" s="22" t="s">
        <v>414</v>
      </c>
      <c r="P2650" s="22" t="str">
        <f>HYPERLINK("https://ceds.ed.gov/cedselementdetails.aspx?termid=21374")</f>
        <v>https://ceds.ed.gov/cedselementdetails.aspx?termid=21374</v>
      </c>
      <c r="Q2650" s="22">
        <v>61069</v>
      </c>
    </row>
    <row r="2651" spans="1:17" ht="43.2" x14ac:dyDescent="0.3">
      <c r="A2651" s="22" t="s">
        <v>7839</v>
      </c>
      <c r="B2651" s="22" t="s">
        <v>7845</v>
      </c>
      <c r="C2651" s="22" t="s">
        <v>7772</v>
      </c>
      <c r="D2651" s="22" t="s">
        <v>7710</v>
      </c>
      <c r="E2651" s="22" t="s">
        <v>3528</v>
      </c>
      <c r="F2651" s="24" t="s">
        <v>3529</v>
      </c>
      <c r="G2651" s="23" t="s">
        <v>2887</v>
      </c>
      <c r="H2651" s="22"/>
      <c r="I2651" s="22"/>
      <c r="J2651" s="22" t="s">
        <v>2888</v>
      </c>
      <c r="K2651" s="24"/>
      <c r="L2651" s="24"/>
      <c r="M2651" s="25" t="s">
        <v>3531</v>
      </c>
      <c r="N2651" s="22"/>
      <c r="O2651" s="22" t="s">
        <v>3532</v>
      </c>
      <c r="P2651" s="22" t="str">
        <f>HYPERLINK("https://ceds.ed.gov/cedselementdetails.aspx?termid=22070")</f>
        <v>https://ceds.ed.gov/cedselementdetails.aspx?termid=22070</v>
      </c>
      <c r="Q2651" s="22">
        <v>59620</v>
      </c>
    </row>
    <row r="2652" spans="1:17" ht="57.6" x14ac:dyDescent="0.3">
      <c r="A2652" s="22" t="s">
        <v>7839</v>
      </c>
      <c r="B2652" s="22" t="s">
        <v>7845</v>
      </c>
      <c r="C2652" s="22" t="s">
        <v>7772</v>
      </c>
      <c r="D2652" s="22" t="s">
        <v>7710</v>
      </c>
      <c r="E2652" s="22" t="s">
        <v>3519</v>
      </c>
      <c r="F2652" s="24" t="s">
        <v>3520</v>
      </c>
      <c r="G2652" s="23" t="s">
        <v>32</v>
      </c>
      <c r="H2652" s="22" t="s">
        <v>207</v>
      </c>
      <c r="I2652" s="22"/>
      <c r="J2652" s="22" t="s">
        <v>118</v>
      </c>
      <c r="K2652" s="24"/>
      <c r="L2652" s="24" t="s">
        <v>143</v>
      </c>
      <c r="M2652" s="25" t="s">
        <v>3521</v>
      </c>
      <c r="N2652" s="22"/>
      <c r="O2652" s="22" t="s">
        <v>3522</v>
      </c>
      <c r="P2652" s="22" t="str">
        <f>HYPERLINK("https://ceds.ed.gov/cedselementdetails.aspx?termid=21794")</f>
        <v>https://ceds.ed.gov/cedselementdetails.aspx?termid=21794</v>
      </c>
      <c r="Q2652" s="22">
        <v>61702</v>
      </c>
    </row>
    <row r="2653" spans="1:17" ht="57.6" x14ac:dyDescent="0.3">
      <c r="A2653" s="22" t="s">
        <v>7839</v>
      </c>
      <c r="B2653" s="22" t="s">
        <v>7845</v>
      </c>
      <c r="C2653" s="22" t="s">
        <v>7772</v>
      </c>
      <c r="D2653" s="22" t="s">
        <v>7710</v>
      </c>
      <c r="E2653" s="22" t="s">
        <v>3555</v>
      </c>
      <c r="F2653" s="24" t="s">
        <v>3556</v>
      </c>
      <c r="G2653" s="23" t="s">
        <v>32</v>
      </c>
      <c r="H2653" s="24" t="s">
        <v>3559</v>
      </c>
      <c r="I2653" s="22"/>
      <c r="J2653" s="22" t="s">
        <v>118</v>
      </c>
      <c r="K2653" s="24"/>
      <c r="L2653" s="24"/>
      <c r="M2653" s="25" t="s">
        <v>3557</v>
      </c>
      <c r="N2653" s="22"/>
      <c r="O2653" s="22" t="s">
        <v>3558</v>
      </c>
      <c r="P2653" s="22" t="str">
        <f>HYPERLINK("https://ceds.ed.gov/cedselementdetails.aspx?termid=21345")</f>
        <v>https://ceds.ed.gov/cedselementdetails.aspx?termid=21345</v>
      </c>
      <c r="Q2653" s="22">
        <v>61707</v>
      </c>
    </row>
    <row r="2654" spans="1:17" ht="201.6" x14ac:dyDescent="0.3">
      <c r="A2654" s="22" t="s">
        <v>7839</v>
      </c>
      <c r="B2654" s="22" t="s">
        <v>7845</v>
      </c>
      <c r="C2654" s="22" t="s">
        <v>7772</v>
      </c>
      <c r="D2654" s="22" t="s">
        <v>7710</v>
      </c>
      <c r="E2654" s="22" t="s">
        <v>3514</v>
      </c>
      <c r="F2654" s="24" t="s">
        <v>3515</v>
      </c>
      <c r="G2654" s="26" t="s">
        <v>3503</v>
      </c>
      <c r="H2654" s="22" t="s">
        <v>3507</v>
      </c>
      <c r="I2654" s="22"/>
      <c r="J2654" s="22"/>
      <c r="K2654" s="24"/>
      <c r="L2654" s="24" t="s">
        <v>3516</v>
      </c>
      <c r="M2654" s="25" t="s">
        <v>3517</v>
      </c>
      <c r="N2654" s="22"/>
      <c r="O2654" s="22" t="s">
        <v>3518</v>
      </c>
      <c r="P2654" s="22" t="str">
        <f>HYPERLINK("https://ceds.ed.gov/cedselementdetails.aspx?termid=21989")</f>
        <v>https://ceds.ed.gov/cedselementdetails.aspx?termid=21989</v>
      </c>
      <c r="Q2654" s="22">
        <v>59618</v>
      </c>
    </row>
    <row r="2655" spans="1:17" ht="57.6" x14ac:dyDescent="0.3">
      <c r="A2655" s="22" t="s">
        <v>7839</v>
      </c>
      <c r="B2655" s="22" t="s">
        <v>7845</v>
      </c>
      <c r="C2655" s="22" t="s">
        <v>7772</v>
      </c>
      <c r="D2655" s="22" t="s">
        <v>7710</v>
      </c>
      <c r="E2655" s="22" t="s">
        <v>3563</v>
      </c>
      <c r="F2655" s="24" t="s">
        <v>3564</v>
      </c>
      <c r="G2655" s="26" t="s">
        <v>8851</v>
      </c>
      <c r="H2655" s="22"/>
      <c r="I2655" s="22"/>
      <c r="J2655" s="22"/>
      <c r="K2655" s="24"/>
      <c r="L2655" s="24"/>
      <c r="M2655" s="25" t="s">
        <v>3566</v>
      </c>
      <c r="N2655" s="22"/>
      <c r="O2655" s="22" t="s">
        <v>3567</v>
      </c>
      <c r="P2655" s="22" t="str">
        <f>HYPERLINK("https://ceds.ed.gov/cedselementdetails.aspx?termid=22310")</f>
        <v>https://ceds.ed.gov/cedselementdetails.aspx?termid=22310</v>
      </c>
      <c r="Q2655" s="22">
        <v>61156</v>
      </c>
    </row>
    <row r="2656" spans="1:17" ht="230.4" x14ac:dyDescent="0.3">
      <c r="A2656" s="22" t="s">
        <v>7839</v>
      </c>
      <c r="B2656" s="22" t="s">
        <v>7845</v>
      </c>
      <c r="C2656" s="22" t="s">
        <v>7772</v>
      </c>
      <c r="D2656" s="22" t="s">
        <v>7710</v>
      </c>
      <c r="E2656" s="22" t="s">
        <v>3501</v>
      </c>
      <c r="F2656" s="24" t="s">
        <v>3502</v>
      </c>
      <c r="G2656" s="26" t="s">
        <v>3503</v>
      </c>
      <c r="H2656" s="22" t="s">
        <v>3507</v>
      </c>
      <c r="I2656" s="22"/>
      <c r="J2656" s="22"/>
      <c r="K2656" s="24"/>
      <c r="L2656" s="24" t="s">
        <v>8106</v>
      </c>
      <c r="M2656" s="25" t="s">
        <v>3505</v>
      </c>
      <c r="N2656" s="22"/>
      <c r="O2656" s="22" t="s">
        <v>3506</v>
      </c>
      <c r="P2656" s="22" t="str">
        <f>HYPERLINK("https://ceds.ed.gov/cedselementdetails.aspx?termid=21990")</f>
        <v>https://ceds.ed.gov/cedselementdetails.aspx?termid=21990</v>
      </c>
      <c r="Q2656" s="22">
        <v>59616</v>
      </c>
    </row>
    <row r="2657" spans="1:17" ht="216" x14ac:dyDescent="0.3">
      <c r="A2657" s="22" t="s">
        <v>7839</v>
      </c>
      <c r="B2657" s="22" t="s">
        <v>7845</v>
      </c>
      <c r="C2657" s="22" t="s">
        <v>7772</v>
      </c>
      <c r="D2657" s="22" t="s">
        <v>7710</v>
      </c>
      <c r="E2657" s="22" t="s">
        <v>7656</v>
      </c>
      <c r="F2657" s="24" t="s">
        <v>7657</v>
      </c>
      <c r="G2657" s="26" t="s">
        <v>8514</v>
      </c>
      <c r="H2657" s="22"/>
      <c r="I2657" s="22" t="s">
        <v>172</v>
      </c>
      <c r="J2657" s="22"/>
      <c r="K2657" s="24" t="s">
        <v>7995</v>
      </c>
      <c r="L2657" s="24"/>
      <c r="M2657" s="25" t="s">
        <v>7658</v>
      </c>
      <c r="N2657" s="22"/>
      <c r="O2657" s="22" t="s">
        <v>7656</v>
      </c>
      <c r="P2657" s="22" t="str">
        <f>HYPERLINK("https://ceds.ed.gov/cedselementdetails.aspx?termid=22959")</f>
        <v>https://ceds.ed.gov/cedselementdetails.aspx?termid=22959</v>
      </c>
      <c r="Q2657" s="22">
        <v>63664</v>
      </c>
    </row>
    <row r="2658" spans="1:17" ht="187.2" x14ac:dyDescent="0.3">
      <c r="A2658" s="22" t="s">
        <v>7839</v>
      </c>
      <c r="B2658" s="22" t="s">
        <v>7845</v>
      </c>
      <c r="C2658" s="22" t="s">
        <v>7862</v>
      </c>
      <c r="D2658" s="22" t="s">
        <v>7710</v>
      </c>
      <c r="E2658" s="22" t="s">
        <v>7394</v>
      </c>
      <c r="F2658" s="24" t="s">
        <v>7395</v>
      </c>
      <c r="G2658" s="26" t="s">
        <v>9190</v>
      </c>
      <c r="H2658" s="22"/>
      <c r="I2658" s="22"/>
      <c r="J2658" s="22"/>
      <c r="K2658" s="24"/>
      <c r="L2658" s="24"/>
      <c r="M2658" s="25" t="s">
        <v>7397</v>
      </c>
      <c r="N2658" s="22"/>
      <c r="O2658" s="22" t="s">
        <v>7398</v>
      </c>
      <c r="P2658" s="22" t="str">
        <f>HYPERLINK("https://ceds.ed.gov/cedselementdetails.aspx?termid=22471")</f>
        <v>https://ceds.ed.gov/cedselementdetails.aspx?termid=22471</v>
      </c>
      <c r="Q2658" s="22">
        <v>61453</v>
      </c>
    </row>
    <row r="2659" spans="1:17" ht="28.8" x14ac:dyDescent="0.3">
      <c r="A2659" s="22" t="s">
        <v>7839</v>
      </c>
      <c r="B2659" s="22" t="s">
        <v>7845</v>
      </c>
      <c r="C2659" s="22" t="s">
        <v>7862</v>
      </c>
      <c r="D2659" s="22" t="s">
        <v>7710</v>
      </c>
      <c r="E2659" s="22" t="s">
        <v>6157</v>
      </c>
      <c r="F2659" s="24" t="s">
        <v>6158</v>
      </c>
      <c r="G2659" s="23" t="s">
        <v>32</v>
      </c>
      <c r="H2659" s="22"/>
      <c r="I2659" s="22"/>
      <c r="J2659" s="22" t="s">
        <v>113</v>
      </c>
      <c r="K2659" s="24"/>
      <c r="L2659" s="24"/>
      <c r="M2659" s="25" t="s">
        <v>6159</v>
      </c>
      <c r="N2659" s="22"/>
      <c r="O2659" s="22" t="s">
        <v>6160</v>
      </c>
      <c r="P2659" s="22" t="str">
        <f>HYPERLINK("https://ceds.ed.gov/cedselementdetails.aspx?termid=22909")</f>
        <v>https://ceds.ed.gov/cedselementdetails.aspx?termid=22909</v>
      </c>
      <c r="Q2659" s="22">
        <v>63439</v>
      </c>
    </row>
    <row r="2660" spans="1:17" ht="43.2" x14ac:dyDescent="0.3">
      <c r="A2660" s="22" t="s">
        <v>7839</v>
      </c>
      <c r="B2660" s="22" t="s">
        <v>7845</v>
      </c>
      <c r="C2660" s="22" t="s">
        <v>7862</v>
      </c>
      <c r="D2660" s="22" t="s">
        <v>7710</v>
      </c>
      <c r="E2660" s="22" t="s">
        <v>396</v>
      </c>
      <c r="F2660" s="24" t="s">
        <v>7963</v>
      </c>
      <c r="G2660" s="23" t="s">
        <v>32</v>
      </c>
      <c r="H2660" s="24" t="s">
        <v>399</v>
      </c>
      <c r="I2660" s="22"/>
      <c r="J2660" s="22" t="s">
        <v>118</v>
      </c>
      <c r="K2660" s="24"/>
      <c r="L2660" s="24"/>
      <c r="M2660" s="25" t="s">
        <v>397</v>
      </c>
      <c r="N2660" s="22"/>
      <c r="O2660" s="22" t="s">
        <v>398</v>
      </c>
      <c r="P2660" s="22" t="str">
        <f>HYPERLINK("https://ceds.ed.gov/cedselementdetails.aspx?termid=21323")</f>
        <v>https://ceds.ed.gov/cedselementdetails.aspx?termid=21323</v>
      </c>
      <c r="Q2660" s="22">
        <v>63675</v>
      </c>
    </row>
    <row r="2661" spans="1:17" ht="244.8" x14ac:dyDescent="0.3">
      <c r="A2661" s="22" t="s">
        <v>7839</v>
      </c>
      <c r="B2661" s="22" t="s">
        <v>7845</v>
      </c>
      <c r="C2661" s="22" t="s">
        <v>7862</v>
      </c>
      <c r="D2661" s="22" t="s">
        <v>7710</v>
      </c>
      <c r="E2661" s="22" t="s">
        <v>1925</v>
      </c>
      <c r="F2661" s="24" t="s">
        <v>1926</v>
      </c>
      <c r="G2661" s="26" t="s">
        <v>8710</v>
      </c>
      <c r="H2661" s="22"/>
      <c r="I2661" s="22"/>
      <c r="J2661" s="22"/>
      <c r="K2661" s="24"/>
      <c r="L2661" s="24" t="s">
        <v>8034</v>
      </c>
      <c r="M2661" s="25" t="s">
        <v>1927</v>
      </c>
      <c r="N2661" s="22"/>
      <c r="O2661" s="22" t="s">
        <v>1928</v>
      </c>
      <c r="P2661" s="22" t="str">
        <f>HYPERLINK("https://ceds.ed.gov/cedselementdetails.aspx?termid=22254")</f>
        <v>https://ceds.ed.gov/cedselementdetails.aspx?termid=22254</v>
      </c>
      <c r="Q2661" s="22">
        <v>63676</v>
      </c>
    </row>
    <row r="2662" spans="1:17" ht="409.6" x14ac:dyDescent="0.3">
      <c r="A2662" s="22" t="s">
        <v>7839</v>
      </c>
      <c r="B2662" s="22" t="s">
        <v>7845</v>
      </c>
      <c r="C2662" s="22" t="s">
        <v>7862</v>
      </c>
      <c r="D2662" s="22" t="s">
        <v>7710</v>
      </c>
      <c r="E2662" s="22" t="s">
        <v>7048</v>
      </c>
      <c r="F2662" s="24" t="s">
        <v>7049</v>
      </c>
      <c r="G2662" s="26" t="s">
        <v>8542</v>
      </c>
      <c r="H2662" s="22"/>
      <c r="I2662" s="22" t="s">
        <v>172</v>
      </c>
      <c r="J2662" s="22"/>
      <c r="K2662" s="24" t="s">
        <v>7946</v>
      </c>
      <c r="L2662" s="24" t="s">
        <v>7050</v>
      </c>
      <c r="M2662" s="25" t="s">
        <v>7051</v>
      </c>
      <c r="N2662" s="22"/>
      <c r="O2662" s="22" t="s">
        <v>7052</v>
      </c>
      <c r="P2662" s="22" t="str">
        <f>HYPERLINK("https://ceds.ed.gov/cedselementdetails.aspx?termid=21273")</f>
        <v>https://ceds.ed.gov/cedselementdetails.aspx?termid=21273</v>
      </c>
      <c r="Q2662" s="22">
        <v>63677</v>
      </c>
    </row>
    <row r="2663" spans="1:17" ht="100.8" x14ac:dyDescent="0.3">
      <c r="A2663" s="22" t="s">
        <v>7839</v>
      </c>
      <c r="B2663" s="22" t="s">
        <v>7845</v>
      </c>
      <c r="C2663" s="22" t="s">
        <v>7862</v>
      </c>
      <c r="D2663" s="22" t="s">
        <v>7741</v>
      </c>
      <c r="E2663" s="22" t="s">
        <v>8333</v>
      </c>
      <c r="F2663" s="24" t="s">
        <v>8334</v>
      </c>
      <c r="G2663" s="26" t="s">
        <v>8383</v>
      </c>
      <c r="H2663" s="22"/>
      <c r="I2663" s="22" t="s">
        <v>167</v>
      </c>
      <c r="J2663" s="22" t="s">
        <v>2</v>
      </c>
      <c r="K2663" s="24" t="s">
        <v>7949</v>
      </c>
      <c r="L2663" s="24"/>
      <c r="M2663" s="25" t="s">
        <v>8373</v>
      </c>
      <c r="N2663" s="22"/>
      <c r="O2663" s="22" t="s">
        <v>8335</v>
      </c>
      <c r="P2663" s="22" t="str">
        <f>HYPERLINK("https://ceds.ed.gov/cedselementdetails.aspx?termid=22994")</f>
        <v>https://ceds.ed.gov/cedselementdetails.aspx?termid=22994</v>
      </c>
      <c r="Q2663" s="22">
        <v>63953</v>
      </c>
    </row>
    <row r="2664" spans="1:17" ht="115.2" x14ac:dyDescent="0.3">
      <c r="A2664" s="22" t="s">
        <v>7839</v>
      </c>
      <c r="B2664" s="22" t="s">
        <v>7845</v>
      </c>
      <c r="C2664" s="22" t="s">
        <v>7754</v>
      </c>
      <c r="D2664" s="22" t="s">
        <v>7710</v>
      </c>
      <c r="E2664" s="22" t="s">
        <v>4923</v>
      </c>
      <c r="F2664" s="24" t="s">
        <v>4924</v>
      </c>
      <c r="G2664" s="23" t="s">
        <v>7423</v>
      </c>
      <c r="H2664" s="24" t="s">
        <v>4927</v>
      </c>
      <c r="I2664" s="22"/>
      <c r="J2664" s="22"/>
      <c r="K2664" s="24"/>
      <c r="L2664" s="24" t="s">
        <v>7994</v>
      </c>
      <c r="M2664" s="25" t="s">
        <v>4925</v>
      </c>
      <c r="N2664" s="22"/>
      <c r="O2664" s="22" t="s">
        <v>4926</v>
      </c>
      <c r="P2664" s="22" t="str">
        <f>HYPERLINK("https://ceds.ed.gov/cedselementdetails.aspx?termid=21317")</f>
        <v>https://ceds.ed.gov/cedselementdetails.aspx?termid=21317</v>
      </c>
      <c r="Q2664" s="22">
        <v>63435</v>
      </c>
    </row>
    <row r="2665" spans="1:17" ht="115.2" x14ac:dyDescent="0.3">
      <c r="A2665" s="22" t="s">
        <v>7839</v>
      </c>
      <c r="B2665" s="22" t="s">
        <v>7845</v>
      </c>
      <c r="C2665" s="22" t="s">
        <v>7754</v>
      </c>
      <c r="D2665" s="22" t="s">
        <v>7710</v>
      </c>
      <c r="E2665" s="22" t="s">
        <v>4928</v>
      </c>
      <c r="F2665" s="24" t="s">
        <v>4924</v>
      </c>
      <c r="G2665" s="23" t="s">
        <v>7423</v>
      </c>
      <c r="H2665" s="22"/>
      <c r="I2665" s="22" t="s">
        <v>172</v>
      </c>
      <c r="J2665" s="22"/>
      <c r="K2665" s="24" t="s">
        <v>8231</v>
      </c>
      <c r="L2665" s="24" t="s">
        <v>8232</v>
      </c>
      <c r="M2665" s="25" t="s">
        <v>4929</v>
      </c>
      <c r="N2665" s="22"/>
      <c r="O2665" s="22" t="s">
        <v>4930</v>
      </c>
      <c r="P2665" s="22" t="str">
        <f>HYPERLINK("https://ceds.ed.gov/cedselementdetails.aspx?termid=22618")</f>
        <v>https://ceds.ed.gov/cedselementdetails.aspx?termid=22618</v>
      </c>
      <c r="Q2665" s="22">
        <v>63436</v>
      </c>
    </row>
    <row r="2666" spans="1:17" ht="409.6" x14ac:dyDescent="0.3">
      <c r="A2666" s="22" t="s">
        <v>7839</v>
      </c>
      <c r="B2666" s="22" t="s">
        <v>7845</v>
      </c>
      <c r="C2666" s="22" t="s">
        <v>7754</v>
      </c>
      <c r="D2666" s="22" t="s">
        <v>7710</v>
      </c>
      <c r="E2666" s="22" t="s">
        <v>4931</v>
      </c>
      <c r="F2666" s="24" t="s">
        <v>4932</v>
      </c>
      <c r="G2666" s="26" t="s">
        <v>8988</v>
      </c>
      <c r="H2666" s="22"/>
      <c r="I2666" s="22"/>
      <c r="J2666" s="22"/>
      <c r="K2666" s="24"/>
      <c r="L2666" s="24" t="s">
        <v>8233</v>
      </c>
      <c r="M2666" s="25" t="s">
        <v>4933</v>
      </c>
      <c r="N2666" s="22"/>
      <c r="O2666" s="22" t="s">
        <v>4934</v>
      </c>
      <c r="P2666" s="22" t="str">
        <f>HYPERLINK("https://ceds.ed.gov/cedselementdetails.aspx?termid=22619")</f>
        <v>https://ceds.ed.gov/cedselementdetails.aspx?termid=22619</v>
      </c>
      <c r="Q2666" s="22">
        <v>63437</v>
      </c>
    </row>
    <row r="2667" spans="1:17" ht="129.6" x14ac:dyDescent="0.3">
      <c r="A2667" s="22" t="s">
        <v>7839</v>
      </c>
      <c r="B2667" s="22" t="s">
        <v>7845</v>
      </c>
      <c r="C2667" s="22" t="s">
        <v>7754</v>
      </c>
      <c r="D2667" s="22" t="s">
        <v>7710</v>
      </c>
      <c r="E2667" s="22" t="s">
        <v>4965</v>
      </c>
      <c r="F2667" s="24" t="s">
        <v>4966</v>
      </c>
      <c r="G2667" s="26" t="s">
        <v>8993</v>
      </c>
      <c r="H2667" s="24" t="s">
        <v>4927</v>
      </c>
      <c r="I2667" s="22"/>
      <c r="J2667" s="22"/>
      <c r="K2667" s="24"/>
      <c r="L2667" s="24"/>
      <c r="M2667" s="25" t="s">
        <v>4967</v>
      </c>
      <c r="N2667" s="22"/>
      <c r="O2667" s="22" t="s">
        <v>4968</v>
      </c>
      <c r="P2667" s="22" t="str">
        <f>HYPERLINK("https://ceds.ed.gov/cedselementdetails.aspx?termid=21316")</f>
        <v>https://ceds.ed.gov/cedselementdetails.aspx?termid=21316</v>
      </c>
      <c r="Q2667" s="22">
        <v>63438</v>
      </c>
    </row>
    <row r="2668" spans="1:17" ht="57.6" x14ac:dyDescent="0.3">
      <c r="A2668" s="22" t="s">
        <v>7839</v>
      </c>
      <c r="B2668" s="22" t="s">
        <v>7845</v>
      </c>
      <c r="C2668" s="22" t="s">
        <v>7766</v>
      </c>
      <c r="D2668" s="22" t="s">
        <v>7710</v>
      </c>
      <c r="E2668" s="22" t="s">
        <v>3037</v>
      </c>
      <c r="F2668" s="24" t="s">
        <v>3038</v>
      </c>
      <c r="G2668" s="26" t="s">
        <v>3039</v>
      </c>
      <c r="H2668" s="24" t="s">
        <v>399</v>
      </c>
      <c r="I2668" s="22"/>
      <c r="J2668" s="22"/>
      <c r="K2668" s="24"/>
      <c r="L2668" s="24"/>
      <c r="M2668" s="25" t="s">
        <v>3040</v>
      </c>
      <c r="N2668" s="22"/>
      <c r="O2668" s="22" t="s">
        <v>3041</v>
      </c>
      <c r="P2668" s="22" t="str">
        <f>HYPERLINK("https://ceds.ed.gov/cedselementdetails.aspx?termid=21328")</f>
        <v>https://ceds.ed.gov/cedselementdetails.aspx?termid=21328</v>
      </c>
      <c r="Q2668" s="22">
        <v>63440</v>
      </c>
    </row>
    <row r="2669" spans="1:17" ht="409.6" x14ac:dyDescent="0.3">
      <c r="A2669" s="22" t="s">
        <v>7839</v>
      </c>
      <c r="B2669" s="22" t="s">
        <v>7845</v>
      </c>
      <c r="C2669" s="22" t="s">
        <v>7766</v>
      </c>
      <c r="D2669" s="22" t="s">
        <v>7710</v>
      </c>
      <c r="E2669" s="22" t="s">
        <v>5851</v>
      </c>
      <c r="F2669" s="24" t="s">
        <v>5852</v>
      </c>
      <c r="G2669" s="26" t="s">
        <v>9062</v>
      </c>
      <c r="H2669" s="22" t="s">
        <v>1553</v>
      </c>
      <c r="I2669" s="22"/>
      <c r="J2669" s="22"/>
      <c r="K2669" s="24"/>
      <c r="L2669" s="24" t="s">
        <v>5853</v>
      </c>
      <c r="M2669" s="25" t="s">
        <v>5854</v>
      </c>
      <c r="N2669" s="22"/>
      <c r="O2669" s="22" t="s">
        <v>5855</v>
      </c>
      <c r="P2669" s="22" t="str">
        <f>HYPERLINK("https://ceds.ed.gov/cedselementdetails.aspx?termid=21415")</f>
        <v>https://ceds.ed.gov/cedselementdetails.aspx?termid=21415</v>
      </c>
      <c r="Q2669" s="22">
        <v>63441</v>
      </c>
    </row>
    <row r="2670" spans="1:17" ht="43.2" x14ac:dyDescent="0.3">
      <c r="A2670" s="22" t="s">
        <v>7839</v>
      </c>
      <c r="B2670" s="22" t="s">
        <v>7845</v>
      </c>
      <c r="C2670" s="22" t="s">
        <v>4</v>
      </c>
      <c r="D2670" s="22" t="s">
        <v>7710</v>
      </c>
      <c r="E2670" s="22" t="s">
        <v>1527</v>
      </c>
      <c r="F2670" s="24" t="s">
        <v>1528</v>
      </c>
      <c r="G2670" s="26" t="s">
        <v>22</v>
      </c>
      <c r="H2670" s="22"/>
      <c r="I2670" s="22"/>
      <c r="J2670" s="22"/>
      <c r="K2670" s="24"/>
      <c r="L2670" s="24"/>
      <c r="M2670" s="25" t="s">
        <v>1529</v>
      </c>
      <c r="N2670" s="22"/>
      <c r="O2670" s="22" t="s">
        <v>1530</v>
      </c>
      <c r="P2670" s="22" t="str">
        <f>HYPERLINK("https://ceds.ed.gov/cedselementdetails.aspx?termid=22903")</f>
        <v>https://ceds.ed.gov/cedselementdetails.aspx?termid=22903</v>
      </c>
      <c r="Q2670" s="22">
        <v>63442</v>
      </c>
    </row>
    <row r="2671" spans="1:17" ht="57.6" x14ac:dyDescent="0.3">
      <c r="A2671" s="22" t="s">
        <v>7839</v>
      </c>
      <c r="B2671" s="22" t="s">
        <v>7845</v>
      </c>
      <c r="C2671" s="22" t="s">
        <v>4</v>
      </c>
      <c r="D2671" s="22" t="s">
        <v>7710</v>
      </c>
      <c r="E2671" s="22" t="s">
        <v>6262</v>
      </c>
      <c r="F2671" s="24" t="s">
        <v>6263</v>
      </c>
      <c r="G2671" s="26" t="s">
        <v>22</v>
      </c>
      <c r="H2671" s="22"/>
      <c r="I2671" s="22"/>
      <c r="J2671" s="22"/>
      <c r="K2671" s="24"/>
      <c r="L2671" s="24"/>
      <c r="M2671" s="25" t="s">
        <v>6264</v>
      </c>
      <c r="N2671" s="22"/>
      <c r="O2671" s="22" t="s">
        <v>6265</v>
      </c>
      <c r="P2671" s="22" t="str">
        <f>HYPERLINK("https://ceds.ed.gov/cedselementdetails.aspx?termid=21760")</f>
        <v>https://ceds.ed.gov/cedselementdetails.aspx?termid=21760</v>
      </c>
      <c r="Q2671" s="22">
        <v>63443</v>
      </c>
    </row>
    <row r="2672" spans="1:17" ht="72" x14ac:dyDescent="0.3">
      <c r="A2672" s="22" t="s">
        <v>7839</v>
      </c>
      <c r="B2672" s="22" t="s">
        <v>7845</v>
      </c>
      <c r="C2672" s="22" t="s">
        <v>4</v>
      </c>
      <c r="D2672" s="22" t="s">
        <v>7710</v>
      </c>
      <c r="E2672" s="22" t="s">
        <v>5489</v>
      </c>
      <c r="F2672" s="24" t="s">
        <v>5490</v>
      </c>
      <c r="G2672" s="26" t="s">
        <v>8477</v>
      </c>
      <c r="H2672" s="22"/>
      <c r="I2672" s="22" t="s">
        <v>172</v>
      </c>
      <c r="J2672" s="22"/>
      <c r="K2672" s="24" t="s">
        <v>7946</v>
      </c>
      <c r="L2672" s="24"/>
      <c r="M2672" s="25" t="s">
        <v>5491</v>
      </c>
      <c r="N2672" s="22"/>
      <c r="O2672" s="22" t="s">
        <v>5492</v>
      </c>
      <c r="P2672" s="22" t="str">
        <f>HYPERLINK("https://ceds.ed.gov/cedselementdetails.aspx?termid=22555")</f>
        <v>https://ceds.ed.gov/cedselementdetails.aspx?termid=22555</v>
      </c>
      <c r="Q2672" s="22">
        <v>63678</v>
      </c>
    </row>
    <row r="2673" spans="1:17" ht="57.6" x14ac:dyDescent="0.3">
      <c r="A2673" s="22" t="s">
        <v>7839</v>
      </c>
      <c r="B2673" s="22" t="s">
        <v>7845</v>
      </c>
      <c r="C2673" s="22" t="s">
        <v>7767</v>
      </c>
      <c r="D2673" s="22" t="s">
        <v>7710</v>
      </c>
      <c r="E2673" s="22" t="s">
        <v>7559</v>
      </c>
      <c r="F2673" s="24" t="s">
        <v>7560</v>
      </c>
      <c r="G2673" s="23" t="s">
        <v>32</v>
      </c>
      <c r="H2673" s="22"/>
      <c r="I2673" s="22"/>
      <c r="J2673" s="22" t="s">
        <v>148</v>
      </c>
      <c r="K2673" s="24"/>
      <c r="L2673" s="24" t="s">
        <v>7561</v>
      </c>
      <c r="M2673" s="25" t="s">
        <v>7562</v>
      </c>
      <c r="N2673" s="22"/>
      <c r="O2673" s="22" t="s">
        <v>7563</v>
      </c>
      <c r="P2673" s="22" t="str">
        <f>HYPERLINK("https://ceds.ed.gov/cedselementdetails.aspx?termid=22938")</f>
        <v>https://ceds.ed.gov/cedselementdetails.aspx?termid=22938</v>
      </c>
      <c r="Q2673" s="22">
        <v>63657</v>
      </c>
    </row>
    <row r="2674" spans="1:17" ht="43.2" x14ac:dyDescent="0.3">
      <c r="A2674" s="22" t="s">
        <v>7839</v>
      </c>
      <c r="B2674" s="22" t="s">
        <v>7845</v>
      </c>
      <c r="C2674" s="22" t="s">
        <v>7767</v>
      </c>
      <c r="D2674" s="22" t="s">
        <v>7710</v>
      </c>
      <c r="E2674" s="22" t="s">
        <v>7569</v>
      </c>
      <c r="F2674" s="24" t="s">
        <v>7570</v>
      </c>
      <c r="G2674" s="23" t="s">
        <v>32</v>
      </c>
      <c r="H2674" s="22"/>
      <c r="I2674" s="22"/>
      <c r="J2674" s="22" t="s">
        <v>845</v>
      </c>
      <c r="K2674" s="24"/>
      <c r="L2674" s="24" t="s">
        <v>7571</v>
      </c>
      <c r="M2674" s="25" t="s">
        <v>7572</v>
      </c>
      <c r="N2674" s="22"/>
      <c r="O2674" s="22" t="s">
        <v>7573</v>
      </c>
      <c r="P2674" s="22" t="str">
        <f>HYPERLINK("https://ceds.ed.gov/cedselementdetails.aspx?termid=22940")</f>
        <v>https://ceds.ed.gov/cedselementdetails.aspx?termid=22940</v>
      </c>
      <c r="Q2674" s="22">
        <v>63658</v>
      </c>
    </row>
    <row r="2675" spans="1:17" ht="57.6" x14ac:dyDescent="0.3">
      <c r="A2675" s="22" t="s">
        <v>7839</v>
      </c>
      <c r="B2675" s="22" t="s">
        <v>7845</v>
      </c>
      <c r="C2675" s="22" t="s">
        <v>7767</v>
      </c>
      <c r="D2675" s="22" t="s">
        <v>7710</v>
      </c>
      <c r="E2675" s="22" t="s">
        <v>7574</v>
      </c>
      <c r="F2675" s="24" t="s">
        <v>7575</v>
      </c>
      <c r="G2675" s="23" t="s">
        <v>32</v>
      </c>
      <c r="H2675" s="22"/>
      <c r="I2675" s="22"/>
      <c r="J2675" s="22" t="s">
        <v>148</v>
      </c>
      <c r="K2675" s="24"/>
      <c r="L2675" s="24" t="s">
        <v>7576</v>
      </c>
      <c r="M2675" s="25" t="s">
        <v>7577</v>
      </c>
      <c r="N2675" s="22"/>
      <c r="O2675" s="22" t="s">
        <v>7578</v>
      </c>
      <c r="P2675" s="22" t="str">
        <f>HYPERLINK("https://ceds.ed.gov/cedselementdetails.aspx?termid=22941")</f>
        <v>https://ceds.ed.gov/cedselementdetails.aspx?termid=22941</v>
      </c>
      <c r="Q2675" s="22">
        <v>63659</v>
      </c>
    </row>
    <row r="2676" spans="1:17" ht="86.4" x14ac:dyDescent="0.3">
      <c r="A2676" s="22" t="s">
        <v>7839</v>
      </c>
      <c r="B2676" s="22" t="s">
        <v>7845</v>
      </c>
      <c r="C2676" s="22" t="s">
        <v>7817</v>
      </c>
      <c r="D2676" s="22" t="s">
        <v>7710</v>
      </c>
      <c r="E2676" s="22" t="s">
        <v>3442</v>
      </c>
      <c r="F2676" s="24" t="s">
        <v>3443</v>
      </c>
      <c r="G2676" s="26" t="s">
        <v>22</v>
      </c>
      <c r="H2676" s="24" t="s">
        <v>1901</v>
      </c>
      <c r="I2676" s="22"/>
      <c r="J2676" s="22"/>
      <c r="K2676" s="24"/>
      <c r="L2676" s="24"/>
      <c r="M2676" s="25" t="s">
        <v>3445</v>
      </c>
      <c r="N2676" s="22"/>
      <c r="O2676" s="22" t="s">
        <v>3446</v>
      </c>
      <c r="P2676" s="22" t="str">
        <f>HYPERLINK("https://ceds.ed.gov/cedselementdetails.aspx?termid=21086")</f>
        <v>https://ceds.ed.gov/cedselementdetails.aspx?termid=21086</v>
      </c>
      <c r="Q2676" s="22">
        <v>63661</v>
      </c>
    </row>
    <row r="2677" spans="1:17" ht="374.4" x14ac:dyDescent="0.3">
      <c r="A2677" s="22" t="s">
        <v>7839</v>
      </c>
      <c r="B2677" s="22" t="s">
        <v>7845</v>
      </c>
      <c r="C2677" s="22" t="s">
        <v>7817</v>
      </c>
      <c r="D2677" s="22" t="s">
        <v>7710</v>
      </c>
      <c r="E2677" s="22" t="s">
        <v>7004</v>
      </c>
      <c r="F2677" s="24" t="s">
        <v>7005</v>
      </c>
      <c r="G2677" s="23" t="s">
        <v>32</v>
      </c>
      <c r="H2677" s="22"/>
      <c r="I2677" s="22"/>
      <c r="J2677" s="22" t="s">
        <v>118</v>
      </c>
      <c r="K2677" s="24"/>
      <c r="L2677" s="24" t="s">
        <v>8332</v>
      </c>
      <c r="M2677" s="25" t="s">
        <v>7006</v>
      </c>
      <c r="N2677" s="22"/>
      <c r="O2677" s="22" t="s">
        <v>7007</v>
      </c>
      <c r="P2677" s="22" t="str">
        <f>HYPERLINK("https://ceds.ed.gov/cedselementdetails.aspx?termid=22193")</f>
        <v>https://ceds.ed.gov/cedselementdetails.aspx?termid=22193</v>
      </c>
      <c r="Q2677" s="22">
        <v>63662</v>
      </c>
    </row>
    <row r="2678" spans="1:17" ht="28.8" x14ac:dyDescent="0.3">
      <c r="A2678" s="22" t="s">
        <v>7839</v>
      </c>
      <c r="B2678" s="22" t="s">
        <v>7845</v>
      </c>
      <c r="C2678" s="22" t="s">
        <v>7817</v>
      </c>
      <c r="D2678" s="22" t="s">
        <v>7710</v>
      </c>
      <c r="E2678" s="22" t="s">
        <v>7008</v>
      </c>
      <c r="F2678" s="24" t="s">
        <v>7009</v>
      </c>
      <c r="G2678" s="23" t="s">
        <v>32</v>
      </c>
      <c r="H2678" s="22"/>
      <c r="I2678" s="22"/>
      <c r="J2678" s="22" t="s">
        <v>118</v>
      </c>
      <c r="K2678" s="24"/>
      <c r="L2678" s="24"/>
      <c r="M2678" s="25" t="s">
        <v>7010</v>
      </c>
      <c r="N2678" s="22"/>
      <c r="O2678" s="22" t="s">
        <v>7011</v>
      </c>
      <c r="P2678" s="22" t="str">
        <f>HYPERLINK("https://ceds.ed.gov/cedselementdetails.aspx?termid=22192")</f>
        <v>https://ceds.ed.gov/cedselementdetails.aspx?termid=22192</v>
      </c>
      <c r="Q2678" s="22">
        <v>63663</v>
      </c>
    </row>
    <row r="2679" spans="1:17" ht="57.6" x14ac:dyDescent="0.3">
      <c r="A2679" s="22" t="s">
        <v>7839</v>
      </c>
      <c r="B2679" s="22" t="s">
        <v>7845</v>
      </c>
      <c r="C2679" s="22" t="s">
        <v>7771</v>
      </c>
      <c r="D2679" s="22" t="s">
        <v>7710</v>
      </c>
      <c r="E2679" s="22" t="s">
        <v>7615</v>
      </c>
      <c r="F2679" s="24" t="s">
        <v>7616</v>
      </c>
      <c r="G2679" s="23" t="s">
        <v>32</v>
      </c>
      <c r="H2679" s="22"/>
      <c r="I2679" s="22"/>
      <c r="J2679" s="22" t="s">
        <v>317</v>
      </c>
      <c r="K2679" s="24"/>
      <c r="L2679" s="24" t="s">
        <v>7617</v>
      </c>
      <c r="M2679" s="25" t="s">
        <v>7618</v>
      </c>
      <c r="N2679" s="22"/>
      <c r="O2679" s="22" t="s">
        <v>7619</v>
      </c>
      <c r="P2679" s="22" t="str">
        <f>HYPERLINK("https://ceds.ed.gov/cedselementdetails.aspx?termid=22950")</f>
        <v>https://ceds.ed.gov/cedselementdetails.aspx?termid=22950</v>
      </c>
      <c r="Q2679" s="22">
        <v>63665</v>
      </c>
    </row>
    <row r="2680" spans="1:17" ht="86.4" x14ac:dyDescent="0.3">
      <c r="A2680" s="22" t="s">
        <v>7839</v>
      </c>
      <c r="B2680" s="22" t="s">
        <v>7845</v>
      </c>
      <c r="C2680" s="22" t="s">
        <v>7771</v>
      </c>
      <c r="D2680" s="22" t="s">
        <v>7710</v>
      </c>
      <c r="E2680" s="22" t="s">
        <v>5635</v>
      </c>
      <c r="F2680" s="24" t="s">
        <v>5636</v>
      </c>
      <c r="G2680" s="23" t="s">
        <v>32</v>
      </c>
      <c r="H2680" s="22" t="s">
        <v>3099</v>
      </c>
      <c r="I2680" s="22"/>
      <c r="J2680" s="22" t="s">
        <v>317</v>
      </c>
      <c r="K2680" s="24"/>
      <c r="L2680" s="24" t="s">
        <v>7620</v>
      </c>
      <c r="M2680" s="25" t="s">
        <v>5637</v>
      </c>
      <c r="N2680" s="22"/>
      <c r="O2680" s="22" t="s">
        <v>5638</v>
      </c>
      <c r="P2680" s="22" t="str">
        <f>HYPERLINK("https://ceds.ed.gov/cedselementdetails.aspx?termid=21330")</f>
        <v>https://ceds.ed.gov/cedselementdetails.aspx?termid=21330</v>
      </c>
      <c r="Q2680" s="22">
        <v>63666</v>
      </c>
    </row>
    <row r="2681" spans="1:17" ht="374.4" x14ac:dyDescent="0.3">
      <c r="A2681" s="22" t="s">
        <v>7839</v>
      </c>
      <c r="B2681" s="22" t="s">
        <v>7845</v>
      </c>
      <c r="C2681" s="22" t="s">
        <v>7765</v>
      </c>
      <c r="D2681" s="22" t="s">
        <v>7710</v>
      </c>
      <c r="E2681" s="22" t="s">
        <v>4363</v>
      </c>
      <c r="F2681" s="24" t="s">
        <v>4364</v>
      </c>
      <c r="G2681" s="26" t="s">
        <v>22</v>
      </c>
      <c r="H2681" s="24" t="s">
        <v>4367</v>
      </c>
      <c r="I2681" s="22"/>
      <c r="J2681" s="22"/>
      <c r="K2681" s="24"/>
      <c r="L2681" s="24"/>
      <c r="M2681" s="25" t="s">
        <v>4365</v>
      </c>
      <c r="N2681" s="22"/>
      <c r="O2681" s="22" t="s">
        <v>4366</v>
      </c>
      <c r="P2681" s="22" t="str">
        <f>HYPERLINK("https://ceds.ed.gov/cedselementdetails.aspx?termid=21149")</f>
        <v>https://ceds.ed.gov/cedselementdetails.aspx?termid=21149</v>
      </c>
      <c r="Q2681" s="22">
        <v>63667</v>
      </c>
    </row>
    <row r="2682" spans="1:17" ht="374.4" x14ac:dyDescent="0.3">
      <c r="A2682" s="22" t="s">
        <v>7839</v>
      </c>
      <c r="B2682" s="22" t="s">
        <v>7845</v>
      </c>
      <c r="C2682" s="22" t="s">
        <v>7765</v>
      </c>
      <c r="D2682" s="22" t="s">
        <v>7710</v>
      </c>
      <c r="E2682" s="22" t="s">
        <v>7004</v>
      </c>
      <c r="F2682" s="24" t="s">
        <v>7005</v>
      </c>
      <c r="G2682" s="23" t="s">
        <v>32</v>
      </c>
      <c r="H2682" s="22"/>
      <c r="I2682" s="22"/>
      <c r="J2682" s="22" t="s">
        <v>118</v>
      </c>
      <c r="K2682" s="24"/>
      <c r="L2682" s="24" t="s">
        <v>8332</v>
      </c>
      <c r="M2682" s="25" t="s">
        <v>7006</v>
      </c>
      <c r="N2682" s="22"/>
      <c r="O2682" s="22" t="s">
        <v>7007</v>
      </c>
      <c r="P2682" s="22" t="str">
        <f>HYPERLINK("https://ceds.ed.gov/cedselementdetails.aspx?termid=22193")</f>
        <v>https://ceds.ed.gov/cedselementdetails.aspx?termid=22193</v>
      </c>
      <c r="Q2682" s="22">
        <v>63668</v>
      </c>
    </row>
    <row r="2683" spans="1:17" ht="28.8" x14ac:dyDescent="0.3">
      <c r="A2683" s="22" t="s">
        <v>7839</v>
      </c>
      <c r="B2683" s="22" t="s">
        <v>7845</v>
      </c>
      <c r="C2683" s="22" t="s">
        <v>7765</v>
      </c>
      <c r="D2683" s="22" t="s">
        <v>7710</v>
      </c>
      <c r="E2683" s="22" t="s">
        <v>7008</v>
      </c>
      <c r="F2683" s="24" t="s">
        <v>7009</v>
      </c>
      <c r="G2683" s="23" t="s">
        <v>32</v>
      </c>
      <c r="H2683" s="22"/>
      <c r="I2683" s="22"/>
      <c r="J2683" s="22" t="s">
        <v>118</v>
      </c>
      <c r="K2683" s="24"/>
      <c r="L2683" s="24"/>
      <c r="M2683" s="25" t="s">
        <v>7010</v>
      </c>
      <c r="N2683" s="22"/>
      <c r="O2683" s="22" t="s">
        <v>7011</v>
      </c>
      <c r="P2683" s="22" t="str">
        <f>HYPERLINK("https://ceds.ed.gov/cedselementdetails.aspx?termid=22192")</f>
        <v>https://ceds.ed.gov/cedselementdetails.aspx?termid=22192</v>
      </c>
      <c r="Q2683" s="22">
        <v>63669</v>
      </c>
    </row>
    <row r="2684" spans="1:17" ht="230.4" x14ac:dyDescent="0.3">
      <c r="A2684" s="22" t="s">
        <v>7839</v>
      </c>
      <c r="B2684" s="22" t="s">
        <v>7845</v>
      </c>
      <c r="C2684" s="22" t="s">
        <v>7823</v>
      </c>
      <c r="D2684" s="22" t="s">
        <v>7710</v>
      </c>
      <c r="E2684" s="22" t="s">
        <v>5474</v>
      </c>
      <c r="F2684" s="24" t="s">
        <v>5475</v>
      </c>
      <c r="G2684" s="26" t="s">
        <v>22</v>
      </c>
      <c r="H2684" s="24" t="s">
        <v>1901</v>
      </c>
      <c r="I2684" s="22"/>
      <c r="J2684" s="22"/>
      <c r="K2684" s="24"/>
      <c r="L2684" s="24"/>
      <c r="M2684" s="25" t="s">
        <v>5476</v>
      </c>
      <c r="N2684" s="22"/>
      <c r="O2684" s="22" t="s">
        <v>5477</v>
      </c>
      <c r="P2684" s="22" t="str">
        <f>HYPERLINK("https://ceds.ed.gov/cedselementdetails.aspx?termid=21189")</f>
        <v>https://ceds.ed.gov/cedselementdetails.aspx?termid=21189</v>
      </c>
      <c r="Q2684" s="22">
        <v>63674</v>
      </c>
    </row>
    <row r="2685" spans="1:17" ht="158.4" x14ac:dyDescent="0.3">
      <c r="A2685" s="22" t="s">
        <v>7839</v>
      </c>
      <c r="B2685" s="22" t="s">
        <v>7768</v>
      </c>
      <c r="C2685" s="22" t="s">
        <v>7738</v>
      </c>
      <c r="D2685" s="22" t="s">
        <v>7710</v>
      </c>
      <c r="E2685" s="22" t="s">
        <v>4050</v>
      </c>
      <c r="F2685" s="24" t="s">
        <v>4051</v>
      </c>
      <c r="G2685" s="23" t="s">
        <v>32</v>
      </c>
      <c r="H2685" s="24" t="s">
        <v>4054</v>
      </c>
      <c r="I2685" s="22"/>
      <c r="J2685" s="22" t="s">
        <v>7536</v>
      </c>
      <c r="K2685" s="24"/>
      <c r="L2685" s="24" t="s">
        <v>8200</v>
      </c>
      <c r="M2685" s="25" t="s">
        <v>4052</v>
      </c>
      <c r="N2685" s="22"/>
      <c r="O2685" s="22" t="s">
        <v>4053</v>
      </c>
      <c r="P2685" s="22" t="str">
        <f>HYPERLINK("https://ceds.ed.gov/cedselementdetails.aspx?termid=21115")</f>
        <v>https://ceds.ed.gov/cedselementdetails.aspx?termid=21115</v>
      </c>
      <c r="Q2685" s="22">
        <v>61467</v>
      </c>
    </row>
    <row r="2686" spans="1:17" ht="158.4" x14ac:dyDescent="0.3">
      <c r="A2686" s="22" t="s">
        <v>7839</v>
      </c>
      <c r="B2686" s="22" t="s">
        <v>7768</v>
      </c>
      <c r="C2686" s="22" t="s">
        <v>7738</v>
      </c>
      <c r="D2686" s="22" t="s">
        <v>7710</v>
      </c>
      <c r="E2686" s="22" t="s">
        <v>5415</v>
      </c>
      <c r="F2686" s="24" t="s">
        <v>5416</v>
      </c>
      <c r="G2686" s="23" t="s">
        <v>32</v>
      </c>
      <c r="H2686" s="24" t="s">
        <v>4054</v>
      </c>
      <c r="I2686" s="22"/>
      <c r="J2686" s="22" t="s">
        <v>7536</v>
      </c>
      <c r="K2686" s="24"/>
      <c r="L2686" s="24" t="s">
        <v>8207</v>
      </c>
      <c r="M2686" s="25" t="s">
        <v>5417</v>
      </c>
      <c r="N2686" s="22"/>
      <c r="O2686" s="22" t="s">
        <v>5418</v>
      </c>
      <c r="P2686" s="22" t="str">
        <f>HYPERLINK("https://ceds.ed.gov/cedselementdetails.aspx?termid=21184")</f>
        <v>https://ceds.ed.gov/cedselementdetails.aspx?termid=21184</v>
      </c>
      <c r="Q2686" s="22">
        <v>61470</v>
      </c>
    </row>
    <row r="2687" spans="1:17" ht="158.4" x14ac:dyDescent="0.3">
      <c r="A2687" s="22" t="s">
        <v>7839</v>
      </c>
      <c r="B2687" s="22" t="s">
        <v>7768</v>
      </c>
      <c r="C2687" s="22" t="s">
        <v>7738</v>
      </c>
      <c r="D2687" s="22" t="s">
        <v>7710</v>
      </c>
      <c r="E2687" s="22" t="s">
        <v>4973</v>
      </c>
      <c r="F2687" s="24" t="s">
        <v>4974</v>
      </c>
      <c r="G2687" s="23" t="s">
        <v>32</v>
      </c>
      <c r="H2687" s="24" t="s">
        <v>4054</v>
      </c>
      <c r="I2687" s="22"/>
      <c r="J2687" s="22" t="s">
        <v>7536</v>
      </c>
      <c r="K2687" s="24"/>
      <c r="L2687" s="24" t="s">
        <v>8207</v>
      </c>
      <c r="M2687" s="25" t="s">
        <v>4975</v>
      </c>
      <c r="N2687" s="22" t="s">
        <v>4976</v>
      </c>
      <c r="O2687" s="22" t="s">
        <v>4977</v>
      </c>
      <c r="P2687" s="22" t="str">
        <f>HYPERLINK("https://ceds.ed.gov/cedselementdetails.aspx?termid=21172")</f>
        <v>https://ceds.ed.gov/cedselementdetails.aspx?termid=21172</v>
      </c>
      <c r="Q2687" s="22">
        <v>61469</v>
      </c>
    </row>
    <row r="2688" spans="1:17" ht="129.6" x14ac:dyDescent="0.3">
      <c r="A2688" s="22" t="s">
        <v>7839</v>
      </c>
      <c r="B2688" s="22" t="s">
        <v>7768</v>
      </c>
      <c r="C2688" s="22" t="s">
        <v>7738</v>
      </c>
      <c r="D2688" s="22" t="s">
        <v>7710</v>
      </c>
      <c r="E2688" s="22" t="s">
        <v>4114</v>
      </c>
      <c r="F2688" s="24" t="s">
        <v>4115</v>
      </c>
      <c r="G2688" s="23" t="s">
        <v>32</v>
      </c>
      <c r="H2688" s="24" t="s">
        <v>4119</v>
      </c>
      <c r="I2688" s="22"/>
      <c r="J2688" s="22" t="s">
        <v>2743</v>
      </c>
      <c r="K2688" s="24"/>
      <c r="L2688" s="24" t="s">
        <v>8207</v>
      </c>
      <c r="M2688" s="25" t="s">
        <v>4117</v>
      </c>
      <c r="N2688" s="22"/>
      <c r="O2688" s="22" t="s">
        <v>4118</v>
      </c>
      <c r="P2688" s="22" t="str">
        <f>HYPERLINK("https://ceds.ed.gov/cedselementdetails.aspx?termid=21121")</f>
        <v>https://ceds.ed.gov/cedselementdetails.aspx?termid=21121</v>
      </c>
      <c r="Q2688" s="22">
        <v>61468</v>
      </c>
    </row>
    <row r="2689" spans="1:17" ht="86.4" x14ac:dyDescent="0.3">
      <c r="A2689" s="22" t="s">
        <v>7839</v>
      </c>
      <c r="B2689" s="22" t="s">
        <v>7768</v>
      </c>
      <c r="C2689" s="22" t="s">
        <v>7738</v>
      </c>
      <c r="D2689" s="22" t="s">
        <v>7710</v>
      </c>
      <c r="E2689" s="22" t="s">
        <v>5860</v>
      </c>
      <c r="F2689" s="24" t="s">
        <v>5861</v>
      </c>
      <c r="G2689" s="23" t="s">
        <v>32</v>
      </c>
      <c r="H2689" s="24" t="s">
        <v>5865</v>
      </c>
      <c r="I2689" s="22"/>
      <c r="J2689" s="22" t="s">
        <v>85</v>
      </c>
      <c r="K2689" s="24"/>
      <c r="L2689" s="24"/>
      <c r="M2689" s="25" t="s">
        <v>5862</v>
      </c>
      <c r="N2689" s="22" t="s">
        <v>5863</v>
      </c>
      <c r="O2689" s="22" t="s">
        <v>5864</v>
      </c>
      <c r="P2689" s="22" t="str">
        <f>HYPERLINK("https://ceds.ed.gov/cedselementdetails.aspx?termid=21212")</f>
        <v>https://ceds.ed.gov/cedselementdetails.aspx?termid=21212</v>
      </c>
      <c r="Q2689" s="22">
        <v>61471</v>
      </c>
    </row>
    <row r="2690" spans="1:17" ht="28.8" x14ac:dyDescent="0.3">
      <c r="A2690" s="22" t="s">
        <v>7839</v>
      </c>
      <c r="B2690" s="22" t="s">
        <v>7768</v>
      </c>
      <c r="C2690" s="22" t="s">
        <v>7739</v>
      </c>
      <c r="D2690" s="22" t="s">
        <v>7710</v>
      </c>
      <c r="E2690" s="22" t="s">
        <v>5728</v>
      </c>
      <c r="F2690" s="24" t="s">
        <v>5729</v>
      </c>
      <c r="G2690" s="23" t="s">
        <v>32</v>
      </c>
      <c r="H2690" s="22"/>
      <c r="I2690" s="22"/>
      <c r="J2690" s="22" t="s">
        <v>1301</v>
      </c>
      <c r="K2690" s="24"/>
      <c r="L2690" s="24" t="s">
        <v>5730</v>
      </c>
      <c r="M2690" s="25" t="s">
        <v>5731</v>
      </c>
      <c r="N2690" s="22"/>
      <c r="O2690" s="22" t="s">
        <v>5732</v>
      </c>
      <c r="P2690" s="22" t="str">
        <f>HYPERLINK("https://ceds.ed.gov/cedselementdetails.aspx?termid=22486")</f>
        <v>https://ceds.ed.gov/cedselementdetails.aspx?termid=22486</v>
      </c>
      <c r="Q2690" s="22">
        <v>61640</v>
      </c>
    </row>
    <row r="2691" spans="1:17" ht="28.8" x14ac:dyDescent="0.3">
      <c r="A2691" s="22" t="s">
        <v>7839</v>
      </c>
      <c r="B2691" s="22" t="s">
        <v>7768</v>
      </c>
      <c r="C2691" s="22" t="s">
        <v>7739</v>
      </c>
      <c r="D2691" s="22" t="s">
        <v>7710</v>
      </c>
      <c r="E2691" s="22" t="s">
        <v>5733</v>
      </c>
      <c r="F2691" s="24" t="s">
        <v>5734</v>
      </c>
      <c r="G2691" s="23" t="s">
        <v>32</v>
      </c>
      <c r="H2691" s="22"/>
      <c r="I2691" s="22"/>
      <c r="J2691" s="22" t="s">
        <v>1301</v>
      </c>
      <c r="K2691" s="24"/>
      <c r="L2691" s="24" t="s">
        <v>5735</v>
      </c>
      <c r="M2691" s="25" t="s">
        <v>5736</v>
      </c>
      <c r="N2691" s="22"/>
      <c r="O2691" s="22" t="s">
        <v>5737</v>
      </c>
      <c r="P2691" s="22" t="str">
        <f>HYPERLINK("https://ceds.ed.gov/cedselementdetails.aspx?termid=22485")</f>
        <v>https://ceds.ed.gov/cedselementdetails.aspx?termid=22485</v>
      </c>
      <c r="Q2691" s="22">
        <v>61624</v>
      </c>
    </row>
    <row r="2692" spans="1:17" ht="28.8" x14ac:dyDescent="0.3">
      <c r="A2692" s="22" t="s">
        <v>7839</v>
      </c>
      <c r="B2692" s="22" t="s">
        <v>7768</v>
      </c>
      <c r="C2692" s="22" t="s">
        <v>7739</v>
      </c>
      <c r="D2692" s="22" t="s">
        <v>7710</v>
      </c>
      <c r="E2692" s="22" t="s">
        <v>5738</v>
      </c>
      <c r="F2692" s="24" t="s">
        <v>5739</v>
      </c>
      <c r="G2692" s="23" t="s">
        <v>32</v>
      </c>
      <c r="H2692" s="22"/>
      <c r="I2692" s="22"/>
      <c r="J2692" s="22" t="s">
        <v>1301</v>
      </c>
      <c r="K2692" s="24"/>
      <c r="L2692" s="24" t="s">
        <v>5740</v>
      </c>
      <c r="M2692" s="25" t="s">
        <v>5741</v>
      </c>
      <c r="N2692" s="22"/>
      <c r="O2692" s="22" t="s">
        <v>5742</v>
      </c>
      <c r="P2692" s="22" t="str">
        <f>HYPERLINK("https://ceds.ed.gov/cedselementdetails.aspx?termid=22487")</f>
        <v>https://ceds.ed.gov/cedselementdetails.aspx?termid=22487</v>
      </c>
      <c r="Q2692" s="22">
        <v>61656</v>
      </c>
    </row>
    <row r="2693" spans="1:17" ht="129.6" x14ac:dyDescent="0.3">
      <c r="A2693" s="22" t="s">
        <v>7839</v>
      </c>
      <c r="B2693" s="22" t="s">
        <v>7768</v>
      </c>
      <c r="C2693" s="22" t="s">
        <v>7739</v>
      </c>
      <c r="D2693" s="22" t="s">
        <v>7710</v>
      </c>
      <c r="E2693" s="22" t="s">
        <v>5743</v>
      </c>
      <c r="F2693" s="24" t="s">
        <v>5744</v>
      </c>
      <c r="G2693" s="23" t="s">
        <v>32</v>
      </c>
      <c r="H2693" s="24" t="s">
        <v>4119</v>
      </c>
      <c r="I2693" s="22"/>
      <c r="J2693" s="22" t="s">
        <v>132</v>
      </c>
      <c r="K2693" s="24"/>
      <c r="L2693" s="24"/>
      <c r="M2693" s="25" t="s">
        <v>5745</v>
      </c>
      <c r="N2693" s="22"/>
      <c r="O2693" s="22" t="s">
        <v>5746</v>
      </c>
      <c r="P2693" s="22" t="str">
        <f>HYPERLINK("https://ceds.ed.gov/cedselementdetails.aspx?termid=21206")</f>
        <v>https://ceds.ed.gov/cedselementdetails.aspx?termid=21206</v>
      </c>
      <c r="Q2693" s="22">
        <v>61472</v>
      </c>
    </row>
    <row r="2694" spans="1:17" ht="115.2" x14ac:dyDescent="0.3">
      <c r="A2694" s="22" t="s">
        <v>7839</v>
      </c>
      <c r="B2694" s="22" t="s">
        <v>7768</v>
      </c>
      <c r="C2694" s="22" t="s">
        <v>7739</v>
      </c>
      <c r="D2694" s="22" t="s">
        <v>7710</v>
      </c>
      <c r="E2694" s="22" t="s">
        <v>5747</v>
      </c>
      <c r="F2694" s="24" t="s">
        <v>5748</v>
      </c>
      <c r="G2694" s="26" t="s">
        <v>9055</v>
      </c>
      <c r="H2694" s="24" t="s">
        <v>5751</v>
      </c>
      <c r="I2694" s="22"/>
      <c r="J2694" s="22" t="s">
        <v>85</v>
      </c>
      <c r="K2694" s="24"/>
      <c r="L2694" s="24"/>
      <c r="M2694" s="25" t="s">
        <v>5749</v>
      </c>
      <c r="N2694" s="22"/>
      <c r="O2694" s="22" t="s">
        <v>5750</v>
      </c>
      <c r="P2694" s="22" t="str">
        <f>HYPERLINK("https://ceds.ed.gov/cedselementdetails.aspx?termid=21627")</f>
        <v>https://ceds.ed.gov/cedselementdetails.aspx?termid=21627</v>
      </c>
      <c r="Q2694" s="22">
        <v>61473</v>
      </c>
    </row>
    <row r="2695" spans="1:17" ht="172.8" x14ac:dyDescent="0.3">
      <c r="A2695" s="22" t="s">
        <v>7839</v>
      </c>
      <c r="B2695" s="22" t="s">
        <v>7768</v>
      </c>
      <c r="C2695" s="22" t="s">
        <v>7740</v>
      </c>
      <c r="D2695" s="22" t="s">
        <v>7710</v>
      </c>
      <c r="E2695" s="22" t="s">
        <v>5835</v>
      </c>
      <c r="F2695" s="24" t="s">
        <v>5836</v>
      </c>
      <c r="G2695" s="23" t="s">
        <v>32</v>
      </c>
      <c r="H2695" s="22"/>
      <c r="I2695" s="22" t="s">
        <v>172</v>
      </c>
      <c r="J2695" s="22" t="s">
        <v>132</v>
      </c>
      <c r="K2695" s="24" t="s">
        <v>7946</v>
      </c>
      <c r="L2695" s="24" t="s">
        <v>8043</v>
      </c>
      <c r="M2695" s="25" t="s">
        <v>5837</v>
      </c>
      <c r="N2695" s="22"/>
      <c r="O2695" s="22" t="s">
        <v>5838</v>
      </c>
      <c r="P2695" s="22" t="str">
        <f>HYPERLINK("https://ceds.ed.gov/cedselementdetails.aspx?termid=22551")</f>
        <v>https://ceds.ed.gov/cedselementdetails.aspx?termid=22551</v>
      </c>
      <c r="Q2695" s="22">
        <v>62759</v>
      </c>
    </row>
    <row r="2696" spans="1:17" ht="259.2" x14ac:dyDescent="0.3">
      <c r="A2696" s="22" t="s">
        <v>7839</v>
      </c>
      <c r="B2696" s="22" t="s">
        <v>7768</v>
      </c>
      <c r="C2696" s="22" t="s">
        <v>7740</v>
      </c>
      <c r="D2696" s="22" t="s">
        <v>7710</v>
      </c>
      <c r="E2696" s="22" t="s">
        <v>5831</v>
      </c>
      <c r="F2696" s="24" t="s">
        <v>5832</v>
      </c>
      <c r="G2696" s="26" t="s">
        <v>8494</v>
      </c>
      <c r="H2696" s="22"/>
      <c r="I2696" s="22" t="s">
        <v>172</v>
      </c>
      <c r="J2696" s="22"/>
      <c r="K2696" s="24" t="s">
        <v>7946</v>
      </c>
      <c r="L2696" s="24"/>
      <c r="M2696" s="25" t="s">
        <v>5833</v>
      </c>
      <c r="N2696" s="22"/>
      <c r="O2696" s="22" t="s">
        <v>5834</v>
      </c>
      <c r="P2696" s="22" t="str">
        <f>HYPERLINK("https://ceds.ed.gov/cedselementdetails.aspx?termid=22550")</f>
        <v>https://ceds.ed.gov/cedselementdetails.aspx?termid=22550</v>
      </c>
      <c r="Q2696" s="22">
        <v>62758</v>
      </c>
    </row>
    <row r="2697" spans="1:17" ht="403.2" x14ac:dyDescent="0.3">
      <c r="A2697" s="22" t="s">
        <v>7839</v>
      </c>
      <c r="B2697" s="22" t="s">
        <v>7768</v>
      </c>
      <c r="C2697" s="22" t="s">
        <v>7740</v>
      </c>
      <c r="D2697" s="22" t="s">
        <v>7710</v>
      </c>
      <c r="E2697" s="22" t="s">
        <v>5856</v>
      </c>
      <c r="F2697" s="24" t="s">
        <v>5857</v>
      </c>
      <c r="G2697" s="26" t="s">
        <v>8498</v>
      </c>
      <c r="H2697" s="22"/>
      <c r="I2697" s="22" t="s">
        <v>172</v>
      </c>
      <c r="J2697" s="22"/>
      <c r="K2697" s="24" t="s">
        <v>7946</v>
      </c>
      <c r="L2697" s="24"/>
      <c r="M2697" s="25" t="s">
        <v>5858</v>
      </c>
      <c r="N2697" s="22"/>
      <c r="O2697" s="22" t="s">
        <v>5859</v>
      </c>
      <c r="P2697" s="22" t="str">
        <f>HYPERLINK("https://ceds.ed.gov/cedselementdetails.aspx?termid=21611")</f>
        <v>https://ceds.ed.gov/cedselementdetails.aspx?termid=21611</v>
      </c>
      <c r="Q2697" s="22">
        <v>61475</v>
      </c>
    </row>
    <row r="2698" spans="1:17" ht="72" x14ac:dyDescent="0.3">
      <c r="A2698" s="22" t="s">
        <v>7839</v>
      </c>
      <c r="B2698" s="22" t="s">
        <v>7768</v>
      </c>
      <c r="C2698" s="22" t="s">
        <v>7740</v>
      </c>
      <c r="D2698" s="22" t="s">
        <v>7710</v>
      </c>
      <c r="E2698" s="22" t="s">
        <v>7621</v>
      </c>
      <c r="F2698" s="24" t="s">
        <v>7622</v>
      </c>
      <c r="G2698" s="26" t="s">
        <v>8496</v>
      </c>
      <c r="H2698" s="22"/>
      <c r="I2698" s="22" t="s">
        <v>172</v>
      </c>
      <c r="J2698" s="22"/>
      <c r="K2698" s="24" t="s">
        <v>7946</v>
      </c>
      <c r="L2698" s="24"/>
      <c r="M2698" s="25" t="s">
        <v>7623</v>
      </c>
      <c r="N2698" s="22"/>
      <c r="O2698" s="22" t="s">
        <v>7624</v>
      </c>
      <c r="P2698" s="22" t="str">
        <f>HYPERLINK("https://ceds.ed.gov/cedselementdetails.aspx?termid=22951")</f>
        <v>https://ceds.ed.gov/cedselementdetails.aspx?termid=22951</v>
      </c>
      <c r="Q2698" s="22">
        <v>63585</v>
      </c>
    </row>
    <row r="2699" spans="1:17" ht="172.8" x14ac:dyDescent="0.3">
      <c r="A2699" s="22" t="s">
        <v>7839</v>
      </c>
      <c r="B2699" s="22" t="s">
        <v>7768</v>
      </c>
      <c r="C2699" s="22" t="s">
        <v>7716</v>
      </c>
      <c r="D2699" s="22" t="s">
        <v>7710</v>
      </c>
      <c r="E2699" s="22" t="s">
        <v>194</v>
      </c>
      <c r="F2699" s="24" t="s">
        <v>195</v>
      </c>
      <c r="G2699" s="26" t="s">
        <v>8575</v>
      </c>
      <c r="H2699" s="24" t="s">
        <v>198</v>
      </c>
      <c r="I2699" s="22"/>
      <c r="J2699" s="22" t="s">
        <v>85</v>
      </c>
      <c r="K2699" s="24"/>
      <c r="L2699" s="24"/>
      <c r="M2699" s="25" t="s">
        <v>196</v>
      </c>
      <c r="N2699" s="22"/>
      <c r="O2699" s="22" t="s">
        <v>197</v>
      </c>
      <c r="P2699" s="22" t="str">
        <f>HYPERLINK("https://ceds.ed.gov/cedselementdetails.aspx?termid=21358")</f>
        <v>https://ceds.ed.gov/cedselementdetails.aspx?termid=21358</v>
      </c>
      <c r="Q2699" s="22">
        <v>61482</v>
      </c>
    </row>
    <row r="2700" spans="1:17" ht="187.2" x14ac:dyDescent="0.3">
      <c r="A2700" s="22" t="s">
        <v>7839</v>
      </c>
      <c r="B2700" s="22" t="s">
        <v>7768</v>
      </c>
      <c r="C2700" s="22" t="s">
        <v>7716</v>
      </c>
      <c r="D2700" s="22" t="s">
        <v>7710</v>
      </c>
      <c r="E2700" s="22" t="s">
        <v>189</v>
      </c>
      <c r="F2700" s="24" t="s">
        <v>190</v>
      </c>
      <c r="G2700" s="23" t="s">
        <v>32</v>
      </c>
      <c r="H2700" s="24" t="s">
        <v>175</v>
      </c>
      <c r="I2700" s="22" t="s">
        <v>172</v>
      </c>
      <c r="J2700" s="22" t="s">
        <v>191</v>
      </c>
      <c r="K2700" s="24" t="s">
        <v>7946</v>
      </c>
      <c r="L2700" s="24"/>
      <c r="M2700" s="25" t="s">
        <v>192</v>
      </c>
      <c r="N2700" s="22"/>
      <c r="O2700" s="22" t="s">
        <v>193</v>
      </c>
      <c r="P2700" s="22" t="str">
        <f>HYPERLINK("https://ceds.ed.gov/cedselementdetails.aspx?termid=21269")</f>
        <v>https://ceds.ed.gov/cedselementdetails.aspx?termid=21269</v>
      </c>
      <c r="Q2700" s="22">
        <v>61476</v>
      </c>
    </row>
    <row r="2701" spans="1:17" ht="187.2" x14ac:dyDescent="0.3">
      <c r="A2701" s="22" t="s">
        <v>7839</v>
      </c>
      <c r="B2701" s="22" t="s">
        <v>7768</v>
      </c>
      <c r="C2701" s="22" t="s">
        <v>7716</v>
      </c>
      <c r="D2701" s="22" t="s">
        <v>7710</v>
      </c>
      <c r="E2701" s="22" t="s">
        <v>170</v>
      </c>
      <c r="F2701" s="24" t="s">
        <v>171</v>
      </c>
      <c r="G2701" s="23" t="s">
        <v>32</v>
      </c>
      <c r="H2701" s="24" t="s">
        <v>175</v>
      </c>
      <c r="I2701" s="22" t="s">
        <v>172</v>
      </c>
      <c r="J2701" s="22" t="s">
        <v>157</v>
      </c>
      <c r="K2701" s="24" t="s">
        <v>7946</v>
      </c>
      <c r="L2701" s="24"/>
      <c r="M2701" s="25" t="s">
        <v>173</v>
      </c>
      <c r="N2701" s="22"/>
      <c r="O2701" s="22" t="s">
        <v>174</v>
      </c>
      <c r="P2701" s="22" t="str">
        <f>HYPERLINK("https://ceds.ed.gov/cedselementdetails.aspx?termid=21019")</f>
        <v>https://ceds.ed.gov/cedselementdetails.aspx?termid=21019</v>
      </c>
      <c r="Q2701" s="22">
        <v>61477</v>
      </c>
    </row>
    <row r="2702" spans="1:17" ht="187.2" x14ac:dyDescent="0.3">
      <c r="A2702" s="22" t="s">
        <v>7839</v>
      </c>
      <c r="B2702" s="22" t="s">
        <v>7768</v>
      </c>
      <c r="C2702" s="22" t="s">
        <v>7716</v>
      </c>
      <c r="D2702" s="22" t="s">
        <v>7710</v>
      </c>
      <c r="E2702" s="22" t="s">
        <v>176</v>
      </c>
      <c r="F2702" s="24" t="s">
        <v>177</v>
      </c>
      <c r="G2702" s="23" t="s">
        <v>32</v>
      </c>
      <c r="H2702" s="24" t="s">
        <v>175</v>
      </c>
      <c r="I2702" s="22" t="s">
        <v>172</v>
      </c>
      <c r="J2702" s="22" t="s">
        <v>85</v>
      </c>
      <c r="K2702" s="24" t="s">
        <v>7946</v>
      </c>
      <c r="L2702" s="24"/>
      <c r="M2702" s="25" t="s">
        <v>178</v>
      </c>
      <c r="N2702" s="22"/>
      <c r="O2702" s="22" t="s">
        <v>179</v>
      </c>
      <c r="P2702" s="22" t="str">
        <f>HYPERLINK("https://ceds.ed.gov/cedselementdetails.aspx?termid=21040")</f>
        <v>https://ceds.ed.gov/cedselementdetails.aspx?termid=21040</v>
      </c>
      <c r="Q2702" s="22">
        <v>61478</v>
      </c>
    </row>
    <row r="2703" spans="1:17" ht="409.6" x14ac:dyDescent="0.3">
      <c r="A2703" s="22" t="s">
        <v>7839</v>
      </c>
      <c r="B2703" s="22" t="s">
        <v>7768</v>
      </c>
      <c r="C2703" s="22" t="s">
        <v>7716</v>
      </c>
      <c r="D2703" s="22" t="s">
        <v>7710</v>
      </c>
      <c r="E2703" s="22" t="s">
        <v>6941</v>
      </c>
      <c r="F2703" s="24" t="s">
        <v>6942</v>
      </c>
      <c r="G2703" s="26" t="s">
        <v>8533</v>
      </c>
      <c r="H2703" s="24" t="s">
        <v>6945</v>
      </c>
      <c r="I2703" s="22" t="s">
        <v>172</v>
      </c>
      <c r="J2703" s="22"/>
      <c r="K2703" s="24" t="s">
        <v>8327</v>
      </c>
      <c r="L2703" s="24"/>
      <c r="M2703" s="25" t="s">
        <v>6943</v>
      </c>
      <c r="N2703" s="22"/>
      <c r="O2703" s="22" t="s">
        <v>6944</v>
      </c>
      <c r="P2703" s="22" t="str">
        <f>HYPERLINK("https://ceds.ed.gov/cedselementdetails.aspx?termid=21267")</f>
        <v>https://ceds.ed.gov/cedselementdetails.aspx?termid=21267</v>
      </c>
      <c r="Q2703" s="22">
        <v>61479</v>
      </c>
    </row>
    <row r="2704" spans="1:17" ht="187.2" x14ac:dyDescent="0.3">
      <c r="A2704" s="22" t="s">
        <v>7839</v>
      </c>
      <c r="B2704" s="22" t="s">
        <v>7768</v>
      </c>
      <c r="C2704" s="22" t="s">
        <v>7716</v>
      </c>
      <c r="D2704" s="22" t="s">
        <v>7710</v>
      </c>
      <c r="E2704" s="22" t="s">
        <v>184</v>
      </c>
      <c r="F2704" s="24" t="s">
        <v>185</v>
      </c>
      <c r="G2704" s="23" t="s">
        <v>32</v>
      </c>
      <c r="H2704" s="24" t="s">
        <v>175</v>
      </c>
      <c r="I2704" s="22" t="s">
        <v>172</v>
      </c>
      <c r="J2704" s="22" t="s">
        <v>186</v>
      </c>
      <c r="K2704" s="24" t="s">
        <v>7946</v>
      </c>
      <c r="L2704" s="24"/>
      <c r="M2704" s="25" t="s">
        <v>187</v>
      </c>
      <c r="N2704" s="22"/>
      <c r="O2704" s="22" t="s">
        <v>188</v>
      </c>
      <c r="P2704" s="22" t="str">
        <f>HYPERLINK("https://ceds.ed.gov/cedselementdetails.aspx?termid=21214")</f>
        <v>https://ceds.ed.gov/cedselementdetails.aspx?termid=21214</v>
      </c>
      <c r="Q2704" s="22">
        <v>61480</v>
      </c>
    </row>
    <row r="2705" spans="1:17" ht="187.2" x14ac:dyDescent="0.3">
      <c r="A2705" s="22" t="s">
        <v>7839</v>
      </c>
      <c r="B2705" s="22" t="s">
        <v>7768</v>
      </c>
      <c r="C2705" s="22" t="s">
        <v>7716</v>
      </c>
      <c r="D2705" s="22" t="s">
        <v>7710</v>
      </c>
      <c r="E2705" s="22" t="s">
        <v>180</v>
      </c>
      <c r="F2705" s="24" t="s">
        <v>181</v>
      </c>
      <c r="G2705" s="23" t="s">
        <v>32</v>
      </c>
      <c r="H2705" s="24" t="s">
        <v>175</v>
      </c>
      <c r="I2705" s="22" t="s">
        <v>172</v>
      </c>
      <c r="J2705" s="22" t="s">
        <v>85</v>
      </c>
      <c r="K2705" s="24" t="s">
        <v>7946</v>
      </c>
      <c r="L2705" s="24"/>
      <c r="M2705" s="25" t="s">
        <v>182</v>
      </c>
      <c r="N2705" s="22"/>
      <c r="O2705" s="22" t="s">
        <v>183</v>
      </c>
      <c r="P2705" s="22" t="str">
        <f>HYPERLINK("https://ceds.ed.gov/cedselementdetails.aspx?termid=21190")</f>
        <v>https://ceds.ed.gov/cedselementdetails.aspx?termid=21190</v>
      </c>
      <c r="Q2705" s="22">
        <v>61481</v>
      </c>
    </row>
    <row r="2706" spans="1:17" ht="409.6" x14ac:dyDescent="0.3">
      <c r="A2706" s="22" t="s">
        <v>7839</v>
      </c>
      <c r="B2706" s="22" t="s">
        <v>7768</v>
      </c>
      <c r="C2706" s="22" t="s">
        <v>7716</v>
      </c>
      <c r="D2706" s="22" t="s">
        <v>7710</v>
      </c>
      <c r="E2706" s="22" t="s">
        <v>2526</v>
      </c>
      <c r="F2706" s="24" t="s">
        <v>2527</v>
      </c>
      <c r="G2706" s="26" t="s">
        <v>8743</v>
      </c>
      <c r="H2706" s="24" t="s">
        <v>2530</v>
      </c>
      <c r="I2706" s="22"/>
      <c r="J2706" s="22"/>
      <c r="K2706" s="24"/>
      <c r="L2706" s="24" t="s">
        <v>8055</v>
      </c>
      <c r="M2706" s="25" t="s">
        <v>2528</v>
      </c>
      <c r="N2706" s="22"/>
      <c r="O2706" s="22" t="s">
        <v>2529</v>
      </c>
      <c r="P2706" s="22" t="str">
        <f>HYPERLINK("https://ceds.ed.gov/cedselementdetails.aspx?termid=21050")</f>
        <v>https://ceds.ed.gov/cedselementdetails.aspx?termid=21050</v>
      </c>
      <c r="Q2706" s="22">
        <v>61483</v>
      </c>
    </row>
    <row r="2707" spans="1:17" ht="57.6" x14ac:dyDescent="0.3">
      <c r="A2707" s="22" t="s">
        <v>7839</v>
      </c>
      <c r="B2707" s="22" t="s">
        <v>7768</v>
      </c>
      <c r="C2707" s="22" t="s">
        <v>7716</v>
      </c>
      <c r="D2707" s="22" t="s">
        <v>7710</v>
      </c>
      <c r="E2707" s="22" t="s">
        <v>4982</v>
      </c>
      <c r="F2707" s="24" t="s">
        <v>4983</v>
      </c>
      <c r="G2707" s="23" t="s">
        <v>32</v>
      </c>
      <c r="H2707" s="22"/>
      <c r="I2707" s="22"/>
      <c r="J2707" s="22" t="s">
        <v>1165</v>
      </c>
      <c r="K2707" s="24"/>
      <c r="L2707" s="24"/>
      <c r="M2707" s="25" t="s">
        <v>4984</v>
      </c>
      <c r="N2707" s="22"/>
      <c r="O2707" s="22" t="s">
        <v>4982</v>
      </c>
      <c r="P2707" s="22" t="str">
        <f>HYPERLINK("https://ceds.ed.gov/cedselementdetails.aspx?termid=21599")</f>
        <v>https://ceds.ed.gov/cedselementdetails.aspx?termid=21599</v>
      </c>
      <c r="Q2707" s="22">
        <v>62269</v>
      </c>
    </row>
    <row r="2708" spans="1:17" ht="57.6" x14ac:dyDescent="0.3">
      <c r="A2708" s="22" t="s">
        <v>7839</v>
      </c>
      <c r="B2708" s="22" t="s">
        <v>7768</v>
      </c>
      <c r="C2708" s="22" t="s">
        <v>7716</v>
      </c>
      <c r="D2708" s="22" t="s">
        <v>7710</v>
      </c>
      <c r="E2708" s="22" t="s">
        <v>5372</v>
      </c>
      <c r="F2708" s="24" t="s">
        <v>5373</v>
      </c>
      <c r="G2708" s="23" t="s">
        <v>32</v>
      </c>
      <c r="H2708" s="22"/>
      <c r="I2708" s="22"/>
      <c r="J2708" s="22" t="s">
        <v>1165</v>
      </c>
      <c r="K2708" s="24"/>
      <c r="L2708" s="24"/>
      <c r="M2708" s="25" t="s">
        <v>5374</v>
      </c>
      <c r="N2708" s="22"/>
      <c r="O2708" s="22" t="s">
        <v>5372</v>
      </c>
      <c r="P2708" s="22" t="str">
        <f>HYPERLINK("https://ceds.ed.gov/cedselementdetails.aspx?termid=21600")</f>
        <v>https://ceds.ed.gov/cedselementdetails.aspx?termid=21600</v>
      </c>
      <c r="Q2708" s="22">
        <v>62292</v>
      </c>
    </row>
    <row r="2709" spans="1:17" ht="158.4" x14ac:dyDescent="0.3">
      <c r="A2709" s="22" t="s">
        <v>7839</v>
      </c>
      <c r="B2709" s="22" t="s">
        <v>7768</v>
      </c>
      <c r="C2709" s="22" t="s">
        <v>7716</v>
      </c>
      <c r="D2709" s="22" t="s">
        <v>7710</v>
      </c>
      <c r="E2709" s="22" t="s">
        <v>2536</v>
      </c>
      <c r="F2709" s="24" t="s">
        <v>2537</v>
      </c>
      <c r="G2709" s="23" t="s">
        <v>32</v>
      </c>
      <c r="H2709" s="22"/>
      <c r="I2709" s="22"/>
      <c r="J2709" s="22" t="s">
        <v>2538</v>
      </c>
      <c r="K2709" s="24"/>
      <c r="L2709" s="24"/>
      <c r="M2709" s="25" t="s">
        <v>2539</v>
      </c>
      <c r="N2709" s="22"/>
      <c r="O2709" s="22" t="s">
        <v>2540</v>
      </c>
      <c r="P2709" s="22" t="str">
        <f>HYPERLINK("https://ceds.ed.gov/cedselementdetails.aspx?termid=22176")</f>
        <v>https://ceds.ed.gov/cedselementdetails.aspx?termid=22176</v>
      </c>
      <c r="Q2709" s="22">
        <v>63397</v>
      </c>
    </row>
    <row r="2710" spans="1:17" ht="57.6" x14ac:dyDescent="0.3">
      <c r="A2710" s="22" t="s">
        <v>7839</v>
      </c>
      <c r="B2710" s="22" t="s">
        <v>7768</v>
      </c>
      <c r="C2710" s="22" t="s">
        <v>7716</v>
      </c>
      <c r="D2710" s="22" t="s">
        <v>7710</v>
      </c>
      <c r="E2710" s="22" t="s">
        <v>3228</v>
      </c>
      <c r="F2710" s="24" t="s">
        <v>3229</v>
      </c>
      <c r="G2710" s="26" t="s">
        <v>3039</v>
      </c>
      <c r="H2710" s="22"/>
      <c r="I2710" s="22" t="s">
        <v>172</v>
      </c>
      <c r="J2710" s="22"/>
      <c r="K2710" s="24" t="s">
        <v>7946</v>
      </c>
      <c r="L2710" s="24"/>
      <c r="M2710" s="25" t="s">
        <v>3230</v>
      </c>
      <c r="N2710" s="22"/>
      <c r="O2710" s="22" t="s">
        <v>3231</v>
      </c>
      <c r="P2710" s="22" t="str">
        <f>HYPERLINK("https://ceds.ed.gov/cedselementdetails.aspx?termid=22905")</f>
        <v>https://ceds.ed.gov/cedselementdetails.aspx?termid=22905</v>
      </c>
      <c r="Q2710" s="22">
        <v>63398</v>
      </c>
    </row>
    <row r="2711" spans="1:17" ht="72" x14ac:dyDescent="0.3">
      <c r="A2711" s="22" t="s">
        <v>7839</v>
      </c>
      <c r="B2711" s="22" t="s">
        <v>7768</v>
      </c>
      <c r="C2711" s="22" t="s">
        <v>7717</v>
      </c>
      <c r="D2711" s="22" t="s">
        <v>7710</v>
      </c>
      <c r="E2711" s="22" t="s">
        <v>7159</v>
      </c>
      <c r="F2711" s="24" t="s">
        <v>7160</v>
      </c>
      <c r="G2711" s="23" t="s">
        <v>32</v>
      </c>
      <c r="H2711" s="24" t="s">
        <v>64</v>
      </c>
      <c r="I2711" s="22"/>
      <c r="J2711" s="22" t="s">
        <v>7161</v>
      </c>
      <c r="K2711" s="24"/>
      <c r="L2711" s="24"/>
      <c r="M2711" s="25" t="s">
        <v>7162</v>
      </c>
      <c r="N2711" s="22"/>
      <c r="O2711" s="22" t="s">
        <v>7163</v>
      </c>
      <c r="P2711" s="22" t="str">
        <f>HYPERLINK("https://ceds.ed.gov/cedselementdetails.aspx?termid=21279")</f>
        <v>https://ceds.ed.gov/cedselementdetails.aspx?termid=21279</v>
      </c>
      <c r="Q2711" s="22">
        <v>61486</v>
      </c>
    </row>
    <row r="2712" spans="1:17" ht="86.4" x14ac:dyDescent="0.3">
      <c r="A2712" s="22" t="s">
        <v>7839</v>
      </c>
      <c r="B2712" s="22" t="s">
        <v>7768</v>
      </c>
      <c r="C2712" s="22" t="s">
        <v>7717</v>
      </c>
      <c r="D2712" s="22" t="s">
        <v>7710</v>
      </c>
      <c r="E2712" s="22" t="s">
        <v>7168</v>
      </c>
      <c r="F2712" s="24" t="s">
        <v>7169</v>
      </c>
      <c r="G2712" s="26" t="s">
        <v>9168</v>
      </c>
      <c r="H2712" s="24" t="s">
        <v>64</v>
      </c>
      <c r="I2712" s="22"/>
      <c r="J2712" s="22" t="s">
        <v>2543</v>
      </c>
      <c r="K2712" s="24"/>
      <c r="L2712" s="24"/>
      <c r="M2712" s="25" t="s">
        <v>7170</v>
      </c>
      <c r="N2712" s="22"/>
      <c r="O2712" s="22" t="s">
        <v>7171</v>
      </c>
      <c r="P2712" s="22" t="str">
        <f>HYPERLINK("https://ceds.ed.gov/cedselementdetails.aspx?termid=21280")</f>
        <v>https://ceds.ed.gov/cedselementdetails.aspx?termid=21280</v>
      </c>
      <c r="Q2712" s="22">
        <v>61484</v>
      </c>
    </row>
    <row r="2713" spans="1:17" ht="72" x14ac:dyDescent="0.3">
      <c r="A2713" s="22" t="s">
        <v>7839</v>
      </c>
      <c r="B2713" s="22" t="s">
        <v>7768</v>
      </c>
      <c r="C2713" s="22" t="s">
        <v>7717</v>
      </c>
      <c r="D2713" s="22" t="s">
        <v>7710</v>
      </c>
      <c r="E2713" s="22" t="s">
        <v>5965</v>
      </c>
      <c r="F2713" s="24" t="s">
        <v>5966</v>
      </c>
      <c r="G2713" s="26" t="s">
        <v>22</v>
      </c>
      <c r="H2713" s="24" t="s">
        <v>64</v>
      </c>
      <c r="I2713" s="22"/>
      <c r="J2713" s="22"/>
      <c r="K2713" s="24"/>
      <c r="L2713" s="24"/>
      <c r="M2713" s="25" t="s">
        <v>5967</v>
      </c>
      <c r="N2713" s="22"/>
      <c r="O2713" s="22" t="s">
        <v>5968</v>
      </c>
      <c r="P2713" s="22" t="str">
        <f>HYPERLINK("https://ceds.ed.gov/cedselementdetails.aspx?termid=21219")</f>
        <v>https://ceds.ed.gov/cedselementdetails.aspx?termid=21219</v>
      </c>
      <c r="Q2713" s="22">
        <v>61485</v>
      </c>
    </row>
    <row r="2714" spans="1:17" ht="57.6" x14ac:dyDescent="0.3">
      <c r="A2714" s="22" t="s">
        <v>7839</v>
      </c>
      <c r="B2714" s="22" t="s">
        <v>7768</v>
      </c>
      <c r="C2714" s="22" t="s">
        <v>7717</v>
      </c>
      <c r="D2714" s="22" t="s">
        <v>7710</v>
      </c>
      <c r="E2714" s="22" t="s">
        <v>3228</v>
      </c>
      <c r="F2714" s="24" t="s">
        <v>3229</v>
      </c>
      <c r="G2714" s="26" t="s">
        <v>3039</v>
      </c>
      <c r="H2714" s="22"/>
      <c r="I2714" s="22" t="s">
        <v>172</v>
      </c>
      <c r="J2714" s="22"/>
      <c r="K2714" s="24" t="s">
        <v>7946</v>
      </c>
      <c r="L2714" s="24"/>
      <c r="M2714" s="25" t="s">
        <v>3230</v>
      </c>
      <c r="N2714" s="22"/>
      <c r="O2714" s="22" t="s">
        <v>3231</v>
      </c>
      <c r="P2714" s="22" t="str">
        <f>HYPERLINK("https://ceds.ed.gov/cedselementdetails.aspx?termid=22905")</f>
        <v>https://ceds.ed.gov/cedselementdetails.aspx?termid=22905</v>
      </c>
      <c r="Q2714" s="22">
        <v>63400</v>
      </c>
    </row>
    <row r="2715" spans="1:17" ht="57.6" x14ac:dyDescent="0.3">
      <c r="A2715" s="22" t="s">
        <v>7839</v>
      </c>
      <c r="B2715" s="22" t="s">
        <v>7768</v>
      </c>
      <c r="C2715" s="22" t="s">
        <v>7717</v>
      </c>
      <c r="D2715" s="22" t="s">
        <v>7710</v>
      </c>
      <c r="E2715" s="22" t="s">
        <v>7164</v>
      </c>
      <c r="F2715" s="24" t="s">
        <v>7165</v>
      </c>
      <c r="G2715" s="26" t="s">
        <v>9167</v>
      </c>
      <c r="H2715" s="22"/>
      <c r="I2715" s="22"/>
      <c r="J2715" s="22"/>
      <c r="K2715" s="24"/>
      <c r="L2715" s="24"/>
      <c r="M2715" s="25" t="s">
        <v>7166</v>
      </c>
      <c r="N2715" s="22"/>
      <c r="O2715" s="22" t="s">
        <v>7167</v>
      </c>
      <c r="P2715" s="22" t="str">
        <f>HYPERLINK("https://ceds.ed.gov/cedselementdetails.aspx?termid=22911")</f>
        <v>https://ceds.ed.gov/cedselementdetails.aspx?termid=22911</v>
      </c>
      <c r="Q2715" s="22">
        <v>63401</v>
      </c>
    </row>
    <row r="2716" spans="1:17" ht="72" x14ac:dyDescent="0.3">
      <c r="A2716" s="22" t="s">
        <v>7839</v>
      </c>
      <c r="B2716" s="22" t="s">
        <v>7768</v>
      </c>
      <c r="C2716" s="22" t="s">
        <v>7718</v>
      </c>
      <c r="D2716" s="22" t="s">
        <v>7710</v>
      </c>
      <c r="E2716" s="22" t="s">
        <v>3467</v>
      </c>
      <c r="F2716" s="24" t="s">
        <v>3468</v>
      </c>
      <c r="G2716" s="26" t="s">
        <v>8430</v>
      </c>
      <c r="H2716" s="24" t="s">
        <v>64</v>
      </c>
      <c r="I2716" s="22" t="s">
        <v>172</v>
      </c>
      <c r="J2716" s="22"/>
      <c r="K2716" s="24" t="s">
        <v>7946</v>
      </c>
      <c r="L2716" s="24"/>
      <c r="M2716" s="25" t="s">
        <v>3469</v>
      </c>
      <c r="N2716" s="22" t="s">
        <v>3470</v>
      </c>
      <c r="O2716" s="22" t="s">
        <v>3471</v>
      </c>
      <c r="P2716" s="22" t="str">
        <f>HYPERLINK("https://ceds.ed.gov/cedselementdetails.aspx?termid=21089")</f>
        <v>https://ceds.ed.gov/cedselementdetails.aspx?termid=21089</v>
      </c>
      <c r="Q2716" s="22">
        <v>61487</v>
      </c>
    </row>
    <row r="2717" spans="1:17" ht="72" x14ac:dyDescent="0.3">
      <c r="A2717" s="22" t="s">
        <v>7839</v>
      </c>
      <c r="B2717" s="22" t="s">
        <v>7768</v>
      </c>
      <c r="C2717" s="22" t="s">
        <v>7718</v>
      </c>
      <c r="D2717" s="22" t="s">
        <v>7710</v>
      </c>
      <c r="E2717" s="22" t="s">
        <v>3461</v>
      </c>
      <c r="F2717" s="24" t="s">
        <v>3462</v>
      </c>
      <c r="G2717" s="23" t="s">
        <v>32</v>
      </c>
      <c r="H2717" s="24" t="s">
        <v>64</v>
      </c>
      <c r="I2717" s="22" t="s">
        <v>172</v>
      </c>
      <c r="J2717" s="22" t="s">
        <v>3463</v>
      </c>
      <c r="K2717" s="24" t="s">
        <v>7946</v>
      </c>
      <c r="L2717" s="24"/>
      <c r="M2717" s="25" t="s">
        <v>3464</v>
      </c>
      <c r="N2717" s="22" t="s">
        <v>3465</v>
      </c>
      <c r="O2717" s="22" t="s">
        <v>3466</v>
      </c>
      <c r="P2717" s="22" t="str">
        <f>HYPERLINK("https://ceds.ed.gov/cedselementdetails.aspx?termid=21088")</f>
        <v>https://ceds.ed.gov/cedselementdetails.aspx?termid=21088</v>
      </c>
      <c r="Q2717" s="22">
        <v>61488</v>
      </c>
    </row>
    <row r="2718" spans="1:17" ht="57.6" x14ac:dyDescent="0.3">
      <c r="A2718" s="22" t="s">
        <v>7839</v>
      </c>
      <c r="B2718" s="22" t="s">
        <v>7768</v>
      </c>
      <c r="C2718" s="22" t="s">
        <v>7718</v>
      </c>
      <c r="D2718" s="22" t="s">
        <v>7710</v>
      </c>
      <c r="E2718" s="22" t="s">
        <v>3228</v>
      </c>
      <c r="F2718" s="24" t="s">
        <v>3229</v>
      </c>
      <c r="G2718" s="26" t="s">
        <v>3039</v>
      </c>
      <c r="H2718" s="22"/>
      <c r="I2718" s="22" t="s">
        <v>172</v>
      </c>
      <c r="J2718" s="22"/>
      <c r="K2718" s="24" t="s">
        <v>7946</v>
      </c>
      <c r="L2718" s="24"/>
      <c r="M2718" s="25" t="s">
        <v>3230</v>
      </c>
      <c r="N2718" s="22"/>
      <c r="O2718" s="22" t="s">
        <v>3231</v>
      </c>
      <c r="P2718" s="22" t="str">
        <f>HYPERLINK("https://ceds.ed.gov/cedselementdetails.aspx?termid=22905")</f>
        <v>https://ceds.ed.gov/cedselementdetails.aspx?termid=22905</v>
      </c>
      <c r="Q2718" s="22">
        <v>63399</v>
      </c>
    </row>
    <row r="2719" spans="1:17" ht="172.8" x14ac:dyDescent="0.3">
      <c r="A2719" s="22" t="s">
        <v>7839</v>
      </c>
      <c r="B2719" s="22" t="s">
        <v>7768</v>
      </c>
      <c r="C2719" s="22" t="s">
        <v>7766</v>
      </c>
      <c r="D2719" s="22" t="s">
        <v>7710</v>
      </c>
      <c r="E2719" s="22" t="s">
        <v>5835</v>
      </c>
      <c r="F2719" s="24" t="s">
        <v>5836</v>
      </c>
      <c r="G2719" s="23" t="s">
        <v>32</v>
      </c>
      <c r="H2719" s="22"/>
      <c r="I2719" s="22" t="s">
        <v>172</v>
      </c>
      <c r="J2719" s="22" t="s">
        <v>132</v>
      </c>
      <c r="K2719" s="24" t="s">
        <v>7946</v>
      </c>
      <c r="L2719" s="24" t="s">
        <v>8043</v>
      </c>
      <c r="M2719" s="25" t="s">
        <v>5837</v>
      </c>
      <c r="N2719" s="22"/>
      <c r="O2719" s="22" t="s">
        <v>5838</v>
      </c>
      <c r="P2719" s="22" t="str">
        <f>HYPERLINK("https://ceds.ed.gov/cedselementdetails.aspx?termid=22551")</f>
        <v>https://ceds.ed.gov/cedselementdetails.aspx?termid=22551</v>
      </c>
      <c r="Q2719" s="22">
        <v>61910</v>
      </c>
    </row>
    <row r="2720" spans="1:17" ht="259.2" x14ac:dyDescent="0.3">
      <c r="A2720" s="22" t="s">
        <v>7839</v>
      </c>
      <c r="B2720" s="22" t="s">
        <v>7768</v>
      </c>
      <c r="C2720" s="22" t="s">
        <v>7766</v>
      </c>
      <c r="D2720" s="22" t="s">
        <v>7710</v>
      </c>
      <c r="E2720" s="22" t="s">
        <v>5831</v>
      </c>
      <c r="F2720" s="24" t="s">
        <v>5832</v>
      </c>
      <c r="G2720" s="26" t="s">
        <v>8494</v>
      </c>
      <c r="H2720" s="22"/>
      <c r="I2720" s="22" t="s">
        <v>172</v>
      </c>
      <c r="J2720" s="22"/>
      <c r="K2720" s="24" t="s">
        <v>7946</v>
      </c>
      <c r="L2720" s="24"/>
      <c r="M2720" s="25" t="s">
        <v>5833</v>
      </c>
      <c r="N2720" s="22"/>
      <c r="O2720" s="22" t="s">
        <v>5834</v>
      </c>
      <c r="P2720" s="22" t="str">
        <f>HYPERLINK("https://ceds.ed.gov/cedselementdetails.aspx?termid=22550")</f>
        <v>https://ceds.ed.gov/cedselementdetails.aspx?termid=22550</v>
      </c>
      <c r="Q2720" s="22">
        <v>61905</v>
      </c>
    </row>
    <row r="2721" spans="1:17" ht="409.6" x14ac:dyDescent="0.3">
      <c r="A2721" s="22" t="s">
        <v>7839</v>
      </c>
      <c r="B2721" s="22" t="s">
        <v>7768</v>
      </c>
      <c r="C2721" s="22" t="s">
        <v>7766</v>
      </c>
      <c r="D2721" s="22" t="s">
        <v>7710</v>
      </c>
      <c r="E2721" s="22" t="s">
        <v>5851</v>
      </c>
      <c r="F2721" s="24" t="s">
        <v>5852</v>
      </c>
      <c r="G2721" s="26" t="s">
        <v>9062</v>
      </c>
      <c r="H2721" s="22" t="s">
        <v>1553</v>
      </c>
      <c r="I2721" s="22"/>
      <c r="J2721" s="22"/>
      <c r="K2721" s="24"/>
      <c r="L2721" s="24" t="s">
        <v>5853</v>
      </c>
      <c r="M2721" s="25" t="s">
        <v>5854</v>
      </c>
      <c r="N2721" s="22"/>
      <c r="O2721" s="22" t="s">
        <v>5855</v>
      </c>
      <c r="P2721" s="22" t="str">
        <f>HYPERLINK("https://ceds.ed.gov/cedselementdetails.aspx?termid=21415")</f>
        <v>https://ceds.ed.gov/cedselementdetails.aspx?termid=21415</v>
      </c>
      <c r="Q2721" s="22">
        <v>61489</v>
      </c>
    </row>
    <row r="2722" spans="1:17" ht="57.6" x14ac:dyDescent="0.3">
      <c r="A2722" s="22" t="s">
        <v>7839</v>
      </c>
      <c r="B2722" s="22" t="s">
        <v>7768</v>
      </c>
      <c r="C2722" s="22" t="s">
        <v>7766</v>
      </c>
      <c r="D2722" s="22" t="s">
        <v>7710</v>
      </c>
      <c r="E2722" s="22" t="s">
        <v>3037</v>
      </c>
      <c r="F2722" s="24" t="s">
        <v>3038</v>
      </c>
      <c r="G2722" s="26" t="s">
        <v>3039</v>
      </c>
      <c r="H2722" s="24" t="s">
        <v>399</v>
      </c>
      <c r="I2722" s="22"/>
      <c r="J2722" s="22"/>
      <c r="K2722" s="24"/>
      <c r="L2722" s="24"/>
      <c r="M2722" s="25" t="s">
        <v>3040</v>
      </c>
      <c r="N2722" s="22"/>
      <c r="O2722" s="22" t="s">
        <v>3041</v>
      </c>
      <c r="P2722" s="22" t="str">
        <f>HYPERLINK("https://ceds.ed.gov/cedselementdetails.aspx?termid=21328")</f>
        <v>https://ceds.ed.gov/cedselementdetails.aspx?termid=21328</v>
      </c>
      <c r="Q2722" s="22">
        <v>63410</v>
      </c>
    </row>
    <row r="2723" spans="1:17" ht="409.6" x14ac:dyDescent="0.3">
      <c r="A2723" s="22" t="s">
        <v>7839</v>
      </c>
      <c r="B2723" s="22" t="s">
        <v>7768</v>
      </c>
      <c r="C2723" s="22" t="s">
        <v>7742</v>
      </c>
      <c r="D2723" s="22" t="s">
        <v>7710</v>
      </c>
      <c r="E2723" s="22" t="s">
        <v>2531</v>
      </c>
      <c r="F2723" s="24" t="s">
        <v>2532</v>
      </c>
      <c r="G2723" s="26" t="s">
        <v>8743</v>
      </c>
      <c r="H2723" s="24" t="s">
        <v>2535</v>
      </c>
      <c r="I2723" s="22"/>
      <c r="J2723" s="22"/>
      <c r="K2723" s="24"/>
      <c r="L2723" s="24" t="s">
        <v>8055</v>
      </c>
      <c r="M2723" s="25" t="s">
        <v>2533</v>
      </c>
      <c r="N2723" s="22"/>
      <c r="O2723" s="22" t="s">
        <v>2534</v>
      </c>
      <c r="P2723" s="22" t="str">
        <f>HYPERLINK("https://ceds.ed.gov/cedselementdetails.aspx?termid=21051")</f>
        <v>https://ceds.ed.gov/cedselementdetails.aspx?termid=21051</v>
      </c>
      <c r="Q2723" s="22">
        <v>63402</v>
      </c>
    </row>
    <row r="2724" spans="1:17" ht="100.8" x14ac:dyDescent="0.3">
      <c r="A2724" s="22" t="s">
        <v>7839</v>
      </c>
      <c r="B2724" s="22" t="s">
        <v>7768</v>
      </c>
      <c r="C2724" s="22" t="s">
        <v>7742</v>
      </c>
      <c r="D2724" s="22" t="s">
        <v>7710</v>
      </c>
      <c r="E2724" s="22" t="s">
        <v>5486</v>
      </c>
      <c r="F2724" s="24" t="s">
        <v>8254</v>
      </c>
      <c r="G2724" s="26" t="s">
        <v>9036</v>
      </c>
      <c r="H2724" s="22"/>
      <c r="I2724" s="22"/>
      <c r="J2724" s="22"/>
      <c r="K2724" s="24"/>
      <c r="L2724" s="24"/>
      <c r="M2724" s="25" t="s">
        <v>5487</v>
      </c>
      <c r="N2724" s="22"/>
      <c r="O2724" s="22" t="s">
        <v>5488</v>
      </c>
      <c r="P2724" s="22" t="str">
        <f>HYPERLINK("https://ceds.ed.gov/cedselementdetails.aspx?termid=22621")</f>
        <v>https://ceds.ed.gov/cedselementdetails.aspx?termid=22621</v>
      </c>
      <c r="Q2724" s="22">
        <v>63403</v>
      </c>
    </row>
    <row r="2725" spans="1:17" ht="115.2" x14ac:dyDescent="0.3">
      <c r="A2725" s="22" t="s">
        <v>7839</v>
      </c>
      <c r="B2725" s="22" t="s">
        <v>7768</v>
      </c>
      <c r="C2725" s="22" t="s">
        <v>7742</v>
      </c>
      <c r="D2725" s="22" t="s">
        <v>7710</v>
      </c>
      <c r="E2725" s="22" t="s">
        <v>6924</v>
      </c>
      <c r="F2725" s="24" t="s">
        <v>8326</v>
      </c>
      <c r="G2725" s="23" t="s">
        <v>32</v>
      </c>
      <c r="H2725" s="22" t="s">
        <v>69</v>
      </c>
      <c r="I2725" s="22"/>
      <c r="J2725" s="22" t="s">
        <v>6925</v>
      </c>
      <c r="K2725" s="24"/>
      <c r="L2725" s="24"/>
      <c r="M2725" s="25" t="s">
        <v>6926</v>
      </c>
      <c r="N2725" s="22"/>
      <c r="O2725" s="22" t="s">
        <v>6927</v>
      </c>
      <c r="P2725" s="22" t="str">
        <f>HYPERLINK("https://ceds.ed.gov/cedselementdetails.aspx?termid=21707")</f>
        <v>https://ceds.ed.gov/cedselementdetails.aspx?termid=21707</v>
      </c>
      <c r="Q2725" s="22">
        <v>63404</v>
      </c>
    </row>
    <row r="2726" spans="1:17" ht="57.6" x14ac:dyDescent="0.3">
      <c r="A2726" s="22" t="s">
        <v>7839</v>
      </c>
      <c r="B2726" s="22" t="s">
        <v>7768</v>
      </c>
      <c r="C2726" s="22" t="s">
        <v>7742</v>
      </c>
      <c r="D2726" s="22" t="s">
        <v>7710</v>
      </c>
      <c r="E2726" s="22" t="s">
        <v>7288</v>
      </c>
      <c r="F2726" s="24" t="s">
        <v>7289</v>
      </c>
      <c r="G2726" s="23" t="s">
        <v>7423</v>
      </c>
      <c r="H2726" s="22"/>
      <c r="I2726" s="22"/>
      <c r="J2726" s="22"/>
      <c r="K2726" s="24"/>
      <c r="L2726" s="24"/>
      <c r="M2726" s="25" t="s">
        <v>7290</v>
      </c>
      <c r="N2726" s="22"/>
      <c r="O2726" s="22" t="s">
        <v>7291</v>
      </c>
      <c r="P2726" s="22" t="str">
        <f>HYPERLINK("https://ceds.ed.gov/cedselementdetails.aspx?termid=22638")</f>
        <v>https://ceds.ed.gov/cedselementdetails.aspx?termid=22638</v>
      </c>
      <c r="Q2726" s="22">
        <v>63405</v>
      </c>
    </row>
    <row r="2727" spans="1:17" ht="201.6" x14ac:dyDescent="0.3">
      <c r="A2727" s="22" t="s">
        <v>7839</v>
      </c>
      <c r="B2727" s="22" t="s">
        <v>7768</v>
      </c>
      <c r="C2727" s="22" t="s">
        <v>7742</v>
      </c>
      <c r="D2727" s="22" t="s">
        <v>7710</v>
      </c>
      <c r="E2727" s="22" t="s">
        <v>1544</v>
      </c>
      <c r="F2727" s="24" t="s">
        <v>1545</v>
      </c>
      <c r="G2727" s="23" t="s">
        <v>32</v>
      </c>
      <c r="H2727" s="24" t="s">
        <v>1547</v>
      </c>
      <c r="I2727" s="22"/>
      <c r="J2727" s="22" t="s">
        <v>118</v>
      </c>
      <c r="K2727" s="24"/>
      <c r="L2727" s="24"/>
      <c r="M2727" s="25" t="s">
        <v>1546</v>
      </c>
      <c r="N2727" s="22"/>
      <c r="O2727" s="22" t="s">
        <v>1544</v>
      </c>
      <c r="P2727" s="22" t="str">
        <f>HYPERLINK("https://ceds.ed.gov/cedselementdetails.aspx?termid=21033")</f>
        <v>https://ceds.ed.gov/cedselementdetails.aspx?termid=21033</v>
      </c>
      <c r="Q2727" s="22">
        <v>63583</v>
      </c>
    </row>
    <row r="2728" spans="1:17" ht="144" x14ac:dyDescent="0.3">
      <c r="A2728" s="22" t="s">
        <v>7839</v>
      </c>
      <c r="B2728" s="22" t="s">
        <v>7768</v>
      </c>
      <c r="C2728" s="22" t="s">
        <v>7742</v>
      </c>
      <c r="D2728" s="22" t="s">
        <v>7710</v>
      </c>
      <c r="E2728" s="22" t="s">
        <v>7640</v>
      </c>
      <c r="F2728" s="24" t="s">
        <v>7641</v>
      </c>
      <c r="G2728" s="26" t="s">
        <v>9121</v>
      </c>
      <c r="H2728" s="22"/>
      <c r="I2728" s="22"/>
      <c r="J2728" s="22"/>
      <c r="K2728" s="24"/>
      <c r="L2728" s="24" t="s">
        <v>7642</v>
      </c>
      <c r="M2728" s="25" t="s">
        <v>7643</v>
      </c>
      <c r="N2728" s="22"/>
      <c r="O2728" s="22" t="s">
        <v>7640</v>
      </c>
      <c r="P2728" s="22" t="str">
        <f>HYPERLINK("https://ceds.ed.gov/cedselementdetails.aspx?termid=22955")</f>
        <v>https://ceds.ed.gov/cedselementdetails.aspx?termid=22955</v>
      </c>
      <c r="Q2728" s="22">
        <v>63584</v>
      </c>
    </row>
    <row r="2729" spans="1:17" ht="115.2" x14ac:dyDescent="0.3">
      <c r="A2729" s="22" t="s">
        <v>7839</v>
      </c>
      <c r="B2729" s="22" t="s">
        <v>7768</v>
      </c>
      <c r="C2729" s="22" t="s">
        <v>7754</v>
      </c>
      <c r="D2729" s="22" t="s">
        <v>7710</v>
      </c>
      <c r="E2729" s="22" t="s">
        <v>4923</v>
      </c>
      <c r="F2729" s="24" t="s">
        <v>4924</v>
      </c>
      <c r="G2729" s="23" t="s">
        <v>7423</v>
      </c>
      <c r="H2729" s="24" t="s">
        <v>4927</v>
      </c>
      <c r="I2729" s="22"/>
      <c r="J2729" s="22"/>
      <c r="K2729" s="24"/>
      <c r="L2729" s="24" t="s">
        <v>7994</v>
      </c>
      <c r="M2729" s="25" t="s">
        <v>4925</v>
      </c>
      <c r="N2729" s="22"/>
      <c r="O2729" s="22" t="s">
        <v>4926</v>
      </c>
      <c r="P2729" s="22" t="str">
        <f>HYPERLINK("https://ceds.ed.gov/cedselementdetails.aspx?termid=21317")</f>
        <v>https://ceds.ed.gov/cedselementdetails.aspx?termid=21317</v>
      </c>
      <c r="Q2729" s="22">
        <v>63406</v>
      </c>
    </row>
    <row r="2730" spans="1:17" ht="115.2" x14ac:dyDescent="0.3">
      <c r="A2730" s="22" t="s">
        <v>7839</v>
      </c>
      <c r="B2730" s="22" t="s">
        <v>7768</v>
      </c>
      <c r="C2730" s="22" t="s">
        <v>7754</v>
      </c>
      <c r="D2730" s="22" t="s">
        <v>7710</v>
      </c>
      <c r="E2730" s="22" t="s">
        <v>4928</v>
      </c>
      <c r="F2730" s="24" t="s">
        <v>4924</v>
      </c>
      <c r="G2730" s="23" t="s">
        <v>7423</v>
      </c>
      <c r="H2730" s="22"/>
      <c r="I2730" s="22" t="s">
        <v>172</v>
      </c>
      <c r="J2730" s="22"/>
      <c r="K2730" s="24" t="s">
        <v>8231</v>
      </c>
      <c r="L2730" s="24" t="s">
        <v>8232</v>
      </c>
      <c r="M2730" s="25" t="s">
        <v>4929</v>
      </c>
      <c r="N2730" s="22"/>
      <c r="O2730" s="22" t="s">
        <v>4930</v>
      </c>
      <c r="P2730" s="22" t="str">
        <f>HYPERLINK("https://ceds.ed.gov/cedselementdetails.aspx?termid=22618")</f>
        <v>https://ceds.ed.gov/cedselementdetails.aspx?termid=22618</v>
      </c>
      <c r="Q2730" s="22">
        <v>63407</v>
      </c>
    </row>
    <row r="2731" spans="1:17" ht="409.6" x14ac:dyDescent="0.3">
      <c r="A2731" s="22" t="s">
        <v>7839</v>
      </c>
      <c r="B2731" s="22" t="s">
        <v>7768</v>
      </c>
      <c r="C2731" s="22" t="s">
        <v>7754</v>
      </c>
      <c r="D2731" s="22" t="s">
        <v>7710</v>
      </c>
      <c r="E2731" s="22" t="s">
        <v>4931</v>
      </c>
      <c r="F2731" s="24" t="s">
        <v>4932</v>
      </c>
      <c r="G2731" s="26" t="s">
        <v>8988</v>
      </c>
      <c r="H2731" s="22"/>
      <c r="I2731" s="22"/>
      <c r="J2731" s="22"/>
      <c r="K2731" s="24"/>
      <c r="L2731" s="24" t="s">
        <v>8233</v>
      </c>
      <c r="M2731" s="25" t="s">
        <v>4933</v>
      </c>
      <c r="N2731" s="22"/>
      <c r="O2731" s="22" t="s">
        <v>4934</v>
      </c>
      <c r="P2731" s="22" t="str">
        <f>HYPERLINK("https://ceds.ed.gov/cedselementdetails.aspx?termid=22619")</f>
        <v>https://ceds.ed.gov/cedselementdetails.aspx?termid=22619</v>
      </c>
      <c r="Q2731" s="22">
        <v>63408</v>
      </c>
    </row>
    <row r="2732" spans="1:17" ht="129.6" x14ac:dyDescent="0.3">
      <c r="A2732" s="22" t="s">
        <v>7839</v>
      </c>
      <c r="B2732" s="22" t="s">
        <v>7768</v>
      </c>
      <c r="C2732" s="22" t="s">
        <v>7754</v>
      </c>
      <c r="D2732" s="22" t="s">
        <v>7710</v>
      </c>
      <c r="E2732" s="22" t="s">
        <v>4965</v>
      </c>
      <c r="F2732" s="24" t="s">
        <v>4966</v>
      </c>
      <c r="G2732" s="26" t="s">
        <v>8993</v>
      </c>
      <c r="H2732" s="24" t="s">
        <v>4927</v>
      </c>
      <c r="I2732" s="22"/>
      <c r="J2732" s="22"/>
      <c r="K2732" s="24"/>
      <c r="L2732" s="24"/>
      <c r="M2732" s="25" t="s">
        <v>4967</v>
      </c>
      <c r="N2732" s="22"/>
      <c r="O2732" s="22" t="s">
        <v>4968</v>
      </c>
      <c r="P2732" s="22" t="str">
        <f>HYPERLINK("https://ceds.ed.gov/cedselementdetails.aspx?termid=21316")</f>
        <v>https://ceds.ed.gov/cedselementdetails.aspx?termid=21316</v>
      </c>
      <c r="Q2732" s="22">
        <v>63409</v>
      </c>
    </row>
    <row r="2733" spans="1:17" ht="57.6" x14ac:dyDescent="0.3">
      <c r="A2733" s="22" t="s">
        <v>7839</v>
      </c>
      <c r="B2733" s="22" t="s">
        <v>7768</v>
      </c>
      <c r="C2733" s="22" t="s">
        <v>4</v>
      </c>
      <c r="D2733" s="22" t="s">
        <v>7710</v>
      </c>
      <c r="E2733" s="22" t="s">
        <v>6262</v>
      </c>
      <c r="F2733" s="24" t="s">
        <v>6263</v>
      </c>
      <c r="G2733" s="26" t="s">
        <v>22</v>
      </c>
      <c r="H2733" s="22"/>
      <c r="I2733" s="22"/>
      <c r="J2733" s="22"/>
      <c r="K2733" s="24"/>
      <c r="L2733" s="24"/>
      <c r="M2733" s="25" t="s">
        <v>6264</v>
      </c>
      <c r="N2733" s="22"/>
      <c r="O2733" s="22" t="s">
        <v>6265</v>
      </c>
      <c r="P2733" s="22" t="str">
        <f>HYPERLINK("https://ceds.ed.gov/cedselementdetails.aspx?termid=21760")</f>
        <v>https://ceds.ed.gov/cedselementdetails.aspx?termid=21760</v>
      </c>
      <c r="Q2733" s="22">
        <v>63411</v>
      </c>
    </row>
    <row r="2734" spans="1:17" ht="158.4" x14ac:dyDescent="0.3">
      <c r="A2734" s="22" t="s">
        <v>7839</v>
      </c>
      <c r="B2734" s="22" t="s">
        <v>7863</v>
      </c>
      <c r="C2734" s="22" t="s">
        <v>7738</v>
      </c>
      <c r="D2734" s="22" t="s">
        <v>7710</v>
      </c>
      <c r="E2734" s="22" t="s">
        <v>4050</v>
      </c>
      <c r="F2734" s="24" t="s">
        <v>4051</v>
      </c>
      <c r="G2734" s="23" t="s">
        <v>32</v>
      </c>
      <c r="H2734" s="24" t="s">
        <v>4054</v>
      </c>
      <c r="I2734" s="22"/>
      <c r="J2734" s="22" t="s">
        <v>7536</v>
      </c>
      <c r="K2734" s="24"/>
      <c r="L2734" s="24" t="s">
        <v>8200</v>
      </c>
      <c r="M2734" s="25" t="s">
        <v>4052</v>
      </c>
      <c r="N2734" s="22"/>
      <c r="O2734" s="22" t="s">
        <v>4053</v>
      </c>
      <c r="P2734" s="22" t="str">
        <f>HYPERLINK("https://ceds.ed.gov/cedselementdetails.aspx?termid=21115")</f>
        <v>https://ceds.ed.gov/cedselementdetails.aspx?termid=21115</v>
      </c>
      <c r="Q2734" s="22">
        <v>60026</v>
      </c>
    </row>
    <row r="2735" spans="1:17" ht="158.4" x14ac:dyDescent="0.3">
      <c r="A2735" s="22" t="s">
        <v>7839</v>
      </c>
      <c r="B2735" s="22" t="s">
        <v>7863</v>
      </c>
      <c r="C2735" s="22" t="s">
        <v>7738</v>
      </c>
      <c r="D2735" s="22" t="s">
        <v>7710</v>
      </c>
      <c r="E2735" s="22" t="s">
        <v>5415</v>
      </c>
      <c r="F2735" s="24" t="s">
        <v>5416</v>
      </c>
      <c r="G2735" s="23" t="s">
        <v>32</v>
      </c>
      <c r="H2735" s="24" t="s">
        <v>4054</v>
      </c>
      <c r="I2735" s="22"/>
      <c r="J2735" s="22" t="s">
        <v>7536</v>
      </c>
      <c r="K2735" s="24"/>
      <c r="L2735" s="24" t="s">
        <v>8207</v>
      </c>
      <c r="M2735" s="25" t="s">
        <v>5417</v>
      </c>
      <c r="N2735" s="22"/>
      <c r="O2735" s="22" t="s">
        <v>5418</v>
      </c>
      <c r="P2735" s="22" t="str">
        <f>HYPERLINK("https://ceds.ed.gov/cedselementdetails.aspx?termid=21184")</f>
        <v>https://ceds.ed.gov/cedselementdetails.aspx?termid=21184</v>
      </c>
      <c r="Q2735" s="22">
        <v>60027</v>
      </c>
    </row>
    <row r="2736" spans="1:17" ht="158.4" x14ac:dyDescent="0.3">
      <c r="A2736" s="22" t="s">
        <v>7839</v>
      </c>
      <c r="B2736" s="22" t="s">
        <v>7863</v>
      </c>
      <c r="C2736" s="22" t="s">
        <v>7738</v>
      </c>
      <c r="D2736" s="22" t="s">
        <v>7710</v>
      </c>
      <c r="E2736" s="22" t="s">
        <v>4973</v>
      </c>
      <c r="F2736" s="24" t="s">
        <v>4974</v>
      </c>
      <c r="G2736" s="23" t="s">
        <v>32</v>
      </c>
      <c r="H2736" s="24" t="s">
        <v>4054</v>
      </c>
      <c r="I2736" s="22"/>
      <c r="J2736" s="22" t="s">
        <v>7536</v>
      </c>
      <c r="K2736" s="24"/>
      <c r="L2736" s="24" t="s">
        <v>8207</v>
      </c>
      <c r="M2736" s="25" t="s">
        <v>4975</v>
      </c>
      <c r="N2736" s="22" t="s">
        <v>4976</v>
      </c>
      <c r="O2736" s="22" t="s">
        <v>4977</v>
      </c>
      <c r="P2736" s="22" t="str">
        <f>HYPERLINK("https://ceds.ed.gov/cedselementdetails.aspx?termid=21172")</f>
        <v>https://ceds.ed.gov/cedselementdetails.aspx?termid=21172</v>
      </c>
      <c r="Q2736" s="22">
        <v>60028</v>
      </c>
    </row>
    <row r="2737" spans="1:17" ht="129.6" x14ac:dyDescent="0.3">
      <c r="A2737" s="22" t="s">
        <v>7839</v>
      </c>
      <c r="B2737" s="22" t="s">
        <v>7863</v>
      </c>
      <c r="C2737" s="22" t="s">
        <v>7738</v>
      </c>
      <c r="D2737" s="22" t="s">
        <v>7710</v>
      </c>
      <c r="E2737" s="22" t="s">
        <v>4114</v>
      </c>
      <c r="F2737" s="24" t="s">
        <v>4115</v>
      </c>
      <c r="G2737" s="23" t="s">
        <v>32</v>
      </c>
      <c r="H2737" s="24" t="s">
        <v>4119</v>
      </c>
      <c r="I2737" s="22"/>
      <c r="J2737" s="22" t="s">
        <v>2743</v>
      </c>
      <c r="K2737" s="24"/>
      <c r="L2737" s="24" t="s">
        <v>8207</v>
      </c>
      <c r="M2737" s="25" t="s">
        <v>4117</v>
      </c>
      <c r="N2737" s="22"/>
      <c r="O2737" s="22" t="s">
        <v>4118</v>
      </c>
      <c r="P2737" s="22" t="str">
        <f>HYPERLINK("https://ceds.ed.gov/cedselementdetails.aspx?termid=21121")</f>
        <v>https://ceds.ed.gov/cedselementdetails.aspx?termid=21121</v>
      </c>
      <c r="Q2737" s="22">
        <v>60029</v>
      </c>
    </row>
    <row r="2738" spans="1:17" ht="86.4" x14ac:dyDescent="0.3">
      <c r="A2738" s="22" t="s">
        <v>7839</v>
      </c>
      <c r="B2738" s="22" t="s">
        <v>7863</v>
      </c>
      <c r="C2738" s="22" t="s">
        <v>7738</v>
      </c>
      <c r="D2738" s="22" t="s">
        <v>7710</v>
      </c>
      <c r="E2738" s="22" t="s">
        <v>5860</v>
      </c>
      <c r="F2738" s="24" t="s">
        <v>5861</v>
      </c>
      <c r="G2738" s="23" t="s">
        <v>32</v>
      </c>
      <c r="H2738" s="24" t="s">
        <v>5865</v>
      </c>
      <c r="I2738" s="22"/>
      <c r="J2738" s="22" t="s">
        <v>85</v>
      </c>
      <c r="K2738" s="24"/>
      <c r="L2738" s="24"/>
      <c r="M2738" s="25" t="s">
        <v>5862</v>
      </c>
      <c r="N2738" s="22" t="s">
        <v>5863</v>
      </c>
      <c r="O2738" s="22" t="s">
        <v>5864</v>
      </c>
      <c r="P2738" s="22" t="str">
        <f>HYPERLINK("https://ceds.ed.gov/cedselementdetails.aspx?termid=21212")</f>
        <v>https://ceds.ed.gov/cedselementdetails.aspx?termid=21212</v>
      </c>
      <c r="Q2738" s="22">
        <v>60030</v>
      </c>
    </row>
    <row r="2739" spans="1:17" ht="28.8" x14ac:dyDescent="0.3">
      <c r="A2739" s="22" t="s">
        <v>7839</v>
      </c>
      <c r="B2739" s="22" t="s">
        <v>7863</v>
      </c>
      <c r="C2739" s="22" t="s">
        <v>7739</v>
      </c>
      <c r="D2739" s="22" t="s">
        <v>7710</v>
      </c>
      <c r="E2739" s="22" t="s">
        <v>5728</v>
      </c>
      <c r="F2739" s="24" t="s">
        <v>5729</v>
      </c>
      <c r="G2739" s="23" t="s">
        <v>32</v>
      </c>
      <c r="H2739" s="22"/>
      <c r="I2739" s="22"/>
      <c r="J2739" s="22" t="s">
        <v>1301</v>
      </c>
      <c r="K2739" s="24"/>
      <c r="L2739" s="24" t="s">
        <v>5730</v>
      </c>
      <c r="M2739" s="25" t="s">
        <v>5731</v>
      </c>
      <c r="N2739" s="22"/>
      <c r="O2739" s="22" t="s">
        <v>5732</v>
      </c>
      <c r="P2739" s="22" t="str">
        <f>HYPERLINK("https://ceds.ed.gov/cedselementdetails.aspx?termid=22486")</f>
        <v>https://ceds.ed.gov/cedselementdetails.aspx?termid=22486</v>
      </c>
      <c r="Q2739" s="22">
        <v>61634</v>
      </c>
    </row>
    <row r="2740" spans="1:17" ht="28.8" x14ac:dyDescent="0.3">
      <c r="A2740" s="22" t="s">
        <v>7839</v>
      </c>
      <c r="B2740" s="22" t="s">
        <v>7863</v>
      </c>
      <c r="C2740" s="22" t="s">
        <v>7739</v>
      </c>
      <c r="D2740" s="22" t="s">
        <v>7710</v>
      </c>
      <c r="E2740" s="22" t="s">
        <v>5733</v>
      </c>
      <c r="F2740" s="24" t="s">
        <v>5734</v>
      </c>
      <c r="G2740" s="23" t="s">
        <v>32</v>
      </c>
      <c r="H2740" s="22"/>
      <c r="I2740" s="22"/>
      <c r="J2740" s="22" t="s">
        <v>1301</v>
      </c>
      <c r="K2740" s="24"/>
      <c r="L2740" s="24" t="s">
        <v>5735</v>
      </c>
      <c r="M2740" s="25" t="s">
        <v>5736</v>
      </c>
      <c r="N2740" s="22"/>
      <c r="O2740" s="22" t="s">
        <v>5737</v>
      </c>
      <c r="P2740" s="22" t="str">
        <f>HYPERLINK("https://ceds.ed.gov/cedselementdetails.aspx?termid=22485")</f>
        <v>https://ceds.ed.gov/cedselementdetails.aspx?termid=22485</v>
      </c>
      <c r="Q2740" s="22">
        <v>61618</v>
      </c>
    </row>
    <row r="2741" spans="1:17" ht="28.8" x14ac:dyDescent="0.3">
      <c r="A2741" s="22" t="s">
        <v>7839</v>
      </c>
      <c r="B2741" s="22" t="s">
        <v>7863</v>
      </c>
      <c r="C2741" s="22" t="s">
        <v>7739</v>
      </c>
      <c r="D2741" s="22" t="s">
        <v>7710</v>
      </c>
      <c r="E2741" s="22" t="s">
        <v>5738</v>
      </c>
      <c r="F2741" s="24" t="s">
        <v>5739</v>
      </c>
      <c r="G2741" s="23" t="s">
        <v>32</v>
      </c>
      <c r="H2741" s="22"/>
      <c r="I2741" s="22"/>
      <c r="J2741" s="22" t="s">
        <v>1301</v>
      </c>
      <c r="K2741" s="24"/>
      <c r="L2741" s="24" t="s">
        <v>5740</v>
      </c>
      <c r="M2741" s="25" t="s">
        <v>5741</v>
      </c>
      <c r="N2741" s="22"/>
      <c r="O2741" s="22" t="s">
        <v>5742</v>
      </c>
      <c r="P2741" s="22" t="str">
        <f>HYPERLINK("https://ceds.ed.gov/cedselementdetails.aspx?termid=22487")</f>
        <v>https://ceds.ed.gov/cedselementdetails.aspx?termid=22487</v>
      </c>
      <c r="Q2741" s="22">
        <v>61650</v>
      </c>
    </row>
    <row r="2742" spans="1:17" ht="129.6" x14ac:dyDescent="0.3">
      <c r="A2742" s="22" t="s">
        <v>7839</v>
      </c>
      <c r="B2742" s="22" t="s">
        <v>7863</v>
      </c>
      <c r="C2742" s="22" t="s">
        <v>7739</v>
      </c>
      <c r="D2742" s="22" t="s">
        <v>7710</v>
      </c>
      <c r="E2742" s="22" t="s">
        <v>5743</v>
      </c>
      <c r="F2742" s="24" t="s">
        <v>5744</v>
      </c>
      <c r="G2742" s="23" t="s">
        <v>32</v>
      </c>
      <c r="H2742" s="24" t="s">
        <v>4119</v>
      </c>
      <c r="I2742" s="22"/>
      <c r="J2742" s="22" t="s">
        <v>132</v>
      </c>
      <c r="K2742" s="24"/>
      <c r="L2742" s="24"/>
      <c r="M2742" s="25" t="s">
        <v>5745</v>
      </c>
      <c r="N2742" s="22"/>
      <c r="O2742" s="22" t="s">
        <v>5746</v>
      </c>
      <c r="P2742" s="22" t="str">
        <f>HYPERLINK("https://ceds.ed.gov/cedselementdetails.aspx?termid=21206")</f>
        <v>https://ceds.ed.gov/cedselementdetails.aspx?termid=21206</v>
      </c>
      <c r="Q2742" s="22">
        <v>60031</v>
      </c>
    </row>
    <row r="2743" spans="1:17" ht="115.2" x14ac:dyDescent="0.3">
      <c r="A2743" s="22" t="s">
        <v>7839</v>
      </c>
      <c r="B2743" s="22" t="s">
        <v>7863</v>
      </c>
      <c r="C2743" s="22" t="s">
        <v>7739</v>
      </c>
      <c r="D2743" s="22" t="s">
        <v>7710</v>
      </c>
      <c r="E2743" s="22" t="s">
        <v>5747</v>
      </c>
      <c r="F2743" s="24" t="s">
        <v>5748</v>
      </c>
      <c r="G2743" s="26" t="s">
        <v>9055</v>
      </c>
      <c r="H2743" s="24" t="s">
        <v>5751</v>
      </c>
      <c r="I2743" s="22"/>
      <c r="J2743" s="22" t="s">
        <v>85</v>
      </c>
      <c r="K2743" s="24"/>
      <c r="L2743" s="24"/>
      <c r="M2743" s="25" t="s">
        <v>5749</v>
      </c>
      <c r="N2743" s="22"/>
      <c r="O2743" s="22" t="s">
        <v>5750</v>
      </c>
      <c r="P2743" s="22" t="str">
        <f>HYPERLINK("https://ceds.ed.gov/cedselementdetails.aspx?termid=21627")</f>
        <v>https://ceds.ed.gov/cedselementdetails.aspx?termid=21627</v>
      </c>
      <c r="Q2743" s="22">
        <v>60032</v>
      </c>
    </row>
    <row r="2744" spans="1:17" ht="172.8" x14ac:dyDescent="0.3">
      <c r="A2744" s="22" t="s">
        <v>7839</v>
      </c>
      <c r="B2744" s="22" t="s">
        <v>7863</v>
      </c>
      <c r="C2744" s="22" t="s">
        <v>7740</v>
      </c>
      <c r="D2744" s="22" t="s">
        <v>7710</v>
      </c>
      <c r="E2744" s="22" t="s">
        <v>6911</v>
      </c>
      <c r="F2744" s="24" t="s">
        <v>6912</v>
      </c>
      <c r="G2744" s="23" t="s">
        <v>32</v>
      </c>
      <c r="H2744" s="24" t="s">
        <v>6915</v>
      </c>
      <c r="I2744" s="22" t="s">
        <v>172</v>
      </c>
      <c r="J2744" s="22" t="s">
        <v>132</v>
      </c>
      <c r="K2744" s="24" t="s">
        <v>7946</v>
      </c>
      <c r="L2744" s="24" t="s">
        <v>7945</v>
      </c>
      <c r="M2744" s="25" t="s">
        <v>6913</v>
      </c>
      <c r="N2744" s="22"/>
      <c r="O2744" s="22" t="s">
        <v>6914</v>
      </c>
      <c r="P2744" s="22" t="str">
        <f>HYPERLINK("https://ceds.ed.gov/cedselementdetails.aspx?termid=21156")</f>
        <v>https://ceds.ed.gov/cedselementdetails.aspx?termid=21156</v>
      </c>
      <c r="Q2744" s="22">
        <v>60152</v>
      </c>
    </row>
    <row r="2745" spans="1:17" ht="244.8" x14ac:dyDescent="0.3">
      <c r="A2745" s="22" t="s">
        <v>7839</v>
      </c>
      <c r="B2745" s="22" t="s">
        <v>7863</v>
      </c>
      <c r="C2745" s="22" t="s">
        <v>7740</v>
      </c>
      <c r="D2745" s="22" t="s">
        <v>7710</v>
      </c>
      <c r="E2745" s="22" t="s">
        <v>6906</v>
      </c>
      <c r="F2745" s="24" t="s">
        <v>6907</v>
      </c>
      <c r="G2745" s="26" t="s">
        <v>8531</v>
      </c>
      <c r="H2745" s="24" t="s">
        <v>6910</v>
      </c>
      <c r="I2745" s="22" t="s">
        <v>172</v>
      </c>
      <c r="J2745" s="22"/>
      <c r="K2745" s="24" t="s">
        <v>7946</v>
      </c>
      <c r="L2745" s="24"/>
      <c r="M2745" s="25" t="s">
        <v>6908</v>
      </c>
      <c r="N2745" s="22"/>
      <c r="O2745" s="22" t="s">
        <v>6909</v>
      </c>
      <c r="P2745" s="22" t="str">
        <f>HYPERLINK("https://ceds.ed.gov/cedselementdetails.aspx?termid=21162")</f>
        <v>https://ceds.ed.gov/cedselementdetails.aspx?termid=21162</v>
      </c>
      <c r="Q2745" s="22">
        <v>59615</v>
      </c>
    </row>
    <row r="2746" spans="1:17" ht="403.2" x14ac:dyDescent="0.3">
      <c r="A2746" s="22" t="s">
        <v>7839</v>
      </c>
      <c r="B2746" s="22" t="s">
        <v>7863</v>
      </c>
      <c r="C2746" s="22" t="s">
        <v>7740</v>
      </c>
      <c r="D2746" s="22" t="s">
        <v>7710</v>
      </c>
      <c r="E2746" s="22" t="s">
        <v>5856</v>
      </c>
      <c r="F2746" s="24" t="s">
        <v>5857</v>
      </c>
      <c r="G2746" s="26" t="s">
        <v>8498</v>
      </c>
      <c r="H2746" s="22"/>
      <c r="I2746" s="22" t="s">
        <v>172</v>
      </c>
      <c r="J2746" s="22"/>
      <c r="K2746" s="24" t="s">
        <v>7946</v>
      </c>
      <c r="L2746" s="24"/>
      <c r="M2746" s="25" t="s">
        <v>5858</v>
      </c>
      <c r="N2746" s="22"/>
      <c r="O2746" s="22" t="s">
        <v>5859</v>
      </c>
      <c r="P2746" s="22" t="str">
        <f>HYPERLINK("https://ceds.ed.gov/cedselementdetails.aspx?termid=21611")</f>
        <v>https://ceds.ed.gov/cedselementdetails.aspx?termid=21611</v>
      </c>
      <c r="Q2746" s="22">
        <v>60218</v>
      </c>
    </row>
    <row r="2747" spans="1:17" ht="72" x14ac:dyDescent="0.3">
      <c r="A2747" s="22" t="s">
        <v>7839</v>
      </c>
      <c r="B2747" s="22" t="s">
        <v>7863</v>
      </c>
      <c r="C2747" s="22" t="s">
        <v>7740</v>
      </c>
      <c r="D2747" s="22" t="s">
        <v>7710</v>
      </c>
      <c r="E2747" s="22" t="s">
        <v>7621</v>
      </c>
      <c r="F2747" s="24" t="s">
        <v>7622</v>
      </c>
      <c r="G2747" s="26" t="s">
        <v>8496</v>
      </c>
      <c r="H2747" s="22"/>
      <c r="I2747" s="22" t="s">
        <v>172</v>
      </c>
      <c r="J2747" s="22"/>
      <c r="K2747" s="24" t="s">
        <v>7946</v>
      </c>
      <c r="L2747" s="24"/>
      <c r="M2747" s="25" t="s">
        <v>7623</v>
      </c>
      <c r="N2747" s="22"/>
      <c r="O2747" s="22" t="s">
        <v>7624</v>
      </c>
      <c r="P2747" s="22" t="str">
        <f>HYPERLINK("https://ceds.ed.gov/cedselementdetails.aspx?termid=22951")</f>
        <v>https://ceds.ed.gov/cedselementdetails.aspx?termid=22951</v>
      </c>
      <c r="Q2747" s="22">
        <v>63618</v>
      </c>
    </row>
    <row r="2748" spans="1:17" ht="100.8" x14ac:dyDescent="0.3">
      <c r="A2748" s="22" t="s">
        <v>7839</v>
      </c>
      <c r="B2748" s="22" t="s">
        <v>7863</v>
      </c>
      <c r="C2748" s="22" t="s">
        <v>7716</v>
      </c>
      <c r="D2748" s="22" t="s">
        <v>7710</v>
      </c>
      <c r="E2748" s="22" t="s">
        <v>203</v>
      </c>
      <c r="F2748" s="24" t="s">
        <v>204</v>
      </c>
      <c r="G2748" s="26" t="s">
        <v>8577</v>
      </c>
      <c r="H2748" s="22" t="s">
        <v>207</v>
      </c>
      <c r="I2748" s="22"/>
      <c r="J2748" s="22" t="s">
        <v>85</v>
      </c>
      <c r="K2748" s="24"/>
      <c r="L2748" s="24"/>
      <c r="M2748" s="25" t="s">
        <v>205</v>
      </c>
      <c r="N2748" s="22"/>
      <c r="O2748" s="22" t="s">
        <v>206</v>
      </c>
      <c r="P2748" s="22" t="str">
        <f>HYPERLINK("https://ceds.ed.gov/cedselementdetails.aspx?termid=21698")</f>
        <v>https://ceds.ed.gov/cedselementdetails.aspx?termid=21698</v>
      </c>
      <c r="Q2748" s="22">
        <v>60033</v>
      </c>
    </row>
    <row r="2749" spans="1:17" ht="187.2" x14ac:dyDescent="0.3">
      <c r="A2749" s="22" t="s">
        <v>7839</v>
      </c>
      <c r="B2749" s="22" t="s">
        <v>7863</v>
      </c>
      <c r="C2749" s="22" t="s">
        <v>7716</v>
      </c>
      <c r="D2749" s="22" t="s">
        <v>7710</v>
      </c>
      <c r="E2749" s="22" t="s">
        <v>189</v>
      </c>
      <c r="F2749" s="24" t="s">
        <v>190</v>
      </c>
      <c r="G2749" s="23" t="s">
        <v>32</v>
      </c>
      <c r="H2749" s="24" t="s">
        <v>175</v>
      </c>
      <c r="I2749" s="22" t="s">
        <v>172</v>
      </c>
      <c r="J2749" s="22" t="s">
        <v>191</v>
      </c>
      <c r="K2749" s="24" t="s">
        <v>7946</v>
      </c>
      <c r="L2749" s="24"/>
      <c r="M2749" s="25" t="s">
        <v>192</v>
      </c>
      <c r="N2749" s="22"/>
      <c r="O2749" s="22" t="s">
        <v>193</v>
      </c>
      <c r="P2749" s="22" t="str">
        <f>HYPERLINK("https://ceds.ed.gov/cedselementdetails.aspx?termid=21269")</f>
        <v>https://ceds.ed.gov/cedselementdetails.aspx?termid=21269</v>
      </c>
      <c r="Q2749" s="22">
        <v>60034</v>
      </c>
    </row>
    <row r="2750" spans="1:17" ht="187.2" x14ac:dyDescent="0.3">
      <c r="A2750" s="22" t="s">
        <v>7839</v>
      </c>
      <c r="B2750" s="22" t="s">
        <v>7863</v>
      </c>
      <c r="C2750" s="22" t="s">
        <v>7716</v>
      </c>
      <c r="D2750" s="22" t="s">
        <v>7710</v>
      </c>
      <c r="E2750" s="22" t="s">
        <v>170</v>
      </c>
      <c r="F2750" s="24" t="s">
        <v>171</v>
      </c>
      <c r="G2750" s="23" t="s">
        <v>32</v>
      </c>
      <c r="H2750" s="24" t="s">
        <v>175</v>
      </c>
      <c r="I2750" s="22" t="s">
        <v>172</v>
      </c>
      <c r="J2750" s="22" t="s">
        <v>157</v>
      </c>
      <c r="K2750" s="24" t="s">
        <v>7946</v>
      </c>
      <c r="L2750" s="24"/>
      <c r="M2750" s="25" t="s">
        <v>173</v>
      </c>
      <c r="N2750" s="22"/>
      <c r="O2750" s="22" t="s">
        <v>174</v>
      </c>
      <c r="P2750" s="22" t="str">
        <f>HYPERLINK("https://ceds.ed.gov/cedselementdetails.aspx?termid=21019")</f>
        <v>https://ceds.ed.gov/cedselementdetails.aspx?termid=21019</v>
      </c>
      <c r="Q2750" s="22">
        <v>60048</v>
      </c>
    </row>
    <row r="2751" spans="1:17" ht="187.2" x14ac:dyDescent="0.3">
      <c r="A2751" s="22" t="s">
        <v>7839</v>
      </c>
      <c r="B2751" s="22" t="s">
        <v>7863</v>
      </c>
      <c r="C2751" s="22" t="s">
        <v>7716</v>
      </c>
      <c r="D2751" s="22" t="s">
        <v>7710</v>
      </c>
      <c r="E2751" s="22" t="s">
        <v>176</v>
      </c>
      <c r="F2751" s="24" t="s">
        <v>177</v>
      </c>
      <c r="G2751" s="23" t="s">
        <v>32</v>
      </c>
      <c r="H2751" s="24" t="s">
        <v>175</v>
      </c>
      <c r="I2751" s="22" t="s">
        <v>172</v>
      </c>
      <c r="J2751" s="22" t="s">
        <v>85</v>
      </c>
      <c r="K2751" s="24" t="s">
        <v>7946</v>
      </c>
      <c r="L2751" s="24"/>
      <c r="M2751" s="25" t="s">
        <v>178</v>
      </c>
      <c r="N2751" s="22"/>
      <c r="O2751" s="22" t="s">
        <v>179</v>
      </c>
      <c r="P2751" s="22" t="str">
        <f>HYPERLINK("https://ceds.ed.gov/cedselementdetails.aspx?termid=21040")</f>
        <v>https://ceds.ed.gov/cedselementdetails.aspx?termid=21040</v>
      </c>
      <c r="Q2751" s="22">
        <v>60035</v>
      </c>
    </row>
    <row r="2752" spans="1:17" ht="409.6" x14ac:dyDescent="0.3">
      <c r="A2752" s="22" t="s">
        <v>7839</v>
      </c>
      <c r="B2752" s="22" t="s">
        <v>7863</v>
      </c>
      <c r="C2752" s="22" t="s">
        <v>7716</v>
      </c>
      <c r="D2752" s="22" t="s">
        <v>7710</v>
      </c>
      <c r="E2752" s="22" t="s">
        <v>6941</v>
      </c>
      <c r="F2752" s="24" t="s">
        <v>6942</v>
      </c>
      <c r="G2752" s="26" t="s">
        <v>8533</v>
      </c>
      <c r="H2752" s="24" t="s">
        <v>6945</v>
      </c>
      <c r="I2752" s="22" t="s">
        <v>172</v>
      </c>
      <c r="J2752" s="22"/>
      <c r="K2752" s="24" t="s">
        <v>8327</v>
      </c>
      <c r="L2752" s="24"/>
      <c r="M2752" s="25" t="s">
        <v>6943</v>
      </c>
      <c r="N2752" s="22"/>
      <c r="O2752" s="22" t="s">
        <v>6944</v>
      </c>
      <c r="P2752" s="22" t="str">
        <f>HYPERLINK("https://ceds.ed.gov/cedselementdetails.aspx?termid=21267")</f>
        <v>https://ceds.ed.gov/cedselementdetails.aspx?termid=21267</v>
      </c>
      <c r="Q2752" s="22">
        <v>60036</v>
      </c>
    </row>
    <row r="2753" spans="1:17" ht="187.2" x14ac:dyDescent="0.3">
      <c r="A2753" s="22" t="s">
        <v>7839</v>
      </c>
      <c r="B2753" s="22" t="s">
        <v>7863</v>
      </c>
      <c r="C2753" s="22" t="s">
        <v>7716</v>
      </c>
      <c r="D2753" s="22" t="s">
        <v>7710</v>
      </c>
      <c r="E2753" s="22" t="s">
        <v>184</v>
      </c>
      <c r="F2753" s="24" t="s">
        <v>185</v>
      </c>
      <c r="G2753" s="23" t="s">
        <v>32</v>
      </c>
      <c r="H2753" s="24" t="s">
        <v>175</v>
      </c>
      <c r="I2753" s="22" t="s">
        <v>172</v>
      </c>
      <c r="J2753" s="22" t="s">
        <v>186</v>
      </c>
      <c r="K2753" s="24" t="s">
        <v>7946</v>
      </c>
      <c r="L2753" s="24"/>
      <c r="M2753" s="25" t="s">
        <v>187</v>
      </c>
      <c r="N2753" s="22"/>
      <c r="O2753" s="22" t="s">
        <v>188</v>
      </c>
      <c r="P2753" s="22" t="str">
        <f>HYPERLINK("https://ceds.ed.gov/cedselementdetails.aspx?termid=21214")</f>
        <v>https://ceds.ed.gov/cedselementdetails.aspx?termid=21214</v>
      </c>
      <c r="Q2753" s="22">
        <v>60037</v>
      </c>
    </row>
    <row r="2754" spans="1:17" ht="187.2" x14ac:dyDescent="0.3">
      <c r="A2754" s="22" t="s">
        <v>7839</v>
      </c>
      <c r="B2754" s="22" t="s">
        <v>7863</v>
      </c>
      <c r="C2754" s="22" t="s">
        <v>7716</v>
      </c>
      <c r="D2754" s="22" t="s">
        <v>7710</v>
      </c>
      <c r="E2754" s="22" t="s">
        <v>180</v>
      </c>
      <c r="F2754" s="24" t="s">
        <v>181</v>
      </c>
      <c r="G2754" s="23" t="s">
        <v>32</v>
      </c>
      <c r="H2754" s="24" t="s">
        <v>175</v>
      </c>
      <c r="I2754" s="22" t="s">
        <v>172</v>
      </c>
      <c r="J2754" s="22" t="s">
        <v>85</v>
      </c>
      <c r="K2754" s="24" t="s">
        <v>7946</v>
      </c>
      <c r="L2754" s="24"/>
      <c r="M2754" s="25" t="s">
        <v>182</v>
      </c>
      <c r="N2754" s="22"/>
      <c r="O2754" s="22" t="s">
        <v>183</v>
      </c>
      <c r="P2754" s="22" t="str">
        <f>HYPERLINK("https://ceds.ed.gov/cedselementdetails.aspx?termid=21190")</f>
        <v>https://ceds.ed.gov/cedselementdetails.aspx?termid=21190</v>
      </c>
      <c r="Q2754" s="22">
        <v>60135</v>
      </c>
    </row>
    <row r="2755" spans="1:17" ht="409.6" x14ac:dyDescent="0.3">
      <c r="A2755" s="22" t="s">
        <v>7839</v>
      </c>
      <c r="B2755" s="22" t="s">
        <v>7863</v>
      </c>
      <c r="C2755" s="22" t="s">
        <v>7716</v>
      </c>
      <c r="D2755" s="22" t="s">
        <v>7710</v>
      </c>
      <c r="E2755" s="22" t="s">
        <v>2526</v>
      </c>
      <c r="F2755" s="24" t="s">
        <v>2527</v>
      </c>
      <c r="G2755" s="26" t="s">
        <v>8743</v>
      </c>
      <c r="H2755" s="24" t="s">
        <v>2530</v>
      </c>
      <c r="I2755" s="22"/>
      <c r="J2755" s="22"/>
      <c r="K2755" s="24"/>
      <c r="L2755" s="24" t="s">
        <v>8055</v>
      </c>
      <c r="M2755" s="25" t="s">
        <v>2528</v>
      </c>
      <c r="N2755" s="22"/>
      <c r="O2755" s="22" t="s">
        <v>2529</v>
      </c>
      <c r="P2755" s="22" t="str">
        <f>HYPERLINK("https://ceds.ed.gov/cedselementdetails.aspx?termid=21050")</f>
        <v>https://ceds.ed.gov/cedselementdetails.aspx?termid=21050</v>
      </c>
      <c r="Q2755" s="22">
        <v>60134</v>
      </c>
    </row>
    <row r="2756" spans="1:17" ht="57.6" x14ac:dyDescent="0.3">
      <c r="A2756" s="22" t="s">
        <v>7839</v>
      </c>
      <c r="B2756" s="22" t="s">
        <v>7863</v>
      </c>
      <c r="C2756" s="22" t="s">
        <v>7716</v>
      </c>
      <c r="D2756" s="22" t="s">
        <v>7710</v>
      </c>
      <c r="E2756" s="22" t="s">
        <v>4982</v>
      </c>
      <c r="F2756" s="24" t="s">
        <v>4983</v>
      </c>
      <c r="G2756" s="23" t="s">
        <v>32</v>
      </c>
      <c r="H2756" s="22"/>
      <c r="I2756" s="22"/>
      <c r="J2756" s="22" t="s">
        <v>1165</v>
      </c>
      <c r="K2756" s="24"/>
      <c r="L2756" s="24"/>
      <c r="M2756" s="25" t="s">
        <v>4984</v>
      </c>
      <c r="N2756" s="22"/>
      <c r="O2756" s="22" t="s">
        <v>4982</v>
      </c>
      <c r="P2756" s="22" t="str">
        <f>HYPERLINK("https://ceds.ed.gov/cedselementdetails.aspx?termid=21599")</f>
        <v>https://ceds.ed.gov/cedselementdetails.aspx?termid=21599</v>
      </c>
      <c r="Q2756" s="22">
        <v>62264</v>
      </c>
    </row>
    <row r="2757" spans="1:17" ht="57.6" x14ac:dyDescent="0.3">
      <c r="A2757" s="22" t="s">
        <v>7839</v>
      </c>
      <c r="B2757" s="22" t="s">
        <v>7863</v>
      </c>
      <c r="C2757" s="22" t="s">
        <v>7716</v>
      </c>
      <c r="D2757" s="22" t="s">
        <v>7710</v>
      </c>
      <c r="E2757" s="22" t="s">
        <v>5372</v>
      </c>
      <c r="F2757" s="24" t="s">
        <v>5373</v>
      </c>
      <c r="G2757" s="23" t="s">
        <v>32</v>
      </c>
      <c r="H2757" s="22"/>
      <c r="I2757" s="22"/>
      <c r="J2757" s="22" t="s">
        <v>1165</v>
      </c>
      <c r="K2757" s="24"/>
      <c r="L2757" s="24"/>
      <c r="M2757" s="25" t="s">
        <v>5374</v>
      </c>
      <c r="N2757" s="22"/>
      <c r="O2757" s="22" t="s">
        <v>5372</v>
      </c>
      <c r="P2757" s="22" t="str">
        <f>HYPERLINK("https://ceds.ed.gov/cedselementdetails.aspx?termid=21600")</f>
        <v>https://ceds.ed.gov/cedselementdetails.aspx?termid=21600</v>
      </c>
      <c r="Q2757" s="22">
        <v>62287</v>
      </c>
    </row>
    <row r="2758" spans="1:17" ht="158.4" x14ac:dyDescent="0.3">
      <c r="A2758" s="22" t="s">
        <v>7839</v>
      </c>
      <c r="B2758" s="22" t="s">
        <v>7863</v>
      </c>
      <c r="C2758" s="22" t="s">
        <v>7716</v>
      </c>
      <c r="D2758" s="22" t="s">
        <v>7710</v>
      </c>
      <c r="E2758" s="22" t="s">
        <v>2536</v>
      </c>
      <c r="F2758" s="24" t="s">
        <v>2537</v>
      </c>
      <c r="G2758" s="23" t="s">
        <v>32</v>
      </c>
      <c r="H2758" s="22"/>
      <c r="I2758" s="22"/>
      <c r="J2758" s="22" t="s">
        <v>2538</v>
      </c>
      <c r="K2758" s="24"/>
      <c r="L2758" s="24"/>
      <c r="M2758" s="25" t="s">
        <v>2539</v>
      </c>
      <c r="N2758" s="22"/>
      <c r="O2758" s="22" t="s">
        <v>2540</v>
      </c>
      <c r="P2758" s="22" t="str">
        <f>HYPERLINK("https://ceds.ed.gov/cedselementdetails.aspx?termid=22176")</f>
        <v>https://ceds.ed.gov/cedselementdetails.aspx?termid=22176</v>
      </c>
      <c r="Q2758" s="22">
        <v>63413</v>
      </c>
    </row>
    <row r="2759" spans="1:17" ht="57.6" x14ac:dyDescent="0.3">
      <c r="A2759" s="22" t="s">
        <v>7839</v>
      </c>
      <c r="B2759" s="22" t="s">
        <v>7863</v>
      </c>
      <c r="C2759" s="22" t="s">
        <v>7716</v>
      </c>
      <c r="D2759" s="22" t="s">
        <v>7710</v>
      </c>
      <c r="E2759" s="22" t="s">
        <v>3228</v>
      </c>
      <c r="F2759" s="24" t="s">
        <v>3229</v>
      </c>
      <c r="G2759" s="26" t="s">
        <v>3039</v>
      </c>
      <c r="H2759" s="22"/>
      <c r="I2759" s="22" t="s">
        <v>172</v>
      </c>
      <c r="J2759" s="22"/>
      <c r="K2759" s="24" t="s">
        <v>7946</v>
      </c>
      <c r="L2759" s="24"/>
      <c r="M2759" s="25" t="s">
        <v>3230</v>
      </c>
      <c r="N2759" s="22"/>
      <c r="O2759" s="22" t="s">
        <v>3231</v>
      </c>
      <c r="P2759" s="22" t="str">
        <f>HYPERLINK("https://ceds.ed.gov/cedselementdetails.aspx?termid=22905")</f>
        <v>https://ceds.ed.gov/cedselementdetails.aspx?termid=22905</v>
      </c>
      <c r="Q2759" s="22">
        <v>63414</v>
      </c>
    </row>
    <row r="2760" spans="1:17" ht="72" x14ac:dyDescent="0.3">
      <c r="A2760" s="22" t="s">
        <v>7839</v>
      </c>
      <c r="B2760" s="22" t="s">
        <v>7863</v>
      </c>
      <c r="C2760" s="22" t="s">
        <v>7718</v>
      </c>
      <c r="D2760" s="22" t="s">
        <v>7710</v>
      </c>
      <c r="E2760" s="22" t="s">
        <v>3461</v>
      </c>
      <c r="F2760" s="24" t="s">
        <v>3462</v>
      </c>
      <c r="G2760" s="23" t="s">
        <v>32</v>
      </c>
      <c r="H2760" s="24" t="s">
        <v>64</v>
      </c>
      <c r="I2760" s="22" t="s">
        <v>172</v>
      </c>
      <c r="J2760" s="22" t="s">
        <v>3463</v>
      </c>
      <c r="K2760" s="24" t="s">
        <v>7946</v>
      </c>
      <c r="L2760" s="24"/>
      <c r="M2760" s="25" t="s">
        <v>3464</v>
      </c>
      <c r="N2760" s="22" t="s">
        <v>3465</v>
      </c>
      <c r="O2760" s="22" t="s">
        <v>3466</v>
      </c>
      <c r="P2760" s="22" t="str">
        <f>HYPERLINK("https://ceds.ed.gov/cedselementdetails.aspx?termid=21088")</f>
        <v>https://ceds.ed.gov/cedselementdetails.aspx?termid=21088</v>
      </c>
      <c r="Q2760" s="22">
        <v>63174</v>
      </c>
    </row>
    <row r="2761" spans="1:17" ht="72" x14ac:dyDescent="0.3">
      <c r="A2761" s="22" t="s">
        <v>7839</v>
      </c>
      <c r="B2761" s="22" t="s">
        <v>7863</v>
      </c>
      <c r="C2761" s="22" t="s">
        <v>7718</v>
      </c>
      <c r="D2761" s="22" t="s">
        <v>7710</v>
      </c>
      <c r="E2761" s="22" t="s">
        <v>3467</v>
      </c>
      <c r="F2761" s="24" t="s">
        <v>3468</v>
      </c>
      <c r="G2761" s="26" t="s">
        <v>8430</v>
      </c>
      <c r="H2761" s="24" t="s">
        <v>64</v>
      </c>
      <c r="I2761" s="22" t="s">
        <v>172</v>
      </c>
      <c r="J2761" s="22"/>
      <c r="K2761" s="24" t="s">
        <v>7946</v>
      </c>
      <c r="L2761" s="24"/>
      <c r="M2761" s="25" t="s">
        <v>3469</v>
      </c>
      <c r="N2761" s="22" t="s">
        <v>3470</v>
      </c>
      <c r="O2761" s="22" t="s">
        <v>3471</v>
      </c>
      <c r="P2761" s="22" t="str">
        <f>HYPERLINK("https://ceds.ed.gov/cedselementdetails.aspx?termid=21089")</f>
        <v>https://ceds.ed.gov/cedselementdetails.aspx?termid=21089</v>
      </c>
      <c r="Q2761" s="22">
        <v>63175</v>
      </c>
    </row>
    <row r="2762" spans="1:17" ht="57.6" x14ac:dyDescent="0.3">
      <c r="A2762" s="22" t="s">
        <v>7839</v>
      </c>
      <c r="B2762" s="22" t="s">
        <v>7863</v>
      </c>
      <c r="C2762" s="22" t="s">
        <v>7718</v>
      </c>
      <c r="D2762" s="22" t="s">
        <v>7710</v>
      </c>
      <c r="E2762" s="22" t="s">
        <v>3228</v>
      </c>
      <c r="F2762" s="24" t="s">
        <v>3229</v>
      </c>
      <c r="G2762" s="26" t="s">
        <v>3039</v>
      </c>
      <c r="H2762" s="22"/>
      <c r="I2762" s="22" t="s">
        <v>172</v>
      </c>
      <c r="J2762" s="22"/>
      <c r="K2762" s="24" t="s">
        <v>7946</v>
      </c>
      <c r="L2762" s="24"/>
      <c r="M2762" s="25" t="s">
        <v>3230</v>
      </c>
      <c r="N2762" s="22"/>
      <c r="O2762" s="22" t="s">
        <v>3231</v>
      </c>
      <c r="P2762" s="22" t="str">
        <f>HYPERLINK("https://ceds.ed.gov/cedselementdetails.aspx?termid=22905")</f>
        <v>https://ceds.ed.gov/cedselementdetails.aspx?termid=22905</v>
      </c>
      <c r="Q2762" s="22">
        <v>63415</v>
      </c>
    </row>
    <row r="2763" spans="1:17" ht="72" x14ac:dyDescent="0.3">
      <c r="A2763" s="22" t="s">
        <v>7839</v>
      </c>
      <c r="B2763" s="22" t="s">
        <v>7863</v>
      </c>
      <c r="C2763" s="22" t="s">
        <v>7717</v>
      </c>
      <c r="D2763" s="22" t="s">
        <v>7710</v>
      </c>
      <c r="E2763" s="22" t="s">
        <v>5965</v>
      </c>
      <c r="F2763" s="24" t="s">
        <v>5966</v>
      </c>
      <c r="G2763" s="26" t="s">
        <v>22</v>
      </c>
      <c r="H2763" s="24" t="s">
        <v>64</v>
      </c>
      <c r="I2763" s="22"/>
      <c r="J2763" s="22"/>
      <c r="K2763" s="24"/>
      <c r="L2763" s="24"/>
      <c r="M2763" s="25" t="s">
        <v>5967</v>
      </c>
      <c r="N2763" s="22"/>
      <c r="O2763" s="22" t="s">
        <v>5968</v>
      </c>
      <c r="P2763" s="22" t="str">
        <f>HYPERLINK("https://ceds.ed.gov/cedselementdetails.aspx?termid=21219")</f>
        <v>https://ceds.ed.gov/cedselementdetails.aspx?termid=21219</v>
      </c>
      <c r="Q2763" s="22">
        <v>63176</v>
      </c>
    </row>
    <row r="2764" spans="1:17" ht="72" x14ac:dyDescent="0.3">
      <c r="A2764" s="22" t="s">
        <v>7839</v>
      </c>
      <c r="B2764" s="22" t="s">
        <v>7863</v>
      </c>
      <c r="C2764" s="22" t="s">
        <v>7717</v>
      </c>
      <c r="D2764" s="22" t="s">
        <v>7710</v>
      </c>
      <c r="E2764" s="22" t="s">
        <v>7159</v>
      </c>
      <c r="F2764" s="24" t="s">
        <v>7160</v>
      </c>
      <c r="G2764" s="23" t="s">
        <v>32</v>
      </c>
      <c r="H2764" s="24" t="s">
        <v>64</v>
      </c>
      <c r="I2764" s="22"/>
      <c r="J2764" s="22" t="s">
        <v>7161</v>
      </c>
      <c r="K2764" s="24"/>
      <c r="L2764" s="24"/>
      <c r="M2764" s="25" t="s">
        <v>7162</v>
      </c>
      <c r="N2764" s="22"/>
      <c r="O2764" s="22" t="s">
        <v>7163</v>
      </c>
      <c r="P2764" s="22" t="str">
        <f>HYPERLINK("https://ceds.ed.gov/cedselementdetails.aspx?termid=21279")</f>
        <v>https://ceds.ed.gov/cedselementdetails.aspx?termid=21279</v>
      </c>
      <c r="Q2764" s="22">
        <v>63177</v>
      </c>
    </row>
    <row r="2765" spans="1:17" ht="86.4" x14ac:dyDescent="0.3">
      <c r="A2765" s="22" t="s">
        <v>7839</v>
      </c>
      <c r="B2765" s="22" t="s">
        <v>7863</v>
      </c>
      <c r="C2765" s="22" t="s">
        <v>7717</v>
      </c>
      <c r="D2765" s="22" t="s">
        <v>7710</v>
      </c>
      <c r="E2765" s="22" t="s">
        <v>7168</v>
      </c>
      <c r="F2765" s="24" t="s">
        <v>7169</v>
      </c>
      <c r="G2765" s="26" t="s">
        <v>9168</v>
      </c>
      <c r="H2765" s="24" t="s">
        <v>64</v>
      </c>
      <c r="I2765" s="22"/>
      <c r="J2765" s="22" t="s">
        <v>2543</v>
      </c>
      <c r="K2765" s="24"/>
      <c r="L2765" s="24"/>
      <c r="M2765" s="25" t="s">
        <v>7170</v>
      </c>
      <c r="N2765" s="22"/>
      <c r="O2765" s="22" t="s">
        <v>7171</v>
      </c>
      <c r="P2765" s="22" t="str">
        <f>HYPERLINK("https://ceds.ed.gov/cedselementdetails.aspx?termid=21280")</f>
        <v>https://ceds.ed.gov/cedselementdetails.aspx?termid=21280</v>
      </c>
      <c r="Q2765" s="22">
        <v>63178</v>
      </c>
    </row>
    <row r="2766" spans="1:17" ht="57.6" x14ac:dyDescent="0.3">
      <c r="A2766" s="22" t="s">
        <v>7839</v>
      </c>
      <c r="B2766" s="22" t="s">
        <v>7863</v>
      </c>
      <c r="C2766" s="22" t="s">
        <v>7717</v>
      </c>
      <c r="D2766" s="22" t="s">
        <v>7710</v>
      </c>
      <c r="E2766" s="22" t="s">
        <v>3228</v>
      </c>
      <c r="F2766" s="24" t="s">
        <v>3229</v>
      </c>
      <c r="G2766" s="26" t="s">
        <v>3039</v>
      </c>
      <c r="H2766" s="22"/>
      <c r="I2766" s="22" t="s">
        <v>172</v>
      </c>
      <c r="J2766" s="22"/>
      <c r="K2766" s="24" t="s">
        <v>7946</v>
      </c>
      <c r="L2766" s="24"/>
      <c r="M2766" s="25" t="s">
        <v>3230</v>
      </c>
      <c r="N2766" s="22"/>
      <c r="O2766" s="22" t="s">
        <v>3231</v>
      </c>
      <c r="P2766" s="22" t="str">
        <f>HYPERLINK("https://ceds.ed.gov/cedselementdetails.aspx?termid=22905")</f>
        <v>https://ceds.ed.gov/cedselementdetails.aspx?termid=22905</v>
      </c>
      <c r="Q2766" s="22">
        <v>63416</v>
      </c>
    </row>
    <row r="2767" spans="1:17" ht="57.6" x14ac:dyDescent="0.3">
      <c r="A2767" s="22" t="s">
        <v>7839</v>
      </c>
      <c r="B2767" s="22" t="s">
        <v>7863</v>
      </c>
      <c r="C2767" s="22" t="s">
        <v>7717</v>
      </c>
      <c r="D2767" s="22" t="s">
        <v>7710</v>
      </c>
      <c r="E2767" s="22" t="s">
        <v>7164</v>
      </c>
      <c r="F2767" s="24" t="s">
        <v>7165</v>
      </c>
      <c r="G2767" s="26" t="s">
        <v>9167</v>
      </c>
      <c r="H2767" s="22"/>
      <c r="I2767" s="22"/>
      <c r="J2767" s="22"/>
      <c r="K2767" s="24"/>
      <c r="L2767" s="24"/>
      <c r="M2767" s="25" t="s">
        <v>7166</v>
      </c>
      <c r="N2767" s="22"/>
      <c r="O2767" s="22" t="s">
        <v>7167</v>
      </c>
      <c r="P2767" s="22" t="str">
        <f>HYPERLINK("https://ceds.ed.gov/cedselementdetails.aspx?termid=22911")</f>
        <v>https://ceds.ed.gov/cedselementdetails.aspx?termid=22911</v>
      </c>
      <c r="Q2767" s="22">
        <v>63417</v>
      </c>
    </row>
    <row r="2768" spans="1:17" ht="201.6" x14ac:dyDescent="0.3">
      <c r="A2768" s="22" t="s">
        <v>7839</v>
      </c>
      <c r="B2768" s="22" t="s">
        <v>7863</v>
      </c>
      <c r="C2768" s="22" t="s">
        <v>7742</v>
      </c>
      <c r="D2768" s="22" t="s">
        <v>7710</v>
      </c>
      <c r="E2768" s="22" t="s">
        <v>1544</v>
      </c>
      <c r="F2768" s="24" t="s">
        <v>1545</v>
      </c>
      <c r="G2768" s="23" t="s">
        <v>32</v>
      </c>
      <c r="H2768" s="24" t="s">
        <v>1547</v>
      </c>
      <c r="I2768" s="22"/>
      <c r="J2768" s="22" t="s">
        <v>118</v>
      </c>
      <c r="K2768" s="24"/>
      <c r="L2768" s="24"/>
      <c r="M2768" s="25" t="s">
        <v>1546</v>
      </c>
      <c r="N2768" s="22"/>
      <c r="O2768" s="22" t="s">
        <v>1544</v>
      </c>
      <c r="P2768" s="22" t="str">
        <f>HYPERLINK("https://ceds.ed.gov/cedselementdetails.aspx?termid=21033")</f>
        <v>https://ceds.ed.gov/cedselementdetails.aspx?termid=21033</v>
      </c>
      <c r="Q2768" s="22">
        <v>60038</v>
      </c>
    </row>
    <row r="2769" spans="1:17" ht="216" x14ac:dyDescent="0.3">
      <c r="A2769" s="22" t="s">
        <v>7839</v>
      </c>
      <c r="B2769" s="22" t="s">
        <v>7863</v>
      </c>
      <c r="C2769" s="22" t="s">
        <v>7742</v>
      </c>
      <c r="D2769" s="22" t="s">
        <v>7710</v>
      </c>
      <c r="E2769" s="22" t="s">
        <v>6763</v>
      </c>
      <c r="F2769" s="24" t="s">
        <v>6764</v>
      </c>
      <c r="G2769" s="26" t="s">
        <v>9142</v>
      </c>
      <c r="H2769" s="24" t="s">
        <v>6767</v>
      </c>
      <c r="I2769" s="22"/>
      <c r="J2769" s="22"/>
      <c r="K2769" s="24"/>
      <c r="L2769" s="24" t="s">
        <v>6765</v>
      </c>
      <c r="M2769" s="25" t="s">
        <v>6766</v>
      </c>
      <c r="N2769" s="22"/>
      <c r="O2769" s="22" t="s">
        <v>6763</v>
      </c>
      <c r="P2769" s="22" t="str">
        <f>HYPERLINK("https://ceds.ed.gov/cedselementdetails.aspx?termid=21255")</f>
        <v>https://ceds.ed.gov/cedselementdetails.aspx?termid=21255</v>
      </c>
      <c r="Q2769" s="22">
        <v>60170</v>
      </c>
    </row>
    <row r="2770" spans="1:17" ht="201.6" x14ac:dyDescent="0.3">
      <c r="A2770" s="22" t="s">
        <v>7839</v>
      </c>
      <c r="B2770" s="22" t="s">
        <v>7863</v>
      </c>
      <c r="C2770" s="22" t="s">
        <v>7742</v>
      </c>
      <c r="D2770" s="22" t="s">
        <v>7710</v>
      </c>
      <c r="E2770" s="22" t="s">
        <v>360</v>
      </c>
      <c r="F2770" s="24" t="s">
        <v>361</v>
      </c>
      <c r="G2770" s="26" t="s">
        <v>8601</v>
      </c>
      <c r="H2770" s="24" t="s">
        <v>365</v>
      </c>
      <c r="I2770" s="22"/>
      <c r="J2770" s="22"/>
      <c r="K2770" s="24"/>
      <c r="L2770" s="24" t="s">
        <v>7958</v>
      </c>
      <c r="M2770" s="25" t="s">
        <v>362</v>
      </c>
      <c r="N2770" s="22" t="s">
        <v>363</v>
      </c>
      <c r="O2770" s="22" t="s">
        <v>364</v>
      </c>
      <c r="P2770" s="22" t="str">
        <f>HYPERLINK("https://ceds.ed.gov/cedselementdetails.aspx?termid=21655")</f>
        <v>https://ceds.ed.gov/cedselementdetails.aspx?termid=21655</v>
      </c>
      <c r="Q2770" s="22">
        <v>60172</v>
      </c>
    </row>
    <row r="2771" spans="1:17" ht="201.6" x14ac:dyDescent="0.3">
      <c r="A2771" s="22" t="s">
        <v>7839</v>
      </c>
      <c r="B2771" s="22" t="s">
        <v>7863</v>
      </c>
      <c r="C2771" s="22" t="s">
        <v>7742</v>
      </c>
      <c r="D2771" s="22" t="s">
        <v>7710</v>
      </c>
      <c r="E2771" s="22" t="s">
        <v>400</v>
      </c>
      <c r="F2771" s="24" t="s">
        <v>401</v>
      </c>
      <c r="G2771" s="26" t="s">
        <v>8601</v>
      </c>
      <c r="H2771" s="24" t="s">
        <v>365</v>
      </c>
      <c r="I2771" s="22"/>
      <c r="J2771" s="22"/>
      <c r="K2771" s="24"/>
      <c r="L2771" s="24" t="s">
        <v>7958</v>
      </c>
      <c r="M2771" s="25" t="s">
        <v>402</v>
      </c>
      <c r="N2771" s="22" t="s">
        <v>403</v>
      </c>
      <c r="O2771" s="22" t="s">
        <v>400</v>
      </c>
      <c r="P2771" s="22" t="str">
        <f>HYPERLINK("https://ceds.ed.gov/cedselementdetails.aspx?termid=21656")</f>
        <v>https://ceds.ed.gov/cedselementdetails.aspx?termid=21656</v>
      </c>
      <c r="Q2771" s="22">
        <v>60173</v>
      </c>
    </row>
    <row r="2772" spans="1:17" ht="201.6" x14ac:dyDescent="0.3">
      <c r="A2772" s="22" t="s">
        <v>7839</v>
      </c>
      <c r="B2772" s="22" t="s">
        <v>7863</v>
      </c>
      <c r="C2772" s="22" t="s">
        <v>7742</v>
      </c>
      <c r="D2772" s="22" t="s">
        <v>7710</v>
      </c>
      <c r="E2772" s="22" t="s">
        <v>1554</v>
      </c>
      <c r="F2772" s="24" t="s">
        <v>1555</v>
      </c>
      <c r="G2772" s="26" t="s">
        <v>8601</v>
      </c>
      <c r="H2772" s="24" t="s">
        <v>365</v>
      </c>
      <c r="I2772" s="22"/>
      <c r="J2772" s="22"/>
      <c r="K2772" s="24"/>
      <c r="L2772" s="24" t="s">
        <v>7958</v>
      </c>
      <c r="M2772" s="25" t="s">
        <v>1556</v>
      </c>
      <c r="N2772" s="22" t="s">
        <v>1557</v>
      </c>
      <c r="O2772" s="22" t="s">
        <v>1558</v>
      </c>
      <c r="P2772" s="22" t="str">
        <f>HYPERLINK("https://ceds.ed.gov/cedselementdetails.aspx?termid=21657")</f>
        <v>https://ceds.ed.gov/cedselementdetails.aspx?termid=21657</v>
      </c>
      <c r="Q2772" s="22">
        <v>60174</v>
      </c>
    </row>
    <row r="2773" spans="1:17" ht="201.6" x14ac:dyDescent="0.3">
      <c r="A2773" s="22" t="s">
        <v>7839</v>
      </c>
      <c r="B2773" s="22" t="s">
        <v>7863</v>
      </c>
      <c r="C2773" s="22" t="s">
        <v>7742</v>
      </c>
      <c r="D2773" s="22" t="s">
        <v>7710</v>
      </c>
      <c r="E2773" s="22" t="s">
        <v>5548</v>
      </c>
      <c r="F2773" s="24" t="s">
        <v>5549</v>
      </c>
      <c r="G2773" s="26" t="s">
        <v>8601</v>
      </c>
      <c r="H2773" s="24" t="s">
        <v>365</v>
      </c>
      <c r="I2773" s="22"/>
      <c r="J2773" s="22"/>
      <c r="K2773" s="24"/>
      <c r="L2773" s="24" t="s">
        <v>7958</v>
      </c>
      <c r="M2773" s="25" t="s">
        <v>5550</v>
      </c>
      <c r="N2773" s="22" t="s">
        <v>5551</v>
      </c>
      <c r="O2773" s="22" t="s">
        <v>5552</v>
      </c>
      <c r="P2773" s="22" t="str">
        <f>HYPERLINK("https://ceds.ed.gov/cedselementdetails.aspx?termid=21658")</f>
        <v>https://ceds.ed.gov/cedselementdetails.aspx?termid=21658</v>
      </c>
      <c r="Q2773" s="22">
        <v>60175</v>
      </c>
    </row>
    <row r="2774" spans="1:17" ht="201.6" x14ac:dyDescent="0.3">
      <c r="A2774" s="22" t="s">
        <v>7839</v>
      </c>
      <c r="B2774" s="22" t="s">
        <v>7863</v>
      </c>
      <c r="C2774" s="22" t="s">
        <v>7742</v>
      </c>
      <c r="D2774" s="22" t="s">
        <v>7710</v>
      </c>
      <c r="E2774" s="22" t="s">
        <v>7390</v>
      </c>
      <c r="F2774" s="24" t="s">
        <v>7391</v>
      </c>
      <c r="G2774" s="26" t="s">
        <v>8601</v>
      </c>
      <c r="H2774" s="24" t="s">
        <v>365</v>
      </c>
      <c r="I2774" s="22"/>
      <c r="J2774" s="22"/>
      <c r="K2774" s="24"/>
      <c r="L2774" s="24" t="s">
        <v>7958</v>
      </c>
      <c r="M2774" s="25" t="s">
        <v>7392</v>
      </c>
      <c r="N2774" s="22" t="s">
        <v>7393</v>
      </c>
      <c r="O2774" s="22" t="s">
        <v>7390</v>
      </c>
      <c r="P2774" s="22" t="str">
        <f>HYPERLINK("https://ceds.ed.gov/cedselementdetails.aspx?termid=21659")</f>
        <v>https://ceds.ed.gov/cedselementdetails.aspx?termid=21659</v>
      </c>
      <c r="Q2774" s="22">
        <v>60176</v>
      </c>
    </row>
    <row r="2775" spans="1:17" ht="201.6" x14ac:dyDescent="0.3">
      <c r="A2775" s="22" t="s">
        <v>7839</v>
      </c>
      <c r="B2775" s="22" t="s">
        <v>7863</v>
      </c>
      <c r="C2775" s="22" t="s">
        <v>7742</v>
      </c>
      <c r="D2775" s="22" t="s">
        <v>7710</v>
      </c>
      <c r="E2775" s="22" t="s">
        <v>4347</v>
      </c>
      <c r="F2775" s="24" t="s">
        <v>4348</v>
      </c>
      <c r="G2775" s="26" t="s">
        <v>8601</v>
      </c>
      <c r="H2775" s="24" t="s">
        <v>365</v>
      </c>
      <c r="I2775" s="22"/>
      <c r="J2775" s="22"/>
      <c r="K2775" s="24"/>
      <c r="L2775" s="24" t="s">
        <v>7958</v>
      </c>
      <c r="M2775" s="25" t="s">
        <v>4349</v>
      </c>
      <c r="N2775" s="22"/>
      <c r="O2775" s="22" t="s">
        <v>4350</v>
      </c>
      <c r="P2775" s="22" t="str">
        <f>HYPERLINK("https://ceds.ed.gov/cedselementdetails.aspx?termid=21144")</f>
        <v>https://ceds.ed.gov/cedselementdetails.aspx?termid=21144</v>
      </c>
      <c r="Q2775" s="22">
        <v>60171</v>
      </c>
    </row>
    <row r="2776" spans="1:17" ht="86.4" x14ac:dyDescent="0.3">
      <c r="A2776" s="22" t="s">
        <v>7839</v>
      </c>
      <c r="B2776" s="22" t="s">
        <v>7863</v>
      </c>
      <c r="C2776" s="22" t="s">
        <v>7742</v>
      </c>
      <c r="D2776" s="22" t="s">
        <v>7710</v>
      </c>
      <c r="E2776" s="22" t="s">
        <v>7330</v>
      </c>
      <c r="F2776" s="24" t="s">
        <v>7331</v>
      </c>
      <c r="G2776" s="26" t="s">
        <v>8554</v>
      </c>
      <c r="H2776" s="24" t="s">
        <v>7334</v>
      </c>
      <c r="I2776" s="22" t="s">
        <v>172</v>
      </c>
      <c r="J2776" s="22"/>
      <c r="K2776" s="24" t="s">
        <v>7946</v>
      </c>
      <c r="L2776" s="24" t="s">
        <v>6765</v>
      </c>
      <c r="M2776" s="25" t="s">
        <v>7332</v>
      </c>
      <c r="N2776" s="22"/>
      <c r="O2776" s="22" t="s">
        <v>7333</v>
      </c>
      <c r="P2776" s="22" t="str">
        <f>HYPERLINK("https://ceds.ed.gov/cedselementdetails.aspx?termid=21299")</f>
        <v>https://ceds.ed.gov/cedselementdetails.aspx?termid=21299</v>
      </c>
      <c r="Q2776" s="22">
        <v>60177</v>
      </c>
    </row>
    <row r="2777" spans="1:17" ht="72" x14ac:dyDescent="0.3">
      <c r="A2777" s="22" t="s">
        <v>7839</v>
      </c>
      <c r="B2777" s="22" t="s">
        <v>7863</v>
      </c>
      <c r="C2777" s="22" t="s">
        <v>7742</v>
      </c>
      <c r="D2777" s="22" t="s">
        <v>7710</v>
      </c>
      <c r="E2777" s="22" t="s">
        <v>3090</v>
      </c>
      <c r="F2777" s="24" t="s">
        <v>3091</v>
      </c>
      <c r="G2777" s="26" t="s">
        <v>22</v>
      </c>
      <c r="H2777" s="22"/>
      <c r="I2777" s="22"/>
      <c r="J2777" s="22"/>
      <c r="K2777" s="24"/>
      <c r="L2777" s="24" t="s">
        <v>3092</v>
      </c>
      <c r="M2777" s="25" t="s">
        <v>3093</v>
      </c>
      <c r="N2777" s="22"/>
      <c r="O2777" s="22" t="s">
        <v>3094</v>
      </c>
      <c r="P2777" s="22" t="str">
        <f>HYPERLINK("https://ceds.ed.gov/cedselementdetails.aspx?termid=21974")</f>
        <v>https://ceds.ed.gov/cedselementdetails.aspx?termid=21974</v>
      </c>
      <c r="Q2777" s="22">
        <v>63179</v>
      </c>
    </row>
    <row r="2778" spans="1:17" ht="409.6" x14ac:dyDescent="0.3">
      <c r="A2778" s="22" t="s">
        <v>7839</v>
      </c>
      <c r="B2778" s="22" t="s">
        <v>7863</v>
      </c>
      <c r="C2778" s="22" t="s">
        <v>7742</v>
      </c>
      <c r="D2778" s="22" t="s">
        <v>7710</v>
      </c>
      <c r="E2778" s="22" t="s">
        <v>2531</v>
      </c>
      <c r="F2778" s="24" t="s">
        <v>2532</v>
      </c>
      <c r="G2778" s="26" t="s">
        <v>8743</v>
      </c>
      <c r="H2778" s="24" t="s">
        <v>2535</v>
      </c>
      <c r="I2778" s="22"/>
      <c r="J2778" s="22"/>
      <c r="K2778" s="24"/>
      <c r="L2778" s="24" t="s">
        <v>8055</v>
      </c>
      <c r="M2778" s="25" t="s">
        <v>2533</v>
      </c>
      <c r="N2778" s="22"/>
      <c r="O2778" s="22" t="s">
        <v>2534</v>
      </c>
      <c r="P2778" s="22" t="str">
        <f>HYPERLINK("https://ceds.ed.gov/cedselementdetails.aspx?termid=21051")</f>
        <v>https://ceds.ed.gov/cedselementdetails.aspx?termid=21051</v>
      </c>
      <c r="Q2778" s="22">
        <v>63418</v>
      </c>
    </row>
    <row r="2779" spans="1:17" ht="100.8" x14ac:dyDescent="0.3">
      <c r="A2779" s="22" t="s">
        <v>7839</v>
      </c>
      <c r="B2779" s="22" t="s">
        <v>7863</v>
      </c>
      <c r="C2779" s="22" t="s">
        <v>7742</v>
      </c>
      <c r="D2779" s="22" t="s">
        <v>7710</v>
      </c>
      <c r="E2779" s="22" t="s">
        <v>5486</v>
      </c>
      <c r="F2779" s="24" t="s">
        <v>8254</v>
      </c>
      <c r="G2779" s="26" t="s">
        <v>9036</v>
      </c>
      <c r="H2779" s="22"/>
      <c r="I2779" s="22"/>
      <c r="J2779" s="22"/>
      <c r="K2779" s="24"/>
      <c r="L2779" s="24"/>
      <c r="M2779" s="25" t="s">
        <v>5487</v>
      </c>
      <c r="N2779" s="22"/>
      <c r="O2779" s="22" t="s">
        <v>5488</v>
      </c>
      <c r="P2779" s="22" t="str">
        <f>HYPERLINK("https://ceds.ed.gov/cedselementdetails.aspx?termid=22621")</f>
        <v>https://ceds.ed.gov/cedselementdetails.aspx?termid=22621</v>
      </c>
      <c r="Q2779" s="22">
        <v>63419</v>
      </c>
    </row>
    <row r="2780" spans="1:17" ht="57.6" x14ac:dyDescent="0.3">
      <c r="A2780" s="22" t="s">
        <v>7839</v>
      </c>
      <c r="B2780" s="22" t="s">
        <v>7863</v>
      </c>
      <c r="C2780" s="22" t="s">
        <v>7742</v>
      </c>
      <c r="D2780" s="22" t="s">
        <v>7710</v>
      </c>
      <c r="E2780" s="22" t="s">
        <v>7288</v>
      </c>
      <c r="F2780" s="24" t="s">
        <v>7289</v>
      </c>
      <c r="G2780" s="23" t="s">
        <v>7423</v>
      </c>
      <c r="H2780" s="22"/>
      <c r="I2780" s="22"/>
      <c r="J2780" s="22"/>
      <c r="K2780" s="24"/>
      <c r="L2780" s="24"/>
      <c r="M2780" s="25" t="s">
        <v>7290</v>
      </c>
      <c r="N2780" s="22"/>
      <c r="O2780" s="22" t="s">
        <v>7291</v>
      </c>
      <c r="P2780" s="22" t="str">
        <f>HYPERLINK("https://ceds.ed.gov/cedselementdetails.aspx?termid=22638")</f>
        <v>https://ceds.ed.gov/cedselementdetails.aspx?termid=22638</v>
      </c>
      <c r="Q2780" s="22">
        <v>63420</v>
      </c>
    </row>
    <row r="2781" spans="1:17" ht="57.6" x14ac:dyDescent="0.3">
      <c r="A2781" s="22" t="s">
        <v>7839</v>
      </c>
      <c r="B2781" s="22" t="s">
        <v>7863</v>
      </c>
      <c r="C2781" s="22" t="s">
        <v>7742</v>
      </c>
      <c r="D2781" s="22" t="s">
        <v>7710</v>
      </c>
      <c r="E2781" s="22" t="s">
        <v>7528</v>
      </c>
      <c r="F2781" s="24" t="s">
        <v>7529</v>
      </c>
      <c r="G2781" s="26" t="s">
        <v>22</v>
      </c>
      <c r="H2781" s="22"/>
      <c r="I2781" s="22"/>
      <c r="J2781" s="22"/>
      <c r="K2781" s="24"/>
      <c r="L2781" s="24"/>
      <c r="M2781" s="25" t="s">
        <v>7530</v>
      </c>
      <c r="N2781" s="22"/>
      <c r="O2781" s="22" t="s">
        <v>7531</v>
      </c>
      <c r="P2781" s="22" t="str">
        <f>HYPERLINK("https://ceds.ed.gov/cedselementdetails.aspx?termid=22932")</f>
        <v>https://ceds.ed.gov/cedselementdetails.aspx?termid=22932</v>
      </c>
      <c r="Q2781" s="22">
        <v>63609</v>
      </c>
    </row>
    <row r="2782" spans="1:17" ht="115.2" x14ac:dyDescent="0.3">
      <c r="A2782" s="22" t="s">
        <v>7839</v>
      </c>
      <c r="B2782" s="22" t="s">
        <v>7863</v>
      </c>
      <c r="C2782" s="22" t="s">
        <v>7742</v>
      </c>
      <c r="D2782" s="22" t="s">
        <v>7710</v>
      </c>
      <c r="E2782" s="22" t="s">
        <v>7532</v>
      </c>
      <c r="F2782" s="24" t="s">
        <v>7533</v>
      </c>
      <c r="G2782" s="26" t="s">
        <v>3039</v>
      </c>
      <c r="H2782" s="22"/>
      <c r="I2782" s="22"/>
      <c r="J2782" s="22"/>
      <c r="K2782" s="24"/>
      <c r="L2782" s="24"/>
      <c r="M2782" s="25" t="s">
        <v>7534</v>
      </c>
      <c r="N2782" s="22"/>
      <c r="O2782" s="22" t="s">
        <v>7535</v>
      </c>
      <c r="P2782" s="22" t="str">
        <f>HYPERLINK("https://ceds.ed.gov/cedselementdetails.aspx?termid=22933")</f>
        <v>https://ceds.ed.gov/cedselementdetails.aspx?termid=22933</v>
      </c>
      <c r="Q2782" s="22">
        <v>63610</v>
      </c>
    </row>
    <row r="2783" spans="1:17" ht="144" x14ac:dyDescent="0.3">
      <c r="A2783" s="22" t="s">
        <v>7839</v>
      </c>
      <c r="B2783" s="22" t="s">
        <v>7863</v>
      </c>
      <c r="C2783" s="22" t="s">
        <v>7742</v>
      </c>
      <c r="D2783" s="22" t="s">
        <v>7710</v>
      </c>
      <c r="E2783" s="22" t="s">
        <v>7640</v>
      </c>
      <c r="F2783" s="24" t="s">
        <v>7641</v>
      </c>
      <c r="G2783" s="26" t="s">
        <v>9121</v>
      </c>
      <c r="H2783" s="22"/>
      <c r="I2783" s="22"/>
      <c r="J2783" s="22"/>
      <c r="K2783" s="24"/>
      <c r="L2783" s="24" t="s">
        <v>7642</v>
      </c>
      <c r="M2783" s="25" t="s">
        <v>7643</v>
      </c>
      <c r="N2783" s="22"/>
      <c r="O2783" s="22" t="s">
        <v>7640</v>
      </c>
      <c r="P2783" s="22" t="str">
        <f>HYPERLINK("https://ceds.ed.gov/cedselementdetails.aspx?termid=22955")</f>
        <v>https://ceds.ed.gov/cedselementdetails.aspx?termid=22955</v>
      </c>
      <c r="Q2783" s="22">
        <v>63611</v>
      </c>
    </row>
    <row r="2784" spans="1:17" ht="158.4" x14ac:dyDescent="0.3">
      <c r="A2784" s="22" t="s">
        <v>7839</v>
      </c>
      <c r="B2784" s="22" t="s">
        <v>7863</v>
      </c>
      <c r="C2784" s="22" t="s">
        <v>7772</v>
      </c>
      <c r="D2784" s="22" t="s">
        <v>7710</v>
      </c>
      <c r="E2784" s="22" t="s">
        <v>4342</v>
      </c>
      <c r="F2784" s="24" t="s">
        <v>4343</v>
      </c>
      <c r="G2784" s="23" t="s">
        <v>32</v>
      </c>
      <c r="H2784" s="24" t="s">
        <v>4346</v>
      </c>
      <c r="I2784" s="22"/>
      <c r="J2784" s="22" t="s">
        <v>118</v>
      </c>
      <c r="K2784" s="24"/>
      <c r="L2784" s="24" t="s">
        <v>8212</v>
      </c>
      <c r="M2784" s="25" t="s">
        <v>4344</v>
      </c>
      <c r="N2784" s="22"/>
      <c r="O2784" s="22" t="s">
        <v>4345</v>
      </c>
      <c r="P2784" s="22" t="str">
        <f>HYPERLINK("https://ceds.ed.gov/cedselementdetails.aspx?termid=21143")</f>
        <v>https://ceds.ed.gov/cedselementdetails.aspx?termid=21143</v>
      </c>
      <c r="Q2784" s="22">
        <v>60154</v>
      </c>
    </row>
    <row r="2785" spans="1:17" ht="57.6" x14ac:dyDescent="0.3">
      <c r="A2785" s="22" t="s">
        <v>7839</v>
      </c>
      <c r="B2785" s="22" t="s">
        <v>7863</v>
      </c>
      <c r="C2785" s="22" t="s">
        <v>7772</v>
      </c>
      <c r="D2785" s="22" t="s">
        <v>7710</v>
      </c>
      <c r="E2785" s="22" t="s">
        <v>3519</v>
      </c>
      <c r="F2785" s="24" t="s">
        <v>3520</v>
      </c>
      <c r="G2785" s="23" t="s">
        <v>32</v>
      </c>
      <c r="H2785" s="22" t="s">
        <v>207</v>
      </c>
      <c r="I2785" s="22"/>
      <c r="J2785" s="22" t="s">
        <v>118</v>
      </c>
      <c r="K2785" s="24"/>
      <c r="L2785" s="24" t="s">
        <v>143</v>
      </c>
      <c r="M2785" s="25" t="s">
        <v>3521</v>
      </c>
      <c r="N2785" s="22"/>
      <c r="O2785" s="22" t="s">
        <v>3522</v>
      </c>
      <c r="P2785" s="22" t="str">
        <f>HYPERLINK("https://ceds.ed.gov/cedselementdetails.aspx?termid=21794")</f>
        <v>https://ceds.ed.gov/cedselementdetails.aspx?termid=21794</v>
      </c>
      <c r="Q2785" s="22">
        <v>61701</v>
      </c>
    </row>
    <row r="2786" spans="1:17" ht="57.6" x14ac:dyDescent="0.3">
      <c r="A2786" s="22" t="s">
        <v>7839</v>
      </c>
      <c r="B2786" s="22" t="s">
        <v>7863</v>
      </c>
      <c r="C2786" s="22" t="s">
        <v>7772</v>
      </c>
      <c r="D2786" s="22" t="s">
        <v>7710</v>
      </c>
      <c r="E2786" s="22" t="s">
        <v>3555</v>
      </c>
      <c r="F2786" s="24" t="s">
        <v>3556</v>
      </c>
      <c r="G2786" s="23" t="s">
        <v>32</v>
      </c>
      <c r="H2786" s="24" t="s">
        <v>3559</v>
      </c>
      <c r="I2786" s="22"/>
      <c r="J2786" s="22" t="s">
        <v>118</v>
      </c>
      <c r="K2786" s="24"/>
      <c r="L2786" s="24"/>
      <c r="M2786" s="25" t="s">
        <v>3557</v>
      </c>
      <c r="N2786" s="22"/>
      <c r="O2786" s="22" t="s">
        <v>3558</v>
      </c>
      <c r="P2786" s="22" t="str">
        <f>HYPERLINK("https://ceds.ed.gov/cedselementdetails.aspx?termid=21345")</f>
        <v>https://ceds.ed.gov/cedselementdetails.aspx?termid=21345</v>
      </c>
      <c r="Q2786" s="22">
        <v>61706</v>
      </c>
    </row>
    <row r="2787" spans="1:17" ht="144" x14ac:dyDescent="0.3">
      <c r="A2787" s="22" t="s">
        <v>7839</v>
      </c>
      <c r="B2787" s="22" t="s">
        <v>7863</v>
      </c>
      <c r="C2787" s="22" t="s">
        <v>7772</v>
      </c>
      <c r="D2787" s="22" t="s">
        <v>7710</v>
      </c>
      <c r="E2787" s="22" t="s">
        <v>4101</v>
      </c>
      <c r="F2787" s="24" t="s">
        <v>4102</v>
      </c>
      <c r="G2787" s="26" t="s">
        <v>8454</v>
      </c>
      <c r="H2787" s="22" t="s">
        <v>69</v>
      </c>
      <c r="I2787" s="22" t="s">
        <v>172</v>
      </c>
      <c r="J2787" s="22"/>
      <c r="K2787" s="24" t="s">
        <v>7946</v>
      </c>
      <c r="L2787" s="24" t="s">
        <v>8206</v>
      </c>
      <c r="M2787" s="25" t="s">
        <v>4103</v>
      </c>
      <c r="N2787" s="22"/>
      <c r="O2787" s="22" t="s">
        <v>4104</v>
      </c>
      <c r="P2787" s="22" t="str">
        <f>HYPERLINK("https://ceds.ed.gov/cedselementdetails.aspx?termid=21713")</f>
        <v>https://ceds.ed.gov/cedselementdetails.aspx?termid=21713</v>
      </c>
      <c r="Q2787" s="22">
        <v>60161</v>
      </c>
    </row>
    <row r="2788" spans="1:17" ht="86.4" x14ac:dyDescent="0.3">
      <c r="A2788" s="22" t="s">
        <v>7839</v>
      </c>
      <c r="B2788" s="22" t="s">
        <v>7863</v>
      </c>
      <c r="C2788" s="22" t="s">
        <v>7772</v>
      </c>
      <c r="D2788" s="22" t="s">
        <v>7710</v>
      </c>
      <c r="E2788" s="22" t="s">
        <v>4814</v>
      </c>
      <c r="F2788" s="24" t="s">
        <v>4815</v>
      </c>
      <c r="G2788" s="26" t="s">
        <v>8461</v>
      </c>
      <c r="H2788" s="22" t="s">
        <v>69</v>
      </c>
      <c r="I2788" s="22" t="s">
        <v>172</v>
      </c>
      <c r="J2788" s="22"/>
      <c r="K2788" s="24" t="s">
        <v>7946</v>
      </c>
      <c r="L2788" s="24" t="s">
        <v>4816</v>
      </c>
      <c r="M2788" s="25" t="s">
        <v>4817</v>
      </c>
      <c r="N2788" s="22"/>
      <c r="O2788" s="22" t="s">
        <v>4818</v>
      </c>
      <c r="P2788" s="22" t="str">
        <f>HYPERLINK("https://ceds.ed.gov/cedselementdetails.aspx?termid=21712")</f>
        <v>https://ceds.ed.gov/cedselementdetails.aspx?termid=21712</v>
      </c>
      <c r="Q2788" s="22">
        <v>60160</v>
      </c>
    </row>
    <row r="2789" spans="1:17" ht="72" x14ac:dyDescent="0.3">
      <c r="A2789" s="22" t="s">
        <v>7839</v>
      </c>
      <c r="B2789" s="22" t="s">
        <v>7863</v>
      </c>
      <c r="C2789" s="22" t="s">
        <v>7772</v>
      </c>
      <c r="D2789" s="22" t="s">
        <v>7710</v>
      </c>
      <c r="E2789" s="22" t="s">
        <v>4823</v>
      </c>
      <c r="F2789" s="24" t="s">
        <v>8220</v>
      </c>
      <c r="G2789" s="26" t="s">
        <v>22</v>
      </c>
      <c r="H2789" s="22"/>
      <c r="I2789" s="22"/>
      <c r="J2789" s="22"/>
      <c r="K2789" s="24"/>
      <c r="L2789" s="24" t="s">
        <v>3900</v>
      </c>
      <c r="M2789" s="25" t="s">
        <v>4824</v>
      </c>
      <c r="N2789" s="22"/>
      <c r="O2789" s="22" t="s">
        <v>4825</v>
      </c>
      <c r="P2789" s="22" t="str">
        <f>HYPERLINK("https://ceds.ed.gov/cedselementdetails.aspx?termid=21709")</f>
        <v>https://ceds.ed.gov/cedselementdetails.aspx?termid=21709</v>
      </c>
      <c r="Q2789" s="22">
        <v>60157</v>
      </c>
    </row>
    <row r="2790" spans="1:17" ht="360" x14ac:dyDescent="0.3">
      <c r="A2790" s="22" t="s">
        <v>7839</v>
      </c>
      <c r="B2790" s="22" t="s">
        <v>7863</v>
      </c>
      <c r="C2790" s="22" t="s">
        <v>7772</v>
      </c>
      <c r="D2790" s="22" t="s">
        <v>7710</v>
      </c>
      <c r="E2790" s="22" t="s">
        <v>3898</v>
      </c>
      <c r="F2790" s="24" t="s">
        <v>3899</v>
      </c>
      <c r="G2790" s="26" t="s">
        <v>22</v>
      </c>
      <c r="H2790" s="22" t="s">
        <v>69</v>
      </c>
      <c r="I2790" s="22"/>
      <c r="J2790" s="22"/>
      <c r="K2790" s="24"/>
      <c r="L2790" s="24" t="s">
        <v>3900</v>
      </c>
      <c r="M2790" s="25" t="s">
        <v>3901</v>
      </c>
      <c r="N2790" s="22"/>
      <c r="O2790" s="22" t="s">
        <v>3902</v>
      </c>
      <c r="P2790" s="22" t="str">
        <f>HYPERLINK("https://ceds.ed.gov/cedselementdetails.aspx?termid=21711")</f>
        <v>https://ceds.ed.gov/cedselementdetails.aspx?termid=21711</v>
      </c>
      <c r="Q2790" s="22">
        <v>60159</v>
      </c>
    </row>
    <row r="2791" spans="1:17" ht="72" x14ac:dyDescent="0.3">
      <c r="A2791" s="22" t="s">
        <v>7839</v>
      </c>
      <c r="B2791" s="22" t="s">
        <v>7863</v>
      </c>
      <c r="C2791" s="22" t="s">
        <v>7772</v>
      </c>
      <c r="D2791" s="22" t="s">
        <v>7710</v>
      </c>
      <c r="E2791" s="22" t="s">
        <v>4819</v>
      </c>
      <c r="F2791" s="24" t="s">
        <v>4820</v>
      </c>
      <c r="G2791" s="26" t="s">
        <v>8971</v>
      </c>
      <c r="H2791" s="22" t="s">
        <v>69</v>
      </c>
      <c r="I2791" s="22"/>
      <c r="J2791" s="22"/>
      <c r="K2791" s="24"/>
      <c r="L2791" s="24" t="s">
        <v>2496</v>
      </c>
      <c r="M2791" s="25" t="s">
        <v>4821</v>
      </c>
      <c r="N2791" s="22"/>
      <c r="O2791" s="22" t="s">
        <v>4822</v>
      </c>
      <c r="P2791" s="22" t="str">
        <f>HYPERLINK("https://ceds.ed.gov/cedselementdetails.aspx?termid=21716")</f>
        <v>https://ceds.ed.gov/cedselementdetails.aspx?termid=21716</v>
      </c>
      <c r="Q2791" s="22">
        <v>60164</v>
      </c>
    </row>
    <row r="2792" spans="1:17" ht="144" x14ac:dyDescent="0.3">
      <c r="A2792" s="22" t="s">
        <v>7839</v>
      </c>
      <c r="B2792" s="22" t="s">
        <v>7863</v>
      </c>
      <c r="C2792" s="22" t="s">
        <v>7772</v>
      </c>
      <c r="D2792" s="22" t="s">
        <v>7710</v>
      </c>
      <c r="E2792" s="22" t="s">
        <v>5396</v>
      </c>
      <c r="F2792" s="24" t="s">
        <v>8251</v>
      </c>
      <c r="G2792" s="26" t="s">
        <v>22</v>
      </c>
      <c r="H2792" s="22" t="s">
        <v>69</v>
      </c>
      <c r="I2792" s="22"/>
      <c r="J2792" s="22"/>
      <c r="K2792" s="24"/>
      <c r="L2792" s="24" t="s">
        <v>3900</v>
      </c>
      <c r="M2792" s="25" t="s">
        <v>5397</v>
      </c>
      <c r="N2792" s="22"/>
      <c r="O2792" s="22" t="s">
        <v>5398</v>
      </c>
      <c r="P2792" s="22" t="str">
        <f>HYPERLINK("https://ceds.ed.gov/cedselementdetails.aspx?termid=21710")</f>
        <v>https://ceds.ed.gov/cedselementdetails.aspx?termid=21710</v>
      </c>
      <c r="Q2792" s="22">
        <v>60158</v>
      </c>
    </row>
    <row r="2793" spans="1:17" ht="144" x14ac:dyDescent="0.3">
      <c r="A2793" s="22" t="s">
        <v>7839</v>
      </c>
      <c r="B2793" s="22" t="s">
        <v>7863</v>
      </c>
      <c r="C2793" s="22" t="s">
        <v>7772</v>
      </c>
      <c r="D2793" s="22" t="s">
        <v>7710</v>
      </c>
      <c r="E2793" s="22" t="s">
        <v>4249</v>
      </c>
      <c r="F2793" s="24" t="s">
        <v>8210</v>
      </c>
      <c r="G2793" s="26" t="s">
        <v>22</v>
      </c>
      <c r="H2793" s="22" t="s">
        <v>69</v>
      </c>
      <c r="I2793" s="22"/>
      <c r="J2793" s="22"/>
      <c r="K2793" s="24"/>
      <c r="L2793" s="24" t="s">
        <v>368</v>
      </c>
      <c r="M2793" s="25" t="s">
        <v>4250</v>
      </c>
      <c r="N2793" s="22"/>
      <c r="O2793" s="22" t="s">
        <v>4251</v>
      </c>
      <c r="P2793" s="22" t="str">
        <f>HYPERLINK("https://ceds.ed.gov/cedselementdetails.aspx?termid=21720")</f>
        <v>https://ceds.ed.gov/cedselementdetails.aspx?termid=21720</v>
      </c>
      <c r="Q2793" s="22">
        <v>60167</v>
      </c>
    </row>
    <row r="2794" spans="1:17" ht="72" x14ac:dyDescent="0.3">
      <c r="A2794" s="22" t="s">
        <v>7839</v>
      </c>
      <c r="B2794" s="22" t="s">
        <v>7863</v>
      </c>
      <c r="C2794" s="22" t="s">
        <v>7772</v>
      </c>
      <c r="D2794" s="22" t="s">
        <v>7710</v>
      </c>
      <c r="E2794" s="22" t="s">
        <v>2494</v>
      </c>
      <c r="F2794" s="24" t="s">
        <v>2495</v>
      </c>
      <c r="G2794" s="26" t="s">
        <v>8416</v>
      </c>
      <c r="H2794" s="22" t="s">
        <v>69</v>
      </c>
      <c r="I2794" s="22" t="s">
        <v>172</v>
      </c>
      <c r="J2794" s="22"/>
      <c r="K2794" s="24" t="s">
        <v>7946</v>
      </c>
      <c r="L2794" s="24" t="s">
        <v>2496</v>
      </c>
      <c r="M2794" s="25" t="s">
        <v>2497</v>
      </c>
      <c r="N2794" s="22"/>
      <c r="O2794" s="22" t="s">
        <v>2498</v>
      </c>
      <c r="P2794" s="22" t="str">
        <f>HYPERLINK("https://ceds.ed.gov/cedselementdetails.aspx?termid=21714")</f>
        <v>https://ceds.ed.gov/cedselementdetails.aspx?termid=21714</v>
      </c>
      <c r="Q2794" s="22">
        <v>60162</v>
      </c>
    </row>
    <row r="2795" spans="1:17" ht="100.8" x14ac:dyDescent="0.3">
      <c r="A2795" s="22" t="s">
        <v>7839</v>
      </c>
      <c r="B2795" s="22" t="s">
        <v>7863</v>
      </c>
      <c r="C2795" s="22" t="s">
        <v>7772</v>
      </c>
      <c r="D2795" s="22" t="s">
        <v>7710</v>
      </c>
      <c r="E2795" s="22" t="s">
        <v>65</v>
      </c>
      <c r="F2795" s="24" t="s">
        <v>7942</v>
      </c>
      <c r="G2795" s="26" t="s">
        <v>8565</v>
      </c>
      <c r="H2795" s="22" t="s">
        <v>69</v>
      </c>
      <c r="I2795" s="22"/>
      <c r="J2795" s="22"/>
      <c r="K2795" s="24"/>
      <c r="L2795" s="24" t="s">
        <v>7943</v>
      </c>
      <c r="M2795" s="25" t="s">
        <v>67</v>
      </c>
      <c r="N2795" s="22"/>
      <c r="O2795" s="22" t="s">
        <v>68</v>
      </c>
      <c r="P2795" s="22" t="str">
        <f>HYPERLINK("https://ceds.ed.gov/cedselementdetails.aspx?termid=21717")</f>
        <v>https://ceds.ed.gov/cedselementdetails.aspx?termid=21717</v>
      </c>
      <c r="Q2795" s="22">
        <v>60165</v>
      </c>
    </row>
    <row r="2796" spans="1:17" ht="115.2" x14ac:dyDescent="0.3">
      <c r="A2796" s="22" t="s">
        <v>7839</v>
      </c>
      <c r="B2796" s="22" t="s">
        <v>7863</v>
      </c>
      <c r="C2796" s="22" t="s">
        <v>7772</v>
      </c>
      <c r="D2796" s="22" t="s">
        <v>7710</v>
      </c>
      <c r="E2796" s="22" t="s">
        <v>6924</v>
      </c>
      <c r="F2796" s="24" t="s">
        <v>8326</v>
      </c>
      <c r="G2796" s="23" t="s">
        <v>32</v>
      </c>
      <c r="H2796" s="22" t="s">
        <v>69</v>
      </c>
      <c r="I2796" s="22"/>
      <c r="J2796" s="22" t="s">
        <v>6925</v>
      </c>
      <c r="K2796" s="24"/>
      <c r="L2796" s="24"/>
      <c r="M2796" s="25" t="s">
        <v>6926</v>
      </c>
      <c r="N2796" s="22"/>
      <c r="O2796" s="22" t="s">
        <v>6927</v>
      </c>
      <c r="P2796" s="22" t="str">
        <f>HYPERLINK("https://ceds.ed.gov/cedselementdetails.aspx?termid=21707")</f>
        <v>https://ceds.ed.gov/cedselementdetails.aspx?termid=21707</v>
      </c>
      <c r="Q2796" s="22">
        <v>60155</v>
      </c>
    </row>
    <row r="2797" spans="1:17" ht="273.60000000000002" x14ac:dyDescent="0.3">
      <c r="A2797" s="22" t="s">
        <v>7839</v>
      </c>
      <c r="B2797" s="22" t="s">
        <v>7863</v>
      </c>
      <c r="C2797" s="22" t="s">
        <v>7772</v>
      </c>
      <c r="D2797" s="22" t="s">
        <v>7710</v>
      </c>
      <c r="E2797" s="22" t="s">
        <v>4918</v>
      </c>
      <c r="F2797" s="24" t="s">
        <v>4919</v>
      </c>
      <c r="G2797" s="26" t="s">
        <v>8465</v>
      </c>
      <c r="H2797" s="22" t="s">
        <v>69</v>
      </c>
      <c r="I2797" s="22" t="s">
        <v>172</v>
      </c>
      <c r="J2797" s="22"/>
      <c r="K2797" s="24" t="s">
        <v>7946</v>
      </c>
      <c r="L2797" s="24" t="s">
        <v>4920</v>
      </c>
      <c r="M2797" s="25" t="s">
        <v>4921</v>
      </c>
      <c r="N2797" s="22"/>
      <c r="O2797" s="22" t="s">
        <v>4922</v>
      </c>
      <c r="P2797" s="22" t="str">
        <f>HYPERLINK("https://ceds.ed.gov/cedselementdetails.aspx?termid=21708")</f>
        <v>https://ceds.ed.gov/cedselementdetails.aspx?termid=21708</v>
      </c>
      <c r="Q2797" s="22">
        <v>60156</v>
      </c>
    </row>
    <row r="2798" spans="1:17" ht="129.6" x14ac:dyDescent="0.3">
      <c r="A2798" s="22" t="s">
        <v>7839</v>
      </c>
      <c r="B2798" s="22" t="s">
        <v>7863</v>
      </c>
      <c r="C2798" s="22" t="s">
        <v>7772</v>
      </c>
      <c r="D2798" s="22" t="s">
        <v>7710</v>
      </c>
      <c r="E2798" s="22" t="s">
        <v>4245</v>
      </c>
      <c r="F2798" s="24" t="s">
        <v>4246</v>
      </c>
      <c r="G2798" s="26" t="s">
        <v>8913</v>
      </c>
      <c r="H2798" s="22" t="s">
        <v>69</v>
      </c>
      <c r="I2798" s="22"/>
      <c r="J2798" s="22"/>
      <c r="K2798" s="24"/>
      <c r="L2798" s="24" t="s">
        <v>2496</v>
      </c>
      <c r="M2798" s="25" t="s">
        <v>4247</v>
      </c>
      <c r="N2798" s="22"/>
      <c r="O2798" s="22" t="s">
        <v>4248</v>
      </c>
      <c r="P2798" s="22" t="str">
        <f>HYPERLINK("https://ceds.ed.gov/cedselementdetails.aspx?termid=21721")</f>
        <v>https://ceds.ed.gov/cedselementdetails.aspx?termid=21721</v>
      </c>
      <c r="Q2798" s="22">
        <v>60168</v>
      </c>
    </row>
    <row r="2799" spans="1:17" ht="100.8" x14ac:dyDescent="0.3">
      <c r="A2799" s="22" t="s">
        <v>7839</v>
      </c>
      <c r="B2799" s="22" t="s">
        <v>7863</v>
      </c>
      <c r="C2799" s="22" t="s">
        <v>7772</v>
      </c>
      <c r="D2799" s="22" t="s">
        <v>7710</v>
      </c>
      <c r="E2799" s="22" t="s">
        <v>4784</v>
      </c>
      <c r="F2799" s="24" t="s">
        <v>8219</v>
      </c>
      <c r="G2799" s="26" t="s">
        <v>8969</v>
      </c>
      <c r="H2799" s="22" t="s">
        <v>69</v>
      </c>
      <c r="I2799" s="22"/>
      <c r="J2799" s="22"/>
      <c r="K2799" s="24"/>
      <c r="L2799" s="24" t="s">
        <v>4785</v>
      </c>
      <c r="M2799" s="25" t="s">
        <v>4786</v>
      </c>
      <c r="N2799" s="22"/>
      <c r="O2799" s="22" t="s">
        <v>4787</v>
      </c>
      <c r="P2799" s="22" t="str">
        <f>HYPERLINK("https://ceds.ed.gov/cedselementdetails.aspx?termid=21719")</f>
        <v>https://ceds.ed.gov/cedselementdetails.aspx?termid=21719</v>
      </c>
      <c r="Q2799" s="22">
        <v>60166</v>
      </c>
    </row>
    <row r="2800" spans="1:17" ht="28.8" x14ac:dyDescent="0.3">
      <c r="A2800" s="22" t="s">
        <v>7839</v>
      </c>
      <c r="B2800" s="22" t="s">
        <v>7863</v>
      </c>
      <c r="C2800" s="22" t="s">
        <v>7772</v>
      </c>
      <c r="D2800" s="22" t="s">
        <v>7710</v>
      </c>
      <c r="E2800" s="22" t="s">
        <v>366</v>
      </c>
      <c r="F2800" s="24" t="s">
        <v>367</v>
      </c>
      <c r="G2800" s="23" t="s">
        <v>32</v>
      </c>
      <c r="H2800" s="22" t="s">
        <v>69</v>
      </c>
      <c r="I2800" s="22" t="s">
        <v>172</v>
      </c>
      <c r="J2800" s="22" t="s">
        <v>317</v>
      </c>
      <c r="K2800" s="24" t="s">
        <v>7946</v>
      </c>
      <c r="L2800" s="24" t="s">
        <v>368</v>
      </c>
      <c r="M2800" s="25" t="s">
        <v>369</v>
      </c>
      <c r="N2800" s="22"/>
      <c r="O2800" s="22" t="s">
        <v>370</v>
      </c>
      <c r="P2800" s="22" t="str">
        <f>HYPERLINK("https://ceds.ed.gov/cedselementdetails.aspx?termid=21722")</f>
        <v>https://ceds.ed.gov/cedselementdetails.aspx?termid=21722</v>
      </c>
      <c r="Q2800" s="22">
        <v>60169</v>
      </c>
    </row>
    <row r="2801" spans="1:17" ht="409.6" x14ac:dyDescent="0.3">
      <c r="A2801" s="22" t="s">
        <v>7839</v>
      </c>
      <c r="B2801" s="22" t="s">
        <v>7863</v>
      </c>
      <c r="C2801" s="22" t="s">
        <v>7772</v>
      </c>
      <c r="D2801" s="22" t="s">
        <v>7710</v>
      </c>
      <c r="E2801" s="22" t="s">
        <v>3548</v>
      </c>
      <c r="F2801" s="24" t="s">
        <v>3321</v>
      </c>
      <c r="G2801" s="26" t="s">
        <v>8846</v>
      </c>
      <c r="H2801" s="22"/>
      <c r="I2801" s="22"/>
      <c r="J2801" s="22"/>
      <c r="K2801" s="24"/>
      <c r="L2801" s="24"/>
      <c r="M2801" s="25" t="s">
        <v>3549</v>
      </c>
      <c r="N2801" s="22"/>
      <c r="O2801" s="22" t="s">
        <v>3550</v>
      </c>
      <c r="P2801" s="22" t="str">
        <f>HYPERLINK("https://ceds.ed.gov/cedselementdetails.aspx?termid=21613")</f>
        <v>https://ceds.ed.gov/cedselementdetails.aspx?termid=21613</v>
      </c>
      <c r="Q2801" s="22">
        <v>63421</v>
      </c>
    </row>
    <row r="2802" spans="1:17" ht="43.2" x14ac:dyDescent="0.3">
      <c r="A2802" s="22" t="s">
        <v>7839</v>
      </c>
      <c r="B2802" s="22" t="s">
        <v>7863</v>
      </c>
      <c r="C2802" s="22" t="s">
        <v>7772</v>
      </c>
      <c r="D2802" s="22" t="s">
        <v>7710</v>
      </c>
      <c r="E2802" s="22" t="s">
        <v>7413</v>
      </c>
      <c r="F2802" s="24" t="s">
        <v>7414</v>
      </c>
      <c r="G2802" s="23" t="s">
        <v>32</v>
      </c>
      <c r="H2802" s="22"/>
      <c r="I2802" s="22"/>
      <c r="J2802" s="22" t="s">
        <v>1518</v>
      </c>
      <c r="K2802" s="24"/>
      <c r="L2802" s="24"/>
      <c r="M2802" s="25" t="s">
        <v>7415</v>
      </c>
      <c r="N2802" s="22"/>
      <c r="O2802" s="22" t="s">
        <v>7416</v>
      </c>
      <c r="P2802" s="22" t="str">
        <f>HYPERLINK("https://ceds.ed.gov/cedselementdetails.aspx?termid=21774")</f>
        <v>https://ceds.ed.gov/cedselementdetails.aspx?termid=21774</v>
      </c>
      <c r="Q2802" s="22">
        <v>63599</v>
      </c>
    </row>
    <row r="2803" spans="1:17" ht="72" x14ac:dyDescent="0.3">
      <c r="A2803" s="22" t="s">
        <v>7839</v>
      </c>
      <c r="B2803" s="22" t="s">
        <v>7863</v>
      </c>
      <c r="C2803" s="22" t="s">
        <v>7772</v>
      </c>
      <c r="D2803" s="22" t="s">
        <v>7710</v>
      </c>
      <c r="E2803" s="22" t="s">
        <v>5873</v>
      </c>
      <c r="F2803" s="24" t="s">
        <v>5874</v>
      </c>
      <c r="G2803" s="23" t="s">
        <v>32</v>
      </c>
      <c r="H2803" s="24" t="s">
        <v>64</v>
      </c>
      <c r="I2803" s="22" t="s">
        <v>172</v>
      </c>
      <c r="J2803" s="22" t="s">
        <v>1339</v>
      </c>
      <c r="K2803" s="24" t="s">
        <v>7946</v>
      </c>
      <c r="L2803" s="24"/>
      <c r="M2803" s="25" t="s">
        <v>5875</v>
      </c>
      <c r="N2803" s="22"/>
      <c r="O2803" s="22" t="s">
        <v>5876</v>
      </c>
      <c r="P2803" s="22" t="str">
        <f>HYPERLINK("https://ceds.ed.gov/cedselementdetails.aspx?termid=21213")</f>
        <v>https://ceds.ed.gov/cedselementdetails.aspx?termid=21213</v>
      </c>
      <c r="Q2803" s="22">
        <v>63615</v>
      </c>
    </row>
    <row r="2804" spans="1:17" ht="216" x14ac:dyDescent="0.3">
      <c r="A2804" s="22" t="s">
        <v>7839</v>
      </c>
      <c r="B2804" s="22" t="s">
        <v>7863</v>
      </c>
      <c r="C2804" s="22" t="s">
        <v>7772</v>
      </c>
      <c r="D2804" s="22" t="s">
        <v>7710</v>
      </c>
      <c r="E2804" s="22" t="s">
        <v>7656</v>
      </c>
      <c r="F2804" s="24" t="s">
        <v>7657</v>
      </c>
      <c r="G2804" s="26" t="s">
        <v>8514</v>
      </c>
      <c r="H2804" s="22"/>
      <c r="I2804" s="22" t="s">
        <v>172</v>
      </c>
      <c r="J2804" s="22"/>
      <c r="K2804" s="24" t="s">
        <v>7995</v>
      </c>
      <c r="L2804" s="24"/>
      <c r="M2804" s="25" t="s">
        <v>7658</v>
      </c>
      <c r="N2804" s="22"/>
      <c r="O2804" s="22" t="s">
        <v>7656</v>
      </c>
      <c r="P2804" s="22" t="str">
        <f>HYPERLINK("https://ceds.ed.gov/cedselementdetails.aspx?termid=22959")</f>
        <v>https://ceds.ed.gov/cedselementdetails.aspx?termid=22959</v>
      </c>
      <c r="Q2804" s="22">
        <v>63616</v>
      </c>
    </row>
    <row r="2805" spans="1:17" ht="57.6" x14ac:dyDescent="0.3">
      <c r="A2805" s="22" t="s">
        <v>7839</v>
      </c>
      <c r="B2805" s="22" t="s">
        <v>7863</v>
      </c>
      <c r="C2805" s="22" t="s">
        <v>7772</v>
      </c>
      <c r="D2805" s="22" t="s">
        <v>7710</v>
      </c>
      <c r="E2805" s="22" t="s">
        <v>6900</v>
      </c>
      <c r="F2805" s="24" t="s">
        <v>6901</v>
      </c>
      <c r="G2805" s="23" t="s">
        <v>32</v>
      </c>
      <c r="H2805" s="24" t="s">
        <v>6905</v>
      </c>
      <c r="I2805" s="22" t="s">
        <v>172</v>
      </c>
      <c r="J2805" s="22" t="s">
        <v>4141</v>
      </c>
      <c r="K2805" s="24" t="s">
        <v>7946</v>
      </c>
      <c r="L2805" s="24"/>
      <c r="M2805" s="25" t="s">
        <v>6902</v>
      </c>
      <c r="N2805" s="22" t="s">
        <v>6903</v>
      </c>
      <c r="O2805" s="22" t="s">
        <v>6904</v>
      </c>
      <c r="P2805" s="22" t="str">
        <f>HYPERLINK("https://ceds.ed.gov/cedselementdetails.aspx?termid=21118")</f>
        <v>https://ceds.ed.gov/cedselementdetails.aspx?termid=21118</v>
      </c>
      <c r="Q2805" s="22">
        <v>63617</v>
      </c>
    </row>
    <row r="2806" spans="1:17" ht="57.6" x14ac:dyDescent="0.3">
      <c r="A2806" s="22" t="s">
        <v>7839</v>
      </c>
      <c r="B2806" s="22" t="s">
        <v>7863</v>
      </c>
      <c r="C2806" s="22" t="s">
        <v>7773</v>
      </c>
      <c r="D2806" s="22" t="s">
        <v>7710</v>
      </c>
      <c r="E2806" s="22" t="s">
        <v>1908</v>
      </c>
      <c r="F2806" s="24" t="s">
        <v>1909</v>
      </c>
      <c r="G2806" s="26" t="s">
        <v>22</v>
      </c>
      <c r="H2806" s="22"/>
      <c r="I2806" s="22"/>
      <c r="J2806" s="22"/>
      <c r="K2806" s="24"/>
      <c r="L2806" s="24"/>
      <c r="M2806" s="25" t="s">
        <v>1911</v>
      </c>
      <c r="N2806" s="22" t="s">
        <v>1912</v>
      </c>
      <c r="O2806" s="22" t="s">
        <v>1913</v>
      </c>
      <c r="P2806" s="22" t="str">
        <f>HYPERLINK("https://ceds.ed.gov/cedselementdetails.aspx?termid=22284")</f>
        <v>https://ceds.ed.gov/cedselementdetails.aspx?termid=22284</v>
      </c>
      <c r="Q2806" s="22">
        <v>61123</v>
      </c>
    </row>
    <row r="2807" spans="1:17" ht="43.2" x14ac:dyDescent="0.3">
      <c r="A2807" s="22" t="s">
        <v>7839</v>
      </c>
      <c r="B2807" s="22" t="s">
        <v>7863</v>
      </c>
      <c r="C2807" s="22" t="s">
        <v>7773</v>
      </c>
      <c r="D2807" s="22" t="s">
        <v>7710</v>
      </c>
      <c r="E2807" s="22" t="s">
        <v>2920</v>
      </c>
      <c r="F2807" s="24" t="s">
        <v>2921</v>
      </c>
      <c r="G2807" s="23" t="s">
        <v>32</v>
      </c>
      <c r="H2807" s="22" t="s">
        <v>207</v>
      </c>
      <c r="I2807" s="22"/>
      <c r="J2807" s="22" t="s">
        <v>118</v>
      </c>
      <c r="K2807" s="24"/>
      <c r="L2807" s="24"/>
      <c r="M2807" s="25" t="s">
        <v>2922</v>
      </c>
      <c r="N2807" s="22"/>
      <c r="O2807" s="22" t="s">
        <v>2923</v>
      </c>
      <c r="P2807" s="22" t="str">
        <f>HYPERLINK("https://ceds.ed.gov/cedselementdetails.aspx?termid=21069")</f>
        <v>https://ceds.ed.gov/cedselementdetails.aspx?termid=21069</v>
      </c>
      <c r="Q2807" s="22">
        <v>63603</v>
      </c>
    </row>
    <row r="2808" spans="1:17" ht="28.8" x14ac:dyDescent="0.3">
      <c r="A2808" s="22" t="s">
        <v>7839</v>
      </c>
      <c r="B2808" s="22" t="s">
        <v>7863</v>
      </c>
      <c r="C2808" s="22" t="s">
        <v>7773</v>
      </c>
      <c r="D2808" s="22" t="s">
        <v>7710</v>
      </c>
      <c r="E2808" s="22" t="s">
        <v>2945</v>
      </c>
      <c r="F2808" s="24" t="s">
        <v>2946</v>
      </c>
      <c r="G2808" s="23" t="s">
        <v>32</v>
      </c>
      <c r="H2808" s="22"/>
      <c r="I2808" s="22"/>
      <c r="J2808" s="22" t="s">
        <v>157</v>
      </c>
      <c r="K2808" s="24"/>
      <c r="L2808" s="24"/>
      <c r="M2808" s="25" t="s">
        <v>2947</v>
      </c>
      <c r="N2808" s="22"/>
      <c r="O2808" s="22" t="s">
        <v>2948</v>
      </c>
      <c r="P2808" s="22" t="str">
        <f>HYPERLINK("https://ceds.ed.gov/cedselementdetails.aspx?termid=22566")</f>
        <v>https://ceds.ed.gov/cedselementdetails.aspx?termid=22566</v>
      </c>
      <c r="Q2808" s="22">
        <v>63604</v>
      </c>
    </row>
    <row r="2809" spans="1:17" ht="43.2" x14ac:dyDescent="0.3">
      <c r="A2809" s="22" t="s">
        <v>7839</v>
      </c>
      <c r="B2809" s="22" t="s">
        <v>7863</v>
      </c>
      <c r="C2809" s="22" t="s">
        <v>7773</v>
      </c>
      <c r="D2809" s="22" t="s">
        <v>7710</v>
      </c>
      <c r="E2809" s="22" t="s">
        <v>3073</v>
      </c>
      <c r="F2809" s="24" t="s">
        <v>3074</v>
      </c>
      <c r="G2809" s="23" t="s">
        <v>32</v>
      </c>
      <c r="H2809" s="24" t="s">
        <v>3077</v>
      </c>
      <c r="I2809" s="22"/>
      <c r="J2809" s="22" t="s">
        <v>118</v>
      </c>
      <c r="K2809" s="24"/>
      <c r="L2809" s="24"/>
      <c r="M2809" s="25" t="s">
        <v>3075</v>
      </c>
      <c r="N2809" s="22"/>
      <c r="O2809" s="22" t="s">
        <v>3076</v>
      </c>
      <c r="P2809" s="22" t="str">
        <f>HYPERLINK("https://ceds.ed.gov/cedselementdetails.aspx?termid=21343")</f>
        <v>https://ceds.ed.gov/cedselementdetails.aspx?termid=21343</v>
      </c>
      <c r="Q2809" s="22">
        <v>63605</v>
      </c>
    </row>
    <row r="2810" spans="1:17" ht="43.2" x14ac:dyDescent="0.3">
      <c r="A2810" s="22" t="s">
        <v>7839</v>
      </c>
      <c r="B2810" s="22" t="s">
        <v>7863</v>
      </c>
      <c r="C2810" s="22" t="s">
        <v>7773</v>
      </c>
      <c r="D2810" s="22" t="s">
        <v>7710</v>
      </c>
      <c r="E2810" s="22" t="s">
        <v>3082</v>
      </c>
      <c r="F2810" s="24" t="s">
        <v>3083</v>
      </c>
      <c r="G2810" s="23" t="s">
        <v>32</v>
      </c>
      <c r="H2810" s="24" t="s">
        <v>3077</v>
      </c>
      <c r="I2810" s="22"/>
      <c r="J2810" s="22" t="s">
        <v>1339</v>
      </c>
      <c r="K2810" s="24"/>
      <c r="L2810" s="24"/>
      <c r="M2810" s="25" t="s">
        <v>3084</v>
      </c>
      <c r="N2810" s="22"/>
      <c r="O2810" s="22" t="s">
        <v>3085</v>
      </c>
      <c r="P2810" s="22" t="str">
        <f>HYPERLINK("https://ceds.ed.gov/cedselementdetails.aspx?termid=21341")</f>
        <v>https://ceds.ed.gov/cedselementdetails.aspx?termid=21341</v>
      </c>
      <c r="Q2810" s="22">
        <v>63606</v>
      </c>
    </row>
    <row r="2811" spans="1:17" ht="273.60000000000002" x14ac:dyDescent="0.3">
      <c r="A2811" s="22" t="s">
        <v>7839</v>
      </c>
      <c r="B2811" s="22" t="s">
        <v>7863</v>
      </c>
      <c r="C2811" s="22" t="s">
        <v>7773</v>
      </c>
      <c r="D2811" s="22" t="s">
        <v>7710</v>
      </c>
      <c r="E2811" s="22" t="s">
        <v>3086</v>
      </c>
      <c r="F2811" s="24" t="s">
        <v>3087</v>
      </c>
      <c r="G2811" s="26" t="s">
        <v>8785</v>
      </c>
      <c r="H2811" s="24" t="s">
        <v>3077</v>
      </c>
      <c r="I2811" s="22"/>
      <c r="J2811" s="22"/>
      <c r="K2811" s="24"/>
      <c r="L2811" s="24"/>
      <c r="M2811" s="25" t="s">
        <v>3088</v>
      </c>
      <c r="N2811" s="22"/>
      <c r="O2811" s="22" t="s">
        <v>3089</v>
      </c>
      <c r="P2811" s="22" t="str">
        <f>HYPERLINK("https://ceds.ed.gov/cedselementdetails.aspx?termid=21342")</f>
        <v>https://ceds.ed.gov/cedselementdetails.aspx?termid=21342</v>
      </c>
      <c r="Q2811" s="22">
        <v>63607</v>
      </c>
    </row>
    <row r="2812" spans="1:17" ht="216" x14ac:dyDescent="0.3">
      <c r="A2812" s="22" t="s">
        <v>7839</v>
      </c>
      <c r="B2812" s="22" t="s">
        <v>7863</v>
      </c>
      <c r="C2812" s="22" t="s">
        <v>7773</v>
      </c>
      <c r="D2812" s="22" t="s">
        <v>7710</v>
      </c>
      <c r="E2812" s="22" t="s">
        <v>7135</v>
      </c>
      <c r="F2812" s="24" t="s">
        <v>7136</v>
      </c>
      <c r="G2812" s="26" t="s">
        <v>9160</v>
      </c>
      <c r="H2812" s="22" t="s">
        <v>355</v>
      </c>
      <c r="I2812" s="22"/>
      <c r="J2812" s="22"/>
      <c r="K2812" s="24"/>
      <c r="L2812" s="24"/>
      <c r="M2812" s="25" t="s">
        <v>7137</v>
      </c>
      <c r="N2812" s="22"/>
      <c r="O2812" s="22" t="s">
        <v>7138</v>
      </c>
      <c r="P2812" s="22" t="str">
        <f>HYPERLINK("https://ceds.ed.gov/cedselementdetails.aspx?termid=21278")</f>
        <v>https://ceds.ed.gov/cedselementdetails.aspx?termid=21278</v>
      </c>
      <c r="Q2812" s="22">
        <v>63608</v>
      </c>
    </row>
    <row r="2813" spans="1:17" ht="115.2" x14ac:dyDescent="0.3">
      <c r="A2813" s="22" t="s">
        <v>7839</v>
      </c>
      <c r="B2813" s="22" t="s">
        <v>7863</v>
      </c>
      <c r="C2813" s="22" t="s">
        <v>7754</v>
      </c>
      <c r="D2813" s="22" t="s">
        <v>7710</v>
      </c>
      <c r="E2813" s="22" t="s">
        <v>4923</v>
      </c>
      <c r="F2813" s="24" t="s">
        <v>4924</v>
      </c>
      <c r="G2813" s="23" t="s">
        <v>7423</v>
      </c>
      <c r="H2813" s="24" t="s">
        <v>4927</v>
      </c>
      <c r="I2813" s="22"/>
      <c r="J2813" s="22"/>
      <c r="K2813" s="24"/>
      <c r="L2813" s="24" t="s">
        <v>7994</v>
      </c>
      <c r="M2813" s="25" t="s">
        <v>4925</v>
      </c>
      <c r="N2813" s="22"/>
      <c r="O2813" s="22" t="s">
        <v>4926</v>
      </c>
      <c r="P2813" s="22" t="str">
        <f>HYPERLINK("https://ceds.ed.gov/cedselementdetails.aspx?termid=21317")</f>
        <v>https://ceds.ed.gov/cedselementdetails.aspx?termid=21317</v>
      </c>
      <c r="Q2813" s="22">
        <v>63422</v>
      </c>
    </row>
    <row r="2814" spans="1:17" ht="115.2" x14ac:dyDescent="0.3">
      <c r="A2814" s="22" t="s">
        <v>7839</v>
      </c>
      <c r="B2814" s="22" t="s">
        <v>7863</v>
      </c>
      <c r="C2814" s="22" t="s">
        <v>7754</v>
      </c>
      <c r="D2814" s="22" t="s">
        <v>7710</v>
      </c>
      <c r="E2814" s="22" t="s">
        <v>4928</v>
      </c>
      <c r="F2814" s="24" t="s">
        <v>4924</v>
      </c>
      <c r="G2814" s="23" t="s">
        <v>7423</v>
      </c>
      <c r="H2814" s="22"/>
      <c r="I2814" s="22" t="s">
        <v>172</v>
      </c>
      <c r="J2814" s="22"/>
      <c r="K2814" s="24" t="s">
        <v>8231</v>
      </c>
      <c r="L2814" s="24" t="s">
        <v>8232</v>
      </c>
      <c r="M2814" s="25" t="s">
        <v>4929</v>
      </c>
      <c r="N2814" s="22"/>
      <c r="O2814" s="22" t="s">
        <v>4930</v>
      </c>
      <c r="P2814" s="22" t="str">
        <f>HYPERLINK("https://ceds.ed.gov/cedselementdetails.aspx?termid=22618")</f>
        <v>https://ceds.ed.gov/cedselementdetails.aspx?termid=22618</v>
      </c>
      <c r="Q2814" s="22">
        <v>63423</v>
      </c>
    </row>
    <row r="2815" spans="1:17" ht="409.6" x14ac:dyDescent="0.3">
      <c r="A2815" s="22" t="s">
        <v>7839</v>
      </c>
      <c r="B2815" s="22" t="s">
        <v>7863</v>
      </c>
      <c r="C2815" s="22" t="s">
        <v>7754</v>
      </c>
      <c r="D2815" s="22" t="s">
        <v>7710</v>
      </c>
      <c r="E2815" s="22" t="s">
        <v>4931</v>
      </c>
      <c r="F2815" s="24" t="s">
        <v>4932</v>
      </c>
      <c r="G2815" s="26" t="s">
        <v>8988</v>
      </c>
      <c r="H2815" s="22"/>
      <c r="I2815" s="22"/>
      <c r="J2815" s="22"/>
      <c r="K2815" s="24"/>
      <c r="L2815" s="24" t="s">
        <v>8233</v>
      </c>
      <c r="M2815" s="25" t="s">
        <v>4933</v>
      </c>
      <c r="N2815" s="22"/>
      <c r="O2815" s="22" t="s">
        <v>4934</v>
      </c>
      <c r="P2815" s="22" t="str">
        <f>HYPERLINK("https://ceds.ed.gov/cedselementdetails.aspx?termid=22619")</f>
        <v>https://ceds.ed.gov/cedselementdetails.aspx?termid=22619</v>
      </c>
      <c r="Q2815" s="22">
        <v>63424</v>
      </c>
    </row>
    <row r="2816" spans="1:17" ht="129.6" x14ac:dyDescent="0.3">
      <c r="A2816" s="22" t="s">
        <v>7839</v>
      </c>
      <c r="B2816" s="22" t="s">
        <v>7863</v>
      </c>
      <c r="C2816" s="22" t="s">
        <v>7754</v>
      </c>
      <c r="D2816" s="22" t="s">
        <v>7710</v>
      </c>
      <c r="E2816" s="22" t="s">
        <v>4965</v>
      </c>
      <c r="F2816" s="24" t="s">
        <v>4966</v>
      </c>
      <c r="G2816" s="26" t="s">
        <v>8993</v>
      </c>
      <c r="H2816" s="24" t="s">
        <v>4927</v>
      </c>
      <c r="I2816" s="22"/>
      <c r="J2816" s="22"/>
      <c r="K2816" s="24"/>
      <c r="L2816" s="24"/>
      <c r="M2816" s="25" t="s">
        <v>4967</v>
      </c>
      <c r="N2816" s="22"/>
      <c r="O2816" s="22" t="s">
        <v>4968</v>
      </c>
      <c r="P2816" s="22" t="str">
        <f>HYPERLINK("https://ceds.ed.gov/cedselementdetails.aspx?termid=21316")</f>
        <v>https://ceds.ed.gov/cedselementdetails.aspx?termid=21316</v>
      </c>
      <c r="Q2816" s="22">
        <v>63425</v>
      </c>
    </row>
    <row r="2817" spans="1:17" ht="259.2" x14ac:dyDescent="0.3">
      <c r="A2817" s="22" t="s">
        <v>7839</v>
      </c>
      <c r="B2817" s="22" t="s">
        <v>7863</v>
      </c>
      <c r="C2817" s="22" t="s">
        <v>7796</v>
      </c>
      <c r="D2817" s="22" t="s">
        <v>7710</v>
      </c>
      <c r="E2817" s="22" t="s">
        <v>5290</v>
      </c>
      <c r="F2817" s="24" t="s">
        <v>5291</v>
      </c>
      <c r="G2817" s="26" t="s">
        <v>8470</v>
      </c>
      <c r="H2817" s="22"/>
      <c r="I2817" s="22" t="s">
        <v>172</v>
      </c>
      <c r="J2817" s="22"/>
      <c r="K2817" s="24" t="s">
        <v>7946</v>
      </c>
      <c r="L2817" s="24"/>
      <c r="M2817" s="25" t="s">
        <v>5292</v>
      </c>
      <c r="N2817" s="22"/>
      <c r="O2817" s="22" t="s">
        <v>5293</v>
      </c>
      <c r="P2817" s="22" t="str">
        <f>HYPERLINK("https://ceds.ed.gov/cedselementdetails.aspx?termid=21617")</f>
        <v>https://ceds.ed.gov/cedselementdetails.aspx?termid=21617</v>
      </c>
      <c r="Q2817" s="22">
        <v>63600</v>
      </c>
    </row>
    <row r="2818" spans="1:17" ht="100.8" x14ac:dyDescent="0.3">
      <c r="A2818" s="22" t="s">
        <v>7839</v>
      </c>
      <c r="B2818" s="22" t="s">
        <v>7863</v>
      </c>
      <c r="C2818" s="22" t="s">
        <v>7796</v>
      </c>
      <c r="D2818" s="22" t="s">
        <v>7710</v>
      </c>
      <c r="E2818" s="22" t="s">
        <v>5603</v>
      </c>
      <c r="F2818" s="24" t="s">
        <v>5604</v>
      </c>
      <c r="G2818" s="23" t="s">
        <v>32</v>
      </c>
      <c r="H2818" s="24" t="s">
        <v>5607</v>
      </c>
      <c r="I2818" s="22" t="s">
        <v>172</v>
      </c>
      <c r="J2818" s="22" t="s">
        <v>1518</v>
      </c>
      <c r="K2818" s="24" t="s">
        <v>7946</v>
      </c>
      <c r="L2818" s="24"/>
      <c r="M2818" s="25" t="s">
        <v>5605</v>
      </c>
      <c r="N2818" s="22"/>
      <c r="O2818" s="22" t="s">
        <v>5606</v>
      </c>
      <c r="P2818" s="22" t="str">
        <f>HYPERLINK("https://ceds.ed.gov/cedselementdetails.aspx?termid=21201")</f>
        <v>https://ceds.ed.gov/cedselementdetails.aspx?termid=21201</v>
      </c>
      <c r="Q2818" s="22">
        <v>63601</v>
      </c>
    </row>
    <row r="2819" spans="1:17" ht="100.8" x14ac:dyDescent="0.3">
      <c r="A2819" s="22" t="s">
        <v>7839</v>
      </c>
      <c r="B2819" s="22" t="s">
        <v>7863</v>
      </c>
      <c r="C2819" s="22" t="s">
        <v>7864</v>
      </c>
      <c r="D2819" s="22" t="s">
        <v>7710</v>
      </c>
      <c r="E2819" s="22" t="s">
        <v>253</v>
      </c>
      <c r="F2819" s="24" t="s">
        <v>7424</v>
      </c>
      <c r="G2819" s="26" t="s">
        <v>8584</v>
      </c>
      <c r="H2819" s="22"/>
      <c r="I2819" s="22"/>
      <c r="J2819" s="22"/>
      <c r="K2819" s="24"/>
      <c r="L2819" s="24"/>
      <c r="M2819" s="25" t="s">
        <v>254</v>
      </c>
      <c r="N2819" s="22"/>
      <c r="O2819" s="22" t="s">
        <v>255</v>
      </c>
      <c r="P2819" s="22" t="str">
        <f>HYPERLINK("https://ceds.ed.gov/cedselementdetails.aspx?termid=21775")</f>
        <v>https://ceds.ed.gov/cedselementdetails.aspx?termid=21775</v>
      </c>
      <c r="Q2819" s="22">
        <v>63602</v>
      </c>
    </row>
    <row r="2820" spans="1:17" ht="100.8" x14ac:dyDescent="0.3">
      <c r="A2820" s="22" t="s">
        <v>7839</v>
      </c>
      <c r="B2820" s="22" t="s">
        <v>7863</v>
      </c>
      <c r="C2820" s="22" t="s">
        <v>7769</v>
      </c>
      <c r="D2820" s="22" t="s">
        <v>7710</v>
      </c>
      <c r="E2820" s="22" t="s">
        <v>4328</v>
      </c>
      <c r="F2820" s="24" t="s">
        <v>4329</v>
      </c>
      <c r="G2820" s="26" t="s">
        <v>8921</v>
      </c>
      <c r="H2820" s="22" t="s">
        <v>207</v>
      </c>
      <c r="I2820" s="22"/>
      <c r="J2820" s="22"/>
      <c r="K2820" s="24"/>
      <c r="L2820" s="24"/>
      <c r="M2820" s="25" t="s">
        <v>4330</v>
      </c>
      <c r="N2820" s="22"/>
      <c r="O2820" s="22" t="s">
        <v>4331</v>
      </c>
      <c r="P2820" s="22" t="str">
        <f>HYPERLINK("https://ceds.ed.gov/cedselementdetails.aspx?termid=21817")</f>
        <v>https://ceds.ed.gov/cedselementdetails.aspx?termid=21817</v>
      </c>
      <c r="Q2820" s="22">
        <v>63612</v>
      </c>
    </row>
    <row r="2821" spans="1:17" ht="409.6" x14ac:dyDescent="0.3">
      <c r="A2821" s="22" t="s">
        <v>7839</v>
      </c>
      <c r="B2821" s="22" t="s">
        <v>7863</v>
      </c>
      <c r="C2821" s="22" t="s">
        <v>7769</v>
      </c>
      <c r="D2821" s="22" t="s">
        <v>7710</v>
      </c>
      <c r="E2821" s="22" t="s">
        <v>4332</v>
      </c>
      <c r="F2821" s="24" t="s">
        <v>4333</v>
      </c>
      <c r="G2821" s="26" t="s">
        <v>8734</v>
      </c>
      <c r="H2821" s="24" t="s">
        <v>4336</v>
      </c>
      <c r="I2821" s="22"/>
      <c r="J2821" s="22"/>
      <c r="K2821" s="24"/>
      <c r="L2821" s="24"/>
      <c r="M2821" s="25" t="s">
        <v>4334</v>
      </c>
      <c r="N2821" s="22"/>
      <c r="O2821" s="22" t="s">
        <v>4335</v>
      </c>
      <c r="P2821" s="22" t="str">
        <f>HYPERLINK("https://ceds.ed.gov/cedselementdetails.aspx?termid=21141")</f>
        <v>https://ceds.ed.gov/cedselementdetails.aspx?termid=21141</v>
      </c>
      <c r="Q2821" s="22">
        <v>63613</v>
      </c>
    </row>
    <row r="2822" spans="1:17" ht="187.2" x14ac:dyDescent="0.3">
      <c r="A2822" s="22" t="s">
        <v>7839</v>
      </c>
      <c r="B2822" s="22" t="s">
        <v>7863</v>
      </c>
      <c r="C2822" s="22" t="s">
        <v>7769</v>
      </c>
      <c r="D2822" s="22" t="s">
        <v>7710</v>
      </c>
      <c r="E2822" s="22" t="s">
        <v>5525</v>
      </c>
      <c r="F2822" s="24" t="s">
        <v>5526</v>
      </c>
      <c r="G2822" s="23" t="s">
        <v>32</v>
      </c>
      <c r="H2822" s="24" t="s">
        <v>5529</v>
      </c>
      <c r="I2822" s="22" t="s">
        <v>172</v>
      </c>
      <c r="J2822" s="22" t="s">
        <v>157</v>
      </c>
      <c r="K2822" s="24" t="s">
        <v>7946</v>
      </c>
      <c r="L2822" s="24"/>
      <c r="M2822" s="25" t="s">
        <v>5527</v>
      </c>
      <c r="N2822" s="22"/>
      <c r="O2822" s="22" t="s">
        <v>5528</v>
      </c>
      <c r="P2822" s="22" t="str">
        <f>HYPERLINK("https://ceds.ed.gov/cedselementdetails.aspx?termid=21191")</f>
        <v>https://ceds.ed.gov/cedselementdetails.aspx?termid=21191</v>
      </c>
      <c r="Q2822" s="22">
        <v>63614</v>
      </c>
    </row>
    <row r="2823" spans="1:17" ht="43.2" x14ac:dyDescent="0.3">
      <c r="A2823" s="22" t="s">
        <v>7839</v>
      </c>
      <c r="B2823" s="22" t="s">
        <v>7863</v>
      </c>
      <c r="C2823" s="22" t="s">
        <v>7732</v>
      </c>
      <c r="D2823" s="22" t="s">
        <v>7710</v>
      </c>
      <c r="E2823" s="22" t="s">
        <v>1929</v>
      </c>
      <c r="F2823" s="24" t="s">
        <v>1930</v>
      </c>
      <c r="G2823" s="23" t="s">
        <v>32</v>
      </c>
      <c r="H2823" s="22"/>
      <c r="I2823" s="22"/>
      <c r="J2823" s="22" t="s">
        <v>118</v>
      </c>
      <c r="K2823" s="24"/>
      <c r="L2823" s="24"/>
      <c r="M2823" s="25" t="s">
        <v>1931</v>
      </c>
      <c r="N2823" s="22"/>
      <c r="O2823" s="22" t="s">
        <v>1932</v>
      </c>
      <c r="P2823" s="22" t="str">
        <f>HYPERLINK("https://ceds.ed.gov/cedselementdetails.aspx?termid=22255")</f>
        <v>https://ceds.ed.gov/cedselementdetails.aspx?termid=22255</v>
      </c>
      <c r="Q2823" s="22">
        <v>63619</v>
      </c>
    </row>
    <row r="2824" spans="1:17" ht="72" x14ac:dyDescent="0.3">
      <c r="A2824" s="22" t="s">
        <v>7839</v>
      </c>
      <c r="B2824" s="22" t="s">
        <v>7863</v>
      </c>
      <c r="C2824" s="22" t="s">
        <v>7732</v>
      </c>
      <c r="D2824" s="22" t="s">
        <v>7710</v>
      </c>
      <c r="E2824" s="22" t="s">
        <v>1933</v>
      </c>
      <c r="F2824" s="24" t="s">
        <v>1934</v>
      </c>
      <c r="G2824" s="26" t="s">
        <v>8713</v>
      </c>
      <c r="H2824" s="22"/>
      <c r="I2824" s="22"/>
      <c r="J2824" s="22"/>
      <c r="K2824" s="24"/>
      <c r="L2824" s="24"/>
      <c r="M2824" s="25" t="s">
        <v>1935</v>
      </c>
      <c r="N2824" s="22"/>
      <c r="O2824" s="22" t="s">
        <v>1936</v>
      </c>
      <c r="P2824" s="22" t="str">
        <f>HYPERLINK("https://ceds.ed.gov/cedselementdetails.aspx?termid=22256")</f>
        <v>https://ceds.ed.gov/cedselementdetails.aspx?termid=22256</v>
      </c>
      <c r="Q2824" s="22">
        <v>63620</v>
      </c>
    </row>
    <row r="2825" spans="1:17" ht="144" x14ac:dyDescent="0.3">
      <c r="A2825" s="22" t="s">
        <v>7839</v>
      </c>
      <c r="B2825" s="22" t="s">
        <v>7863</v>
      </c>
      <c r="C2825" s="22" t="s">
        <v>7732</v>
      </c>
      <c r="D2825" s="22" t="s">
        <v>7710</v>
      </c>
      <c r="E2825" s="22" t="s">
        <v>2592</v>
      </c>
      <c r="F2825" s="24" t="s">
        <v>8058</v>
      </c>
      <c r="G2825" s="26" t="s">
        <v>8750</v>
      </c>
      <c r="H2825" s="22" t="s">
        <v>58</v>
      </c>
      <c r="I2825" s="22"/>
      <c r="J2825" s="22"/>
      <c r="K2825" s="24"/>
      <c r="L2825" s="24"/>
      <c r="M2825" s="25" t="s">
        <v>2593</v>
      </c>
      <c r="N2825" s="22"/>
      <c r="O2825" s="22" t="s">
        <v>2594</v>
      </c>
      <c r="P2825" s="22" t="str">
        <f>HYPERLINK("https://ceds.ed.gov/cedselementdetails.aspx?termid=21057")</f>
        <v>https://ceds.ed.gov/cedselementdetails.aspx?termid=21057</v>
      </c>
      <c r="Q2825" s="22">
        <v>63621</v>
      </c>
    </row>
    <row r="2826" spans="1:17" ht="100.8" x14ac:dyDescent="0.3">
      <c r="A2826" s="22" t="s">
        <v>7839</v>
      </c>
      <c r="B2826" s="22" t="s">
        <v>7863</v>
      </c>
      <c r="C2826" s="22" t="s">
        <v>7732</v>
      </c>
      <c r="D2826" s="22" t="s">
        <v>7710</v>
      </c>
      <c r="E2826" s="22" t="s">
        <v>5599</v>
      </c>
      <c r="F2826" s="24" t="s">
        <v>5600</v>
      </c>
      <c r="G2826" s="23" t="s">
        <v>32</v>
      </c>
      <c r="H2826" s="24" t="s">
        <v>5342</v>
      </c>
      <c r="I2826" s="22"/>
      <c r="J2826" s="22" t="s">
        <v>1518</v>
      </c>
      <c r="K2826" s="24"/>
      <c r="L2826" s="24"/>
      <c r="M2826" s="25" t="s">
        <v>5601</v>
      </c>
      <c r="N2826" s="22"/>
      <c r="O2826" s="22" t="s">
        <v>5602</v>
      </c>
      <c r="P2826" s="22" t="str">
        <f>HYPERLINK("https://ceds.ed.gov/cedselementdetails.aspx?termid=21200")</f>
        <v>https://ceds.ed.gov/cedselementdetails.aspx?termid=21200</v>
      </c>
      <c r="Q2826" s="22">
        <v>63622</v>
      </c>
    </row>
    <row r="2827" spans="1:17" ht="172.8" x14ac:dyDescent="0.3">
      <c r="A2827" s="22" t="s">
        <v>7839</v>
      </c>
      <c r="B2827" s="22" t="s">
        <v>7863</v>
      </c>
      <c r="C2827" s="22" t="s">
        <v>7732</v>
      </c>
      <c r="D2827" s="22" t="s">
        <v>7710</v>
      </c>
      <c r="E2827" s="22" t="s">
        <v>6055</v>
      </c>
      <c r="F2827" s="24" t="s">
        <v>6056</v>
      </c>
      <c r="G2827" s="26" t="s">
        <v>9096</v>
      </c>
      <c r="H2827" s="22" t="s">
        <v>207</v>
      </c>
      <c r="I2827" s="22"/>
      <c r="J2827" s="22"/>
      <c r="K2827" s="24"/>
      <c r="L2827" s="24"/>
      <c r="M2827" s="25" t="s">
        <v>6057</v>
      </c>
      <c r="N2827" s="22"/>
      <c r="O2827" s="22" t="s">
        <v>6058</v>
      </c>
      <c r="P2827" s="22" t="str">
        <f>HYPERLINK("https://ceds.ed.gov/cedselementdetails.aspx?termid=21811")</f>
        <v>https://ceds.ed.gov/cedselementdetails.aspx?termid=21811</v>
      </c>
      <c r="Q2827" s="22">
        <v>63623</v>
      </c>
    </row>
    <row r="2828" spans="1:17" ht="158.4" x14ac:dyDescent="0.3">
      <c r="A2828" s="22" t="s">
        <v>7839</v>
      </c>
      <c r="B2828" s="22" t="s">
        <v>7863</v>
      </c>
      <c r="C2828" s="22" t="s">
        <v>7732</v>
      </c>
      <c r="D2828" s="22" t="s">
        <v>7710</v>
      </c>
      <c r="E2828" s="22" t="s">
        <v>6063</v>
      </c>
      <c r="F2828" s="24" t="s">
        <v>6064</v>
      </c>
      <c r="G2828" s="26" t="s">
        <v>9099</v>
      </c>
      <c r="H2828" s="22"/>
      <c r="I2828" s="22"/>
      <c r="J2828" s="22"/>
      <c r="K2828" s="24"/>
      <c r="L2828" s="24"/>
      <c r="M2828" s="25" t="s">
        <v>6065</v>
      </c>
      <c r="N2828" s="22"/>
      <c r="O2828" s="22" t="s">
        <v>6066</v>
      </c>
      <c r="P2828" s="22" t="str">
        <f>HYPERLINK("https://ceds.ed.gov/cedselementdetails.aspx?termid=22429")</f>
        <v>https://ceds.ed.gov/cedselementdetails.aspx?termid=22429</v>
      </c>
      <c r="Q2828" s="22">
        <v>63624</v>
      </c>
    </row>
    <row r="2829" spans="1:17" ht="57.6" x14ac:dyDescent="0.3">
      <c r="A2829" s="22" t="s">
        <v>7839</v>
      </c>
      <c r="B2829" s="22" t="s">
        <v>7863</v>
      </c>
      <c r="C2829" s="22" t="s">
        <v>7732</v>
      </c>
      <c r="D2829" s="22" t="s">
        <v>7710</v>
      </c>
      <c r="E2829" s="22" t="s">
        <v>7155</v>
      </c>
      <c r="F2829" s="24" t="s">
        <v>7156</v>
      </c>
      <c r="G2829" s="26" t="s">
        <v>22</v>
      </c>
      <c r="H2829" s="22" t="s">
        <v>226</v>
      </c>
      <c r="I2829" s="22"/>
      <c r="J2829" s="22"/>
      <c r="K2829" s="24"/>
      <c r="L2829" s="24"/>
      <c r="M2829" s="25" t="s">
        <v>7157</v>
      </c>
      <c r="N2829" s="22"/>
      <c r="O2829" s="22" t="s">
        <v>7158</v>
      </c>
      <c r="P2829" s="22" t="str">
        <f>HYPERLINK("https://ceds.ed.gov/cedselementdetails.aspx?termid=21537")</f>
        <v>https://ceds.ed.gov/cedselementdetails.aspx?termid=21537</v>
      </c>
      <c r="Q2829" s="22">
        <v>63625</v>
      </c>
    </row>
    <row r="2830" spans="1:17" ht="57.6" x14ac:dyDescent="0.3">
      <c r="A2830" s="22" t="s">
        <v>7839</v>
      </c>
      <c r="B2830" s="22" t="s">
        <v>7863</v>
      </c>
      <c r="C2830" s="22" t="s">
        <v>7732</v>
      </c>
      <c r="D2830" s="22" t="s">
        <v>7710</v>
      </c>
      <c r="E2830" s="22" t="s">
        <v>7304</v>
      </c>
      <c r="F2830" s="24" t="s">
        <v>7305</v>
      </c>
      <c r="G2830" s="26" t="s">
        <v>22</v>
      </c>
      <c r="H2830" s="22"/>
      <c r="I2830" s="22"/>
      <c r="J2830" s="22"/>
      <c r="K2830" s="24"/>
      <c r="L2830" s="24" t="s">
        <v>7306</v>
      </c>
      <c r="M2830" s="25" t="s">
        <v>7307</v>
      </c>
      <c r="N2830" s="22"/>
      <c r="O2830" s="22" t="s">
        <v>7308</v>
      </c>
      <c r="P2830" s="22" t="str">
        <f>HYPERLINK("https://ceds.ed.gov/cedselementdetails.aspx?termid=22554")</f>
        <v>https://ceds.ed.gov/cedselementdetails.aspx?termid=22554</v>
      </c>
      <c r="Q2830" s="22">
        <v>63626</v>
      </c>
    </row>
    <row r="2831" spans="1:17" ht="72" x14ac:dyDescent="0.3">
      <c r="A2831" s="22" t="s">
        <v>7839</v>
      </c>
      <c r="B2831" s="22" t="s">
        <v>7863</v>
      </c>
      <c r="C2831" s="22" t="s">
        <v>7775</v>
      </c>
      <c r="D2831" s="22" t="s">
        <v>7710</v>
      </c>
      <c r="E2831" s="22" t="s">
        <v>5985</v>
      </c>
      <c r="F2831" s="24" t="s">
        <v>5986</v>
      </c>
      <c r="G2831" s="26" t="s">
        <v>9085</v>
      </c>
      <c r="H2831" s="22"/>
      <c r="I2831" s="22"/>
      <c r="J2831" s="22"/>
      <c r="K2831" s="24"/>
      <c r="L2831" s="24"/>
      <c r="M2831" s="25" t="s">
        <v>5987</v>
      </c>
      <c r="N2831" s="22"/>
      <c r="O2831" s="22" t="s">
        <v>5988</v>
      </c>
      <c r="P2831" s="22" t="str">
        <f>HYPERLINK("https://ceds.ed.gov/cedselementdetails.aspx?termid=22403")</f>
        <v>https://ceds.ed.gov/cedselementdetails.aspx?termid=22403</v>
      </c>
      <c r="Q2831" s="22">
        <v>63627</v>
      </c>
    </row>
    <row r="2832" spans="1:17" ht="72" x14ac:dyDescent="0.3">
      <c r="A2832" s="22" t="s">
        <v>7839</v>
      </c>
      <c r="B2832" s="22" t="s">
        <v>7863</v>
      </c>
      <c r="C2832" s="22" t="s">
        <v>7776</v>
      </c>
      <c r="D2832" s="22" t="s">
        <v>7710</v>
      </c>
      <c r="E2832" s="22" t="s">
        <v>6051</v>
      </c>
      <c r="F2832" s="24" t="s">
        <v>6052</v>
      </c>
      <c r="G2832" s="26" t="s">
        <v>8550</v>
      </c>
      <c r="H2832" s="22"/>
      <c r="I2832" s="22"/>
      <c r="J2832" s="22"/>
      <c r="K2832" s="24"/>
      <c r="L2832" s="24"/>
      <c r="M2832" s="25" t="s">
        <v>6053</v>
      </c>
      <c r="N2832" s="22"/>
      <c r="O2832" s="22" t="s">
        <v>6054</v>
      </c>
      <c r="P2832" s="22" t="str">
        <f>HYPERLINK("https://ceds.ed.gov/cedselementdetails.aspx?termid=22401")</f>
        <v>https://ceds.ed.gov/cedselementdetails.aspx?termid=22401</v>
      </c>
      <c r="Q2832" s="22">
        <v>63638</v>
      </c>
    </row>
    <row r="2833" spans="1:17" ht="72" x14ac:dyDescent="0.3">
      <c r="A2833" s="22" t="s">
        <v>7839</v>
      </c>
      <c r="B2833" s="22" t="s">
        <v>7863</v>
      </c>
      <c r="C2833" s="22" t="s">
        <v>7775</v>
      </c>
      <c r="D2833" s="22" t="s">
        <v>7710</v>
      </c>
      <c r="E2833" s="22" t="s">
        <v>5997</v>
      </c>
      <c r="F2833" s="24" t="s">
        <v>5998</v>
      </c>
      <c r="G2833" s="26" t="s">
        <v>9087</v>
      </c>
      <c r="H2833" s="22"/>
      <c r="I2833" s="22"/>
      <c r="J2833" s="22"/>
      <c r="K2833" s="24"/>
      <c r="L2833" s="24"/>
      <c r="M2833" s="25" t="s">
        <v>5999</v>
      </c>
      <c r="N2833" s="22"/>
      <c r="O2833" s="22" t="s">
        <v>6000</v>
      </c>
      <c r="P2833" s="22" t="str">
        <f>HYPERLINK("https://ceds.ed.gov/cedselementdetails.aspx?termid=22406")</f>
        <v>https://ceds.ed.gov/cedselementdetails.aspx?termid=22406</v>
      </c>
      <c r="Q2833" s="22">
        <v>63628</v>
      </c>
    </row>
    <row r="2834" spans="1:17" ht="172.8" x14ac:dyDescent="0.3">
      <c r="A2834" s="22" t="s">
        <v>7839</v>
      </c>
      <c r="B2834" s="22" t="s">
        <v>7863</v>
      </c>
      <c r="C2834" s="22" t="s">
        <v>7776</v>
      </c>
      <c r="D2834" s="22" t="s">
        <v>7710</v>
      </c>
      <c r="E2834" s="22" t="s">
        <v>6055</v>
      </c>
      <c r="F2834" s="24" t="s">
        <v>6056</v>
      </c>
      <c r="G2834" s="26" t="s">
        <v>9096</v>
      </c>
      <c r="H2834" s="22" t="s">
        <v>207</v>
      </c>
      <c r="I2834" s="22"/>
      <c r="J2834" s="22"/>
      <c r="K2834" s="24"/>
      <c r="L2834" s="24"/>
      <c r="M2834" s="25" t="s">
        <v>6057</v>
      </c>
      <c r="N2834" s="22"/>
      <c r="O2834" s="22" t="s">
        <v>6058</v>
      </c>
      <c r="P2834" s="22" t="str">
        <f>HYPERLINK("https://ceds.ed.gov/cedselementdetails.aspx?termid=21811")</f>
        <v>https://ceds.ed.gov/cedselementdetails.aspx?termid=21811</v>
      </c>
      <c r="Q2834" s="22">
        <v>63639</v>
      </c>
    </row>
    <row r="2835" spans="1:17" ht="409.6" x14ac:dyDescent="0.3">
      <c r="A2835" s="22" t="s">
        <v>7839</v>
      </c>
      <c r="B2835" s="22" t="s">
        <v>7863</v>
      </c>
      <c r="C2835" s="22" t="s">
        <v>7775</v>
      </c>
      <c r="D2835" s="22" t="s">
        <v>7710</v>
      </c>
      <c r="E2835" s="22" t="s">
        <v>6009</v>
      </c>
      <c r="F2835" s="24" t="s">
        <v>6010</v>
      </c>
      <c r="G2835" s="26" t="s">
        <v>9089</v>
      </c>
      <c r="H2835" s="22"/>
      <c r="I2835" s="22"/>
      <c r="J2835" s="22"/>
      <c r="K2835" s="24"/>
      <c r="L2835" s="24" t="s">
        <v>6011</v>
      </c>
      <c r="M2835" s="25" t="s">
        <v>6012</v>
      </c>
      <c r="N2835" s="22"/>
      <c r="O2835" s="22" t="s">
        <v>6013</v>
      </c>
      <c r="P2835" s="22" t="str">
        <f>HYPERLINK("https://ceds.ed.gov/cedselementdetails.aspx?termid=22245")</f>
        <v>https://ceds.ed.gov/cedselementdetails.aspx?termid=22245</v>
      </c>
      <c r="Q2835" s="22">
        <v>63629</v>
      </c>
    </row>
    <row r="2836" spans="1:17" ht="158.4" x14ac:dyDescent="0.3">
      <c r="A2836" s="22" t="s">
        <v>7839</v>
      </c>
      <c r="B2836" s="22" t="s">
        <v>7863</v>
      </c>
      <c r="C2836" s="22" t="s">
        <v>7776</v>
      </c>
      <c r="D2836" s="22" t="s">
        <v>7710</v>
      </c>
      <c r="E2836" s="22" t="s">
        <v>6063</v>
      </c>
      <c r="F2836" s="24" t="s">
        <v>6064</v>
      </c>
      <c r="G2836" s="26" t="s">
        <v>9099</v>
      </c>
      <c r="H2836" s="22"/>
      <c r="I2836" s="22"/>
      <c r="J2836" s="22"/>
      <c r="K2836" s="24"/>
      <c r="L2836" s="24"/>
      <c r="M2836" s="25" t="s">
        <v>6065</v>
      </c>
      <c r="N2836" s="22"/>
      <c r="O2836" s="22" t="s">
        <v>6066</v>
      </c>
      <c r="P2836" s="22" t="str">
        <f>HYPERLINK("https://ceds.ed.gov/cedselementdetails.aspx?termid=22429")</f>
        <v>https://ceds.ed.gov/cedselementdetails.aspx?termid=22429</v>
      </c>
      <c r="Q2836" s="22">
        <v>63640</v>
      </c>
    </row>
    <row r="2837" spans="1:17" ht="57.6" x14ac:dyDescent="0.3">
      <c r="A2837" s="22" t="s">
        <v>7839</v>
      </c>
      <c r="B2837" s="22" t="s">
        <v>7863</v>
      </c>
      <c r="C2837" s="22" t="s">
        <v>7775</v>
      </c>
      <c r="D2837" s="22" t="s">
        <v>7710</v>
      </c>
      <c r="E2837" s="22" t="s">
        <v>6022</v>
      </c>
      <c r="F2837" s="24" t="s">
        <v>6023</v>
      </c>
      <c r="G2837" s="26" t="s">
        <v>9090</v>
      </c>
      <c r="H2837" s="22"/>
      <c r="I2837" s="22"/>
      <c r="J2837" s="22"/>
      <c r="K2837" s="24"/>
      <c r="L2837" s="24"/>
      <c r="M2837" s="25" t="s">
        <v>6024</v>
      </c>
      <c r="N2837" s="22"/>
      <c r="O2837" s="22" t="s">
        <v>6025</v>
      </c>
      <c r="P2837" s="22" t="str">
        <f>HYPERLINK("https://ceds.ed.gov/cedselementdetails.aspx?termid=22409")</f>
        <v>https://ceds.ed.gov/cedselementdetails.aspx?termid=22409</v>
      </c>
      <c r="Q2837" s="22">
        <v>63630</v>
      </c>
    </row>
    <row r="2838" spans="1:17" ht="43.2" x14ac:dyDescent="0.3">
      <c r="A2838" s="22" t="s">
        <v>7839</v>
      </c>
      <c r="B2838" s="22" t="s">
        <v>7863</v>
      </c>
      <c r="C2838" s="22" t="s">
        <v>7775</v>
      </c>
      <c r="D2838" s="22" t="s">
        <v>7710</v>
      </c>
      <c r="E2838" s="22" t="s">
        <v>6030</v>
      </c>
      <c r="F2838" s="24" t="s">
        <v>6031</v>
      </c>
      <c r="G2838" s="26" t="s">
        <v>22</v>
      </c>
      <c r="H2838" s="22"/>
      <c r="I2838" s="22"/>
      <c r="J2838" s="22"/>
      <c r="K2838" s="24"/>
      <c r="L2838" s="24"/>
      <c r="M2838" s="25" t="s">
        <v>6032</v>
      </c>
      <c r="N2838" s="22"/>
      <c r="O2838" s="22" t="s">
        <v>6033</v>
      </c>
      <c r="P2838" s="22" t="str">
        <f>HYPERLINK("https://ceds.ed.gov/cedselementdetails.aspx?termid=22598")</f>
        <v>https://ceds.ed.gov/cedselementdetails.aspx?termid=22598</v>
      </c>
      <c r="Q2838" s="22">
        <v>63631</v>
      </c>
    </row>
    <row r="2839" spans="1:17" ht="403.2" x14ac:dyDescent="0.3">
      <c r="A2839" s="22" t="s">
        <v>7839</v>
      </c>
      <c r="B2839" s="22" t="s">
        <v>7863</v>
      </c>
      <c r="C2839" s="22" t="s">
        <v>7775</v>
      </c>
      <c r="D2839" s="22" t="s">
        <v>7710</v>
      </c>
      <c r="E2839" s="22" t="s">
        <v>6034</v>
      </c>
      <c r="F2839" s="24" t="s">
        <v>6035</v>
      </c>
      <c r="G2839" s="26" t="s">
        <v>9092</v>
      </c>
      <c r="H2839" s="22"/>
      <c r="I2839" s="22"/>
      <c r="J2839" s="22"/>
      <c r="K2839" s="24"/>
      <c r="L2839" s="24"/>
      <c r="M2839" s="25" t="s">
        <v>6036</v>
      </c>
      <c r="N2839" s="22"/>
      <c r="O2839" s="22" t="s">
        <v>6037</v>
      </c>
      <c r="P2839" s="22" t="str">
        <f>HYPERLINK("https://ceds.ed.gov/cedselementdetails.aspx?termid=22464")</f>
        <v>https://ceds.ed.gov/cedselementdetails.aspx?termid=22464</v>
      </c>
      <c r="Q2839" s="22">
        <v>63632</v>
      </c>
    </row>
    <row r="2840" spans="1:17" ht="158.4" x14ac:dyDescent="0.3">
      <c r="A2840" s="22" t="s">
        <v>7839</v>
      </c>
      <c r="B2840" s="22" t="s">
        <v>7863</v>
      </c>
      <c r="C2840" s="22" t="s">
        <v>7775</v>
      </c>
      <c r="D2840" s="22" t="s">
        <v>7710</v>
      </c>
      <c r="E2840" s="22" t="s">
        <v>6042</v>
      </c>
      <c r="F2840" s="24" t="s">
        <v>6043</v>
      </c>
      <c r="G2840" s="26" t="s">
        <v>9093</v>
      </c>
      <c r="H2840" s="22"/>
      <c r="I2840" s="22"/>
      <c r="J2840" s="22"/>
      <c r="K2840" s="24"/>
      <c r="L2840" s="24" t="s">
        <v>6044</v>
      </c>
      <c r="M2840" s="25" t="s">
        <v>6045</v>
      </c>
      <c r="N2840" s="22"/>
      <c r="O2840" s="22" t="s">
        <v>6046</v>
      </c>
      <c r="P2840" s="22" t="str">
        <f>HYPERLINK("https://ceds.ed.gov/cedselementdetails.aspx?termid=22412")</f>
        <v>https://ceds.ed.gov/cedselementdetails.aspx?termid=22412</v>
      </c>
      <c r="Q2840" s="22">
        <v>63633</v>
      </c>
    </row>
    <row r="2841" spans="1:17" ht="43.2" x14ac:dyDescent="0.3">
      <c r="A2841" s="22" t="s">
        <v>7839</v>
      </c>
      <c r="B2841" s="22" t="s">
        <v>7863</v>
      </c>
      <c r="C2841" s="22" t="s">
        <v>7775</v>
      </c>
      <c r="D2841" s="22" t="s">
        <v>7710</v>
      </c>
      <c r="E2841" s="22" t="s">
        <v>6047</v>
      </c>
      <c r="F2841" s="24" t="s">
        <v>6048</v>
      </c>
      <c r="G2841" s="26" t="s">
        <v>9026</v>
      </c>
      <c r="H2841" s="22"/>
      <c r="I2841" s="22"/>
      <c r="J2841" s="22"/>
      <c r="K2841" s="24"/>
      <c r="L2841" s="24"/>
      <c r="M2841" s="25" t="s">
        <v>6049</v>
      </c>
      <c r="N2841" s="22"/>
      <c r="O2841" s="22" t="s">
        <v>6050</v>
      </c>
      <c r="P2841" s="22" t="str">
        <f>HYPERLINK("https://ceds.ed.gov/cedselementdetails.aspx?termid=22399")</f>
        <v>https://ceds.ed.gov/cedselementdetails.aspx?termid=22399</v>
      </c>
      <c r="Q2841" s="22">
        <v>63634</v>
      </c>
    </row>
    <row r="2842" spans="1:17" ht="72" x14ac:dyDescent="0.3">
      <c r="A2842" s="22" t="s">
        <v>7839</v>
      </c>
      <c r="B2842" s="22" t="s">
        <v>7863</v>
      </c>
      <c r="C2842" s="22" t="s">
        <v>7775</v>
      </c>
      <c r="D2842" s="22" t="s">
        <v>7710</v>
      </c>
      <c r="E2842" s="22" t="s">
        <v>6051</v>
      </c>
      <c r="F2842" s="24" t="s">
        <v>6052</v>
      </c>
      <c r="G2842" s="26" t="s">
        <v>8550</v>
      </c>
      <c r="H2842" s="22"/>
      <c r="I2842" s="22"/>
      <c r="J2842" s="22"/>
      <c r="K2842" s="24"/>
      <c r="L2842" s="24"/>
      <c r="M2842" s="25" t="s">
        <v>6053</v>
      </c>
      <c r="N2842" s="22"/>
      <c r="O2842" s="22" t="s">
        <v>6054</v>
      </c>
      <c r="P2842" s="22" t="str">
        <f>HYPERLINK("https://ceds.ed.gov/cedselementdetails.aspx?termid=22401")</f>
        <v>https://ceds.ed.gov/cedselementdetails.aspx?termid=22401</v>
      </c>
      <c r="Q2842" s="22">
        <v>63635</v>
      </c>
    </row>
    <row r="2843" spans="1:17" ht="172.8" x14ac:dyDescent="0.3">
      <c r="A2843" s="22" t="s">
        <v>7839</v>
      </c>
      <c r="B2843" s="22" t="s">
        <v>7863</v>
      </c>
      <c r="C2843" s="22" t="s">
        <v>7775</v>
      </c>
      <c r="D2843" s="22" t="s">
        <v>7710</v>
      </c>
      <c r="E2843" s="22" t="s">
        <v>6055</v>
      </c>
      <c r="F2843" s="24" t="s">
        <v>6056</v>
      </c>
      <c r="G2843" s="26" t="s">
        <v>9096</v>
      </c>
      <c r="H2843" s="22" t="s">
        <v>207</v>
      </c>
      <c r="I2843" s="22"/>
      <c r="J2843" s="22"/>
      <c r="K2843" s="24"/>
      <c r="L2843" s="24"/>
      <c r="M2843" s="25" t="s">
        <v>6057</v>
      </c>
      <c r="N2843" s="22"/>
      <c r="O2843" s="22" t="s">
        <v>6058</v>
      </c>
      <c r="P2843" s="22" t="str">
        <f>HYPERLINK("https://ceds.ed.gov/cedselementdetails.aspx?termid=21811")</f>
        <v>https://ceds.ed.gov/cedselementdetails.aspx?termid=21811</v>
      </c>
      <c r="Q2843" s="22">
        <v>63636</v>
      </c>
    </row>
    <row r="2844" spans="1:17" ht="158.4" x14ac:dyDescent="0.3">
      <c r="A2844" s="22" t="s">
        <v>7839</v>
      </c>
      <c r="B2844" s="22" t="s">
        <v>7863</v>
      </c>
      <c r="C2844" s="22" t="s">
        <v>7775</v>
      </c>
      <c r="D2844" s="22" t="s">
        <v>7710</v>
      </c>
      <c r="E2844" s="22" t="s">
        <v>6063</v>
      </c>
      <c r="F2844" s="24" t="s">
        <v>6064</v>
      </c>
      <c r="G2844" s="26" t="s">
        <v>9099</v>
      </c>
      <c r="H2844" s="22"/>
      <c r="I2844" s="22"/>
      <c r="J2844" s="22"/>
      <c r="K2844" s="24"/>
      <c r="L2844" s="24"/>
      <c r="M2844" s="25" t="s">
        <v>6065</v>
      </c>
      <c r="N2844" s="22"/>
      <c r="O2844" s="22" t="s">
        <v>6066</v>
      </c>
      <c r="P2844" s="22" t="str">
        <f>HYPERLINK("https://ceds.ed.gov/cedselementdetails.aspx?termid=22429")</f>
        <v>https://ceds.ed.gov/cedselementdetails.aspx?termid=22429</v>
      </c>
      <c r="Q2844" s="22">
        <v>63637</v>
      </c>
    </row>
    <row r="2845" spans="1:17" ht="43.2" x14ac:dyDescent="0.3">
      <c r="A2845" s="22" t="s">
        <v>7839</v>
      </c>
      <c r="B2845" s="22" t="s">
        <v>7863</v>
      </c>
      <c r="C2845" s="22" t="s">
        <v>4</v>
      </c>
      <c r="D2845" s="22" t="s">
        <v>7710</v>
      </c>
      <c r="E2845" s="22" t="s">
        <v>5969</v>
      </c>
      <c r="F2845" s="24" t="s">
        <v>5970</v>
      </c>
      <c r="G2845" s="26" t="s">
        <v>22</v>
      </c>
      <c r="H2845" s="22" t="s">
        <v>207</v>
      </c>
      <c r="I2845" s="22"/>
      <c r="J2845" s="22"/>
      <c r="K2845" s="24"/>
      <c r="L2845" s="24"/>
      <c r="M2845" s="25" t="s">
        <v>5971</v>
      </c>
      <c r="N2845" s="22"/>
      <c r="O2845" s="22" t="s">
        <v>5972</v>
      </c>
      <c r="P2845" s="22" t="str">
        <f>HYPERLINK("https://ceds.ed.gov/cedselementdetails.aspx?termid=21806")</f>
        <v>https://ceds.ed.gov/cedselementdetails.aspx?termid=21806</v>
      </c>
      <c r="Q2845" s="22">
        <v>63641</v>
      </c>
    </row>
    <row r="2846" spans="1:17" ht="72" x14ac:dyDescent="0.3">
      <c r="A2846" s="22" t="s">
        <v>7839</v>
      </c>
      <c r="B2846" s="22" t="s">
        <v>7863</v>
      </c>
      <c r="C2846" s="22" t="s">
        <v>4</v>
      </c>
      <c r="D2846" s="22" t="s">
        <v>7710</v>
      </c>
      <c r="E2846" s="22" t="s">
        <v>5985</v>
      </c>
      <c r="F2846" s="24" t="s">
        <v>5986</v>
      </c>
      <c r="G2846" s="26" t="s">
        <v>9085</v>
      </c>
      <c r="H2846" s="22"/>
      <c r="I2846" s="22"/>
      <c r="J2846" s="22"/>
      <c r="K2846" s="24"/>
      <c r="L2846" s="24"/>
      <c r="M2846" s="25" t="s">
        <v>5987</v>
      </c>
      <c r="N2846" s="22"/>
      <c r="O2846" s="22" t="s">
        <v>5988</v>
      </c>
      <c r="P2846" s="22" t="str">
        <f>HYPERLINK("https://ceds.ed.gov/cedselementdetails.aspx?termid=22403")</f>
        <v>https://ceds.ed.gov/cedselementdetails.aspx?termid=22403</v>
      </c>
      <c r="Q2846" s="22">
        <v>63642</v>
      </c>
    </row>
    <row r="2847" spans="1:17" ht="72" x14ac:dyDescent="0.3">
      <c r="A2847" s="22" t="s">
        <v>7839</v>
      </c>
      <c r="B2847" s="22" t="s">
        <v>7830</v>
      </c>
      <c r="C2847" s="22"/>
      <c r="D2847" s="22" t="s">
        <v>7710</v>
      </c>
      <c r="E2847" s="22" t="s">
        <v>2728</v>
      </c>
      <c r="F2847" s="24" t="s">
        <v>2729</v>
      </c>
      <c r="G2847" s="23" t="s">
        <v>32</v>
      </c>
      <c r="H2847" s="22"/>
      <c r="I2847" s="22"/>
      <c r="J2847" s="22" t="s">
        <v>85</v>
      </c>
      <c r="K2847" s="24"/>
      <c r="L2847" s="24"/>
      <c r="M2847" s="25" t="s">
        <v>2730</v>
      </c>
      <c r="N2847" s="22"/>
      <c r="O2847" s="22" t="s">
        <v>2731</v>
      </c>
      <c r="P2847" s="22" t="str">
        <f>HYPERLINK("https://ceds.ed.gov/cedselementdetails.aspx?termid=22281")</f>
        <v>https://ceds.ed.gov/cedselementdetails.aspx?termid=22281</v>
      </c>
      <c r="Q2847" s="22">
        <v>61118</v>
      </c>
    </row>
    <row r="2848" spans="1:17" ht="72" x14ac:dyDescent="0.3">
      <c r="A2848" s="22" t="s">
        <v>7839</v>
      </c>
      <c r="B2848" s="22" t="s">
        <v>7830</v>
      </c>
      <c r="C2848" s="22"/>
      <c r="D2848" s="22" t="s">
        <v>7710</v>
      </c>
      <c r="E2848" s="22" t="s">
        <v>2663</v>
      </c>
      <c r="F2848" s="24" t="s">
        <v>8063</v>
      </c>
      <c r="G2848" s="23" t="s">
        <v>32</v>
      </c>
      <c r="H2848" s="22"/>
      <c r="I2848" s="22"/>
      <c r="J2848" s="22" t="s">
        <v>85</v>
      </c>
      <c r="K2848" s="24"/>
      <c r="L2848" s="24"/>
      <c r="M2848" s="25" t="s">
        <v>2665</v>
      </c>
      <c r="N2848" s="22"/>
      <c r="O2848" s="22" t="s">
        <v>2666</v>
      </c>
      <c r="P2848" s="22" t="str">
        <f>HYPERLINK("https://ceds.ed.gov/cedselementdetails.aspx?termid=22280")</f>
        <v>https://ceds.ed.gov/cedselementdetails.aspx?termid=22280</v>
      </c>
      <c r="Q2848" s="22">
        <v>61116</v>
      </c>
    </row>
    <row r="2849" spans="1:17" ht="43.2" x14ac:dyDescent="0.3">
      <c r="A2849" s="22" t="s">
        <v>7839</v>
      </c>
      <c r="B2849" s="22" t="s">
        <v>7830</v>
      </c>
      <c r="C2849" s="22"/>
      <c r="D2849" s="22" t="s">
        <v>7710</v>
      </c>
      <c r="E2849" s="22" t="s">
        <v>5765</v>
      </c>
      <c r="F2849" s="24" t="s">
        <v>5766</v>
      </c>
      <c r="G2849" s="23" t="s">
        <v>32</v>
      </c>
      <c r="H2849" s="22"/>
      <c r="I2849" s="22"/>
      <c r="J2849" s="22" t="s">
        <v>85</v>
      </c>
      <c r="K2849" s="24"/>
      <c r="L2849" s="24"/>
      <c r="M2849" s="25" t="s">
        <v>5767</v>
      </c>
      <c r="N2849" s="22"/>
      <c r="O2849" s="22" t="s">
        <v>5768</v>
      </c>
      <c r="P2849" s="22" t="str">
        <f>HYPERLINK("https://ceds.ed.gov/cedselementdetails.aspx?termid=22391")</f>
        <v>https://ceds.ed.gov/cedselementdetails.aspx?termid=22391</v>
      </c>
      <c r="Q2849" s="22">
        <v>61306</v>
      </c>
    </row>
    <row r="2850" spans="1:17" ht="172.8" x14ac:dyDescent="0.3">
      <c r="A2850" s="22" t="s">
        <v>7839</v>
      </c>
      <c r="B2850" s="22" t="s">
        <v>7830</v>
      </c>
      <c r="C2850" s="22"/>
      <c r="D2850" s="22" t="s">
        <v>7710</v>
      </c>
      <c r="E2850" s="22" t="s">
        <v>5724</v>
      </c>
      <c r="F2850" s="24" t="s">
        <v>5725</v>
      </c>
      <c r="G2850" s="23" t="s">
        <v>32</v>
      </c>
      <c r="H2850" s="22"/>
      <c r="I2850" s="22"/>
      <c r="J2850" s="22" t="s">
        <v>132</v>
      </c>
      <c r="K2850" s="24"/>
      <c r="L2850" s="24" t="s">
        <v>7945</v>
      </c>
      <c r="M2850" s="25" t="s">
        <v>5726</v>
      </c>
      <c r="N2850" s="22"/>
      <c r="O2850" s="22" t="s">
        <v>5727</v>
      </c>
      <c r="P2850" s="22" t="str">
        <f>HYPERLINK("https://ceds.ed.gov/cedselementdetails.aspx?termid=22389")</f>
        <v>https://ceds.ed.gov/cedselementdetails.aspx?termid=22389</v>
      </c>
      <c r="Q2850" s="22">
        <v>61302</v>
      </c>
    </row>
    <row r="2851" spans="1:17" ht="409.6" x14ac:dyDescent="0.3">
      <c r="A2851" s="22" t="s">
        <v>7839</v>
      </c>
      <c r="B2851" s="22" t="s">
        <v>7830</v>
      </c>
      <c r="C2851" s="22"/>
      <c r="D2851" s="22" t="s">
        <v>7710</v>
      </c>
      <c r="E2851" s="22" t="s">
        <v>305</v>
      </c>
      <c r="F2851" s="24" t="s">
        <v>7956</v>
      </c>
      <c r="G2851" s="26" t="s">
        <v>8595</v>
      </c>
      <c r="H2851" s="22"/>
      <c r="I2851" s="22"/>
      <c r="J2851" s="22" t="s">
        <v>157</v>
      </c>
      <c r="K2851" s="24"/>
      <c r="L2851" s="24"/>
      <c r="M2851" s="25" t="s">
        <v>307</v>
      </c>
      <c r="N2851" s="22" t="s">
        <v>308</v>
      </c>
      <c r="O2851" s="22" t="s">
        <v>309</v>
      </c>
      <c r="P2851" s="22" t="str">
        <f>HYPERLINK("https://ceds.ed.gov/cedselementdetails.aspx?termid=22244")</f>
        <v>https://ceds.ed.gov/cedselementdetails.aspx?termid=22244</v>
      </c>
      <c r="Q2851" s="22">
        <v>61061</v>
      </c>
    </row>
    <row r="2852" spans="1:17" ht="28.8" x14ac:dyDescent="0.3">
      <c r="A2852" s="22" t="s">
        <v>7839</v>
      </c>
      <c r="B2852" s="22" t="s">
        <v>7830</v>
      </c>
      <c r="C2852" s="22"/>
      <c r="D2852" s="22" t="s">
        <v>7710</v>
      </c>
      <c r="E2852" s="22" t="s">
        <v>2637</v>
      </c>
      <c r="F2852" s="24" t="s">
        <v>2638</v>
      </c>
      <c r="G2852" s="23" t="s">
        <v>32</v>
      </c>
      <c r="H2852" s="22"/>
      <c r="I2852" s="22"/>
      <c r="J2852" s="22" t="s">
        <v>157</v>
      </c>
      <c r="K2852" s="24"/>
      <c r="L2852" s="24"/>
      <c r="M2852" s="25" t="s">
        <v>2639</v>
      </c>
      <c r="N2852" s="22"/>
      <c r="O2852" s="22" t="s">
        <v>2640</v>
      </c>
      <c r="P2852" s="22" t="str">
        <f>HYPERLINK("https://ceds.ed.gov/cedselementdetails.aspx?termid=22275")</f>
        <v>https://ceds.ed.gov/cedselementdetails.aspx?termid=22275</v>
      </c>
      <c r="Q2852" s="22">
        <v>61110</v>
      </c>
    </row>
    <row r="2853" spans="1:17" ht="144" x14ac:dyDescent="0.3">
      <c r="A2853" s="22" t="s">
        <v>7839</v>
      </c>
      <c r="B2853" s="22" t="s">
        <v>7830</v>
      </c>
      <c r="C2853" s="22"/>
      <c r="D2853" s="22" t="s">
        <v>7710</v>
      </c>
      <c r="E2853" s="22" t="s">
        <v>2641</v>
      </c>
      <c r="F2853" s="24" t="s">
        <v>2642</v>
      </c>
      <c r="G2853" s="26" t="s">
        <v>8755</v>
      </c>
      <c r="H2853" s="22"/>
      <c r="I2853" s="22"/>
      <c r="J2853" s="22"/>
      <c r="K2853" s="24"/>
      <c r="L2853" s="24"/>
      <c r="M2853" s="25" t="s">
        <v>2643</v>
      </c>
      <c r="N2853" s="22"/>
      <c r="O2853" s="22" t="s">
        <v>2644</v>
      </c>
      <c r="P2853" s="22" t="str">
        <f>HYPERLINK("https://ceds.ed.gov/cedselementdetails.aspx?termid=22276")</f>
        <v>https://ceds.ed.gov/cedselementdetails.aspx?termid=22276</v>
      </c>
      <c r="Q2853" s="22">
        <v>61111</v>
      </c>
    </row>
    <row r="2854" spans="1:17" ht="28.8" x14ac:dyDescent="0.3">
      <c r="A2854" s="22" t="s">
        <v>7839</v>
      </c>
      <c r="B2854" s="22" t="s">
        <v>7830</v>
      </c>
      <c r="C2854" s="22"/>
      <c r="D2854" s="22" t="s">
        <v>7710</v>
      </c>
      <c r="E2854" s="22" t="s">
        <v>2724</v>
      </c>
      <c r="F2854" s="24" t="s">
        <v>2725</v>
      </c>
      <c r="G2854" s="23" t="s">
        <v>32</v>
      </c>
      <c r="H2854" s="22"/>
      <c r="I2854" s="22"/>
      <c r="J2854" s="22" t="s">
        <v>317</v>
      </c>
      <c r="K2854" s="24"/>
      <c r="L2854" s="24"/>
      <c r="M2854" s="25" t="s">
        <v>2726</v>
      </c>
      <c r="N2854" s="22"/>
      <c r="O2854" s="22" t="s">
        <v>2727</v>
      </c>
      <c r="P2854" s="22" t="str">
        <f>HYPERLINK("https://ceds.ed.gov/cedselementdetails.aspx?termid=22636")</f>
        <v>https://ceds.ed.gov/cedselementdetails.aspx?termid=22636</v>
      </c>
      <c r="Q2854" s="22">
        <v>62351</v>
      </c>
    </row>
    <row r="2855" spans="1:17" ht="302.39999999999998" x14ac:dyDescent="0.3">
      <c r="A2855" s="22" t="s">
        <v>7839</v>
      </c>
      <c r="B2855" s="22" t="s">
        <v>7830</v>
      </c>
      <c r="C2855" s="22"/>
      <c r="D2855" s="22" t="s">
        <v>7710</v>
      </c>
      <c r="E2855" s="22" t="s">
        <v>2654</v>
      </c>
      <c r="F2855" s="24" t="s">
        <v>2655</v>
      </c>
      <c r="G2855" s="26" t="s">
        <v>8422</v>
      </c>
      <c r="H2855" s="22"/>
      <c r="I2855" s="22" t="s">
        <v>172</v>
      </c>
      <c r="J2855" s="22"/>
      <c r="K2855" s="24" t="s">
        <v>7946</v>
      </c>
      <c r="L2855" s="24"/>
      <c r="M2855" s="25" t="s">
        <v>2657</v>
      </c>
      <c r="N2855" s="22"/>
      <c r="O2855" s="22" t="s">
        <v>2658</v>
      </c>
      <c r="P2855" s="22" t="str">
        <f>HYPERLINK("https://ceds.ed.gov/cedselementdetails.aspx?termid=22278")</f>
        <v>https://ceds.ed.gov/cedselementdetails.aspx?termid=22278</v>
      </c>
      <c r="Q2855" s="22">
        <v>61114</v>
      </c>
    </row>
    <row r="2856" spans="1:17" ht="43.2" x14ac:dyDescent="0.3">
      <c r="A2856" s="22" t="s">
        <v>7839</v>
      </c>
      <c r="B2856" s="22" t="s">
        <v>7830</v>
      </c>
      <c r="C2856" s="22"/>
      <c r="D2856" s="22" t="s">
        <v>7710</v>
      </c>
      <c r="E2856" s="22" t="s">
        <v>2624</v>
      </c>
      <c r="F2856" s="24" t="s">
        <v>2625</v>
      </c>
      <c r="G2856" s="26" t="s">
        <v>8753</v>
      </c>
      <c r="H2856" s="22"/>
      <c r="I2856" s="22"/>
      <c r="J2856" s="22"/>
      <c r="K2856" s="24"/>
      <c r="L2856" s="24"/>
      <c r="M2856" s="25" t="s">
        <v>2626</v>
      </c>
      <c r="N2856" s="22"/>
      <c r="O2856" s="22" t="s">
        <v>2627</v>
      </c>
      <c r="P2856" s="22" t="str">
        <f>HYPERLINK("https://ceds.ed.gov/cedselementdetails.aspx?termid=22273")</f>
        <v>https://ceds.ed.gov/cedselementdetails.aspx?termid=22273</v>
      </c>
      <c r="Q2856" s="22">
        <v>61107</v>
      </c>
    </row>
    <row r="2857" spans="1:17" ht="345.6" x14ac:dyDescent="0.3">
      <c r="A2857" s="22" t="s">
        <v>7839</v>
      </c>
      <c r="B2857" s="22" t="s">
        <v>7830</v>
      </c>
      <c r="C2857" s="22"/>
      <c r="D2857" s="22" t="s">
        <v>7710</v>
      </c>
      <c r="E2857" s="22" t="s">
        <v>2584</v>
      </c>
      <c r="F2857" s="24" t="s">
        <v>2585</v>
      </c>
      <c r="G2857" s="26" t="s">
        <v>8748</v>
      </c>
      <c r="H2857" s="22"/>
      <c r="I2857" s="22"/>
      <c r="J2857" s="22"/>
      <c r="K2857" s="24"/>
      <c r="L2857" s="24"/>
      <c r="M2857" s="25" t="s">
        <v>2586</v>
      </c>
      <c r="N2857" s="22"/>
      <c r="O2857" s="22" t="s">
        <v>2587</v>
      </c>
      <c r="P2857" s="22" t="str">
        <f>HYPERLINK("https://ceds.ed.gov/cedselementdetails.aspx?termid=22269")</f>
        <v>https://ceds.ed.gov/cedselementdetails.aspx?termid=22269</v>
      </c>
      <c r="Q2857" s="22">
        <v>61100</v>
      </c>
    </row>
    <row r="2858" spans="1:17" ht="187.2" x14ac:dyDescent="0.3">
      <c r="A2858" s="22" t="s">
        <v>7839</v>
      </c>
      <c r="B2858" s="22" t="s">
        <v>7830</v>
      </c>
      <c r="C2858" s="22"/>
      <c r="D2858" s="22" t="s">
        <v>7710</v>
      </c>
      <c r="E2858" s="22" t="s">
        <v>2588</v>
      </c>
      <c r="F2858" s="24" t="s">
        <v>2589</v>
      </c>
      <c r="G2858" s="26" t="s">
        <v>8749</v>
      </c>
      <c r="H2858" s="22"/>
      <c r="I2858" s="22"/>
      <c r="J2858" s="22"/>
      <c r="K2858" s="24"/>
      <c r="L2858" s="24"/>
      <c r="M2858" s="25" t="s">
        <v>2590</v>
      </c>
      <c r="N2858" s="22"/>
      <c r="O2858" s="22" t="s">
        <v>2591</v>
      </c>
      <c r="P2858" s="22" t="str">
        <f>HYPERLINK("https://ceds.ed.gov/cedselementdetails.aspx?termid=22270")</f>
        <v>https://ceds.ed.gov/cedselementdetails.aspx?termid=22270</v>
      </c>
      <c r="Q2858" s="22">
        <v>61101</v>
      </c>
    </row>
    <row r="2859" spans="1:17" ht="100.8" x14ac:dyDescent="0.3">
      <c r="A2859" s="22" t="s">
        <v>7839</v>
      </c>
      <c r="B2859" s="22" t="s">
        <v>7830</v>
      </c>
      <c r="C2859" s="22"/>
      <c r="D2859" s="22" t="s">
        <v>7710</v>
      </c>
      <c r="E2859" s="22" t="s">
        <v>2618</v>
      </c>
      <c r="F2859" s="24" t="s">
        <v>2619</v>
      </c>
      <c r="G2859" s="26" t="s">
        <v>8752</v>
      </c>
      <c r="H2859" s="24" t="s">
        <v>1521</v>
      </c>
      <c r="I2859" s="22"/>
      <c r="J2859" s="22"/>
      <c r="K2859" s="24"/>
      <c r="L2859" s="24"/>
      <c r="M2859" s="25" t="s">
        <v>2621</v>
      </c>
      <c r="N2859" s="22" t="s">
        <v>2622</v>
      </c>
      <c r="O2859" s="22" t="s">
        <v>2623</v>
      </c>
      <c r="P2859" s="22" t="str">
        <f>HYPERLINK("https://ceds.ed.gov/cedselementdetails.aspx?termid=21060")</f>
        <v>https://ceds.ed.gov/cedselementdetails.aspx?termid=21060</v>
      </c>
      <c r="Q2859" s="22">
        <v>61106</v>
      </c>
    </row>
    <row r="2860" spans="1:17" ht="374.4" x14ac:dyDescent="0.3">
      <c r="A2860" s="22" t="s">
        <v>7839</v>
      </c>
      <c r="B2860" s="22" t="s">
        <v>7830</v>
      </c>
      <c r="C2860" s="22"/>
      <c r="D2860" s="22" t="s">
        <v>7710</v>
      </c>
      <c r="E2860" s="22" t="s">
        <v>2633</v>
      </c>
      <c r="F2860" s="24" t="s">
        <v>2634</v>
      </c>
      <c r="G2860" s="26" t="s">
        <v>8754</v>
      </c>
      <c r="H2860" s="22"/>
      <c r="I2860" s="22"/>
      <c r="J2860" s="22"/>
      <c r="K2860" s="24"/>
      <c r="L2860" s="24"/>
      <c r="M2860" s="25" t="s">
        <v>2635</v>
      </c>
      <c r="N2860" s="22"/>
      <c r="O2860" s="22" t="s">
        <v>2636</v>
      </c>
      <c r="P2860" s="22" t="str">
        <f>HYPERLINK("https://ceds.ed.gov/cedselementdetails.aspx?termid=22274")</f>
        <v>https://ceds.ed.gov/cedselementdetails.aspx?termid=22274</v>
      </c>
      <c r="Q2860" s="22">
        <v>61109</v>
      </c>
    </row>
    <row r="2861" spans="1:17" ht="86.4" x14ac:dyDescent="0.3">
      <c r="A2861" s="22" t="s">
        <v>7839</v>
      </c>
      <c r="B2861" s="22" t="s">
        <v>7830</v>
      </c>
      <c r="C2861" s="22"/>
      <c r="D2861" s="22" t="s">
        <v>7710</v>
      </c>
      <c r="E2861" s="22" t="s">
        <v>2659</v>
      </c>
      <c r="F2861" s="24" t="s">
        <v>2660</v>
      </c>
      <c r="G2861" s="23" t="s">
        <v>32</v>
      </c>
      <c r="H2861" s="22"/>
      <c r="I2861" s="22"/>
      <c r="J2861" s="22" t="s">
        <v>328</v>
      </c>
      <c r="K2861" s="24"/>
      <c r="L2861" s="24"/>
      <c r="M2861" s="25" t="s">
        <v>2661</v>
      </c>
      <c r="N2861" s="22"/>
      <c r="O2861" s="22" t="s">
        <v>2662</v>
      </c>
      <c r="P2861" s="22" t="str">
        <f>HYPERLINK("https://ceds.ed.gov/cedselementdetails.aspx?termid=22279")</f>
        <v>https://ceds.ed.gov/cedselementdetails.aspx?termid=22279</v>
      </c>
      <c r="Q2861" s="22">
        <v>61115</v>
      </c>
    </row>
    <row r="2862" spans="1:17" ht="129.6" x14ac:dyDescent="0.3">
      <c r="A2862" s="22" t="s">
        <v>7839</v>
      </c>
      <c r="B2862" s="22" t="s">
        <v>7830</v>
      </c>
      <c r="C2862" s="22"/>
      <c r="D2862" s="22" t="s">
        <v>7710</v>
      </c>
      <c r="E2862" s="22" t="s">
        <v>2673</v>
      </c>
      <c r="F2862" s="24" t="s">
        <v>2674</v>
      </c>
      <c r="G2862" s="26" t="s">
        <v>8758</v>
      </c>
      <c r="H2862" s="24" t="s">
        <v>64</v>
      </c>
      <c r="I2862" s="22"/>
      <c r="J2862" s="22"/>
      <c r="K2862" s="24"/>
      <c r="L2862" s="24"/>
      <c r="M2862" s="25" t="s">
        <v>2676</v>
      </c>
      <c r="N2862" s="22"/>
      <c r="O2862" s="22" t="s">
        <v>2677</v>
      </c>
      <c r="P2862" s="22" t="str">
        <f>HYPERLINK("https://ceds.ed.gov/cedselementdetails.aspx?termid=21065")</f>
        <v>https://ceds.ed.gov/cedselementdetails.aspx?termid=21065</v>
      </c>
      <c r="Q2862" s="22">
        <v>61117</v>
      </c>
    </row>
    <row r="2863" spans="1:17" ht="129.6" x14ac:dyDescent="0.3">
      <c r="A2863" s="22" t="s">
        <v>7839</v>
      </c>
      <c r="B2863" s="22" t="s">
        <v>7830</v>
      </c>
      <c r="C2863" s="22"/>
      <c r="D2863" s="22" t="s">
        <v>7710</v>
      </c>
      <c r="E2863" s="22" t="s">
        <v>2546</v>
      </c>
      <c r="F2863" s="24" t="s">
        <v>2547</v>
      </c>
      <c r="G2863" s="23" t="s">
        <v>32</v>
      </c>
      <c r="H2863" s="22"/>
      <c r="I2863" s="22"/>
      <c r="J2863" s="22" t="s">
        <v>2549</v>
      </c>
      <c r="K2863" s="24"/>
      <c r="L2863" s="24" t="s">
        <v>2550</v>
      </c>
      <c r="M2863" s="25" t="s">
        <v>2551</v>
      </c>
      <c r="N2863" s="22"/>
      <c r="O2863" s="22" t="s">
        <v>2552</v>
      </c>
      <c r="P2863" s="22" t="str">
        <f>HYPERLINK("https://ceds.ed.gov/cedselementdetails.aspx?termid=22264")</f>
        <v>https://ceds.ed.gov/cedselementdetails.aspx?termid=22264</v>
      </c>
      <c r="Q2863" s="22">
        <v>61093</v>
      </c>
    </row>
    <row r="2864" spans="1:17" ht="86.4" x14ac:dyDescent="0.3">
      <c r="A2864" s="22" t="s">
        <v>7839</v>
      </c>
      <c r="B2864" s="22" t="s">
        <v>7830</v>
      </c>
      <c r="C2864" s="22"/>
      <c r="D2864" s="22" t="s">
        <v>7710</v>
      </c>
      <c r="E2864" s="22" t="s">
        <v>3125</v>
      </c>
      <c r="F2864" s="24" t="s">
        <v>3126</v>
      </c>
      <c r="G2864" s="26" t="s">
        <v>8792</v>
      </c>
      <c r="H2864" s="22" t="s">
        <v>3124</v>
      </c>
      <c r="I2864" s="22"/>
      <c r="J2864" s="22"/>
      <c r="K2864" s="24"/>
      <c r="L2864" s="24"/>
      <c r="M2864" s="25" t="s">
        <v>3128</v>
      </c>
      <c r="N2864" s="22"/>
      <c r="O2864" s="22" t="s">
        <v>3129</v>
      </c>
      <c r="P2864" s="22" t="str">
        <f>HYPERLINK("https://ceds.ed.gov/cedselementdetails.aspx?termid=22568")</f>
        <v>https://ceds.ed.gov/cedselementdetails.aspx?termid=22568</v>
      </c>
      <c r="Q2864" s="22">
        <v>62058</v>
      </c>
    </row>
    <row r="2865" spans="1:17" ht="187.2" x14ac:dyDescent="0.3">
      <c r="A2865" s="22" t="s">
        <v>7839</v>
      </c>
      <c r="B2865" s="22" t="s">
        <v>7830</v>
      </c>
      <c r="C2865" s="22"/>
      <c r="D2865" s="22" t="s">
        <v>7710</v>
      </c>
      <c r="E2865" s="22" t="s">
        <v>7394</v>
      </c>
      <c r="F2865" s="24" t="s">
        <v>7395</v>
      </c>
      <c r="G2865" s="26" t="s">
        <v>9190</v>
      </c>
      <c r="H2865" s="22"/>
      <c r="I2865" s="22"/>
      <c r="J2865" s="22"/>
      <c r="K2865" s="24"/>
      <c r="L2865" s="24"/>
      <c r="M2865" s="25" t="s">
        <v>7397</v>
      </c>
      <c r="N2865" s="22"/>
      <c r="O2865" s="22" t="s">
        <v>7398</v>
      </c>
      <c r="P2865" s="22" t="str">
        <f>HYPERLINK("https://ceds.ed.gov/cedselementdetails.aspx?termid=22471")</f>
        <v>https://ceds.ed.gov/cedselementdetails.aspx?termid=22471</v>
      </c>
      <c r="Q2865" s="22">
        <v>62033</v>
      </c>
    </row>
    <row r="2866" spans="1:17" ht="28.8" x14ac:dyDescent="0.3">
      <c r="A2866" s="22" t="s">
        <v>7839</v>
      </c>
      <c r="B2866" s="22" t="s">
        <v>7830</v>
      </c>
      <c r="C2866" s="22"/>
      <c r="D2866" s="22" t="s">
        <v>7741</v>
      </c>
      <c r="E2866" s="22" t="s">
        <v>7947</v>
      </c>
      <c r="F2866" s="24" t="s">
        <v>7948</v>
      </c>
      <c r="G2866" s="23" t="s">
        <v>32</v>
      </c>
      <c r="H2866" s="22"/>
      <c r="I2866" s="22" t="s">
        <v>167</v>
      </c>
      <c r="J2866" s="22" t="s">
        <v>148</v>
      </c>
      <c r="K2866" s="24" t="s">
        <v>7949</v>
      </c>
      <c r="L2866" s="24"/>
      <c r="M2866" s="25" t="s">
        <v>8351</v>
      </c>
      <c r="N2866" s="22"/>
      <c r="O2866" s="22" t="s">
        <v>7950</v>
      </c>
      <c r="P2866" s="22" t="str">
        <f>HYPERLINK("https://ceds.ed.gov/cedselementdetails.aspx?termid=22972")</f>
        <v>https://ceds.ed.gov/cedselementdetails.aspx?termid=22972</v>
      </c>
      <c r="Q2866" s="22">
        <v>63946</v>
      </c>
    </row>
    <row r="2867" spans="1:17" ht="43.2" x14ac:dyDescent="0.3">
      <c r="A2867" s="22" t="s">
        <v>7839</v>
      </c>
      <c r="B2867" s="22" t="s">
        <v>7830</v>
      </c>
      <c r="C2867" s="22"/>
      <c r="D2867" s="22" t="s">
        <v>7741</v>
      </c>
      <c r="E2867" s="22" t="s">
        <v>7951</v>
      </c>
      <c r="F2867" s="24" t="s">
        <v>7952</v>
      </c>
      <c r="G2867" s="26" t="s">
        <v>8376</v>
      </c>
      <c r="H2867" s="22"/>
      <c r="I2867" s="22" t="s">
        <v>167</v>
      </c>
      <c r="J2867" s="22" t="s">
        <v>2</v>
      </c>
      <c r="K2867" s="24" t="s">
        <v>7949</v>
      </c>
      <c r="L2867" s="24"/>
      <c r="M2867" s="25" t="s">
        <v>8352</v>
      </c>
      <c r="N2867" s="22"/>
      <c r="O2867" s="22" t="s">
        <v>7953</v>
      </c>
      <c r="P2867" s="22" t="str">
        <f>HYPERLINK("https://ceds.ed.gov/cedselementdetails.aspx?termid=22973")</f>
        <v>https://ceds.ed.gov/cedselementdetails.aspx?termid=22973</v>
      </c>
      <c r="Q2867" s="22">
        <v>63947</v>
      </c>
    </row>
    <row r="2868" spans="1:17" ht="172.8" x14ac:dyDescent="0.3">
      <c r="A2868" s="22" t="s">
        <v>7839</v>
      </c>
      <c r="B2868" s="22" t="s">
        <v>7830</v>
      </c>
      <c r="C2868" s="22" t="s">
        <v>7831</v>
      </c>
      <c r="D2868" s="22" t="s">
        <v>7710</v>
      </c>
      <c r="E2868" s="22" t="s">
        <v>321</v>
      </c>
      <c r="F2868" s="24" t="s">
        <v>322</v>
      </c>
      <c r="G2868" s="23" t="s">
        <v>32</v>
      </c>
      <c r="H2868" s="22"/>
      <c r="I2868" s="22"/>
      <c r="J2868" s="22" t="s">
        <v>132</v>
      </c>
      <c r="K2868" s="24"/>
      <c r="L2868" s="24" t="s">
        <v>7945</v>
      </c>
      <c r="M2868" s="25" t="s">
        <v>324</v>
      </c>
      <c r="N2868" s="22"/>
      <c r="O2868" s="22" t="s">
        <v>325</v>
      </c>
      <c r="P2868" s="22" t="str">
        <f>HYPERLINK("https://ceds.ed.gov/cedselementdetails.aspx?termid=22246")</f>
        <v>https://ceds.ed.gov/cedselementdetails.aspx?termid=22246</v>
      </c>
      <c r="Q2868" s="22">
        <v>61063</v>
      </c>
    </row>
    <row r="2869" spans="1:17" ht="72" x14ac:dyDescent="0.3">
      <c r="A2869" s="22" t="s">
        <v>7839</v>
      </c>
      <c r="B2869" s="22" t="s">
        <v>7830</v>
      </c>
      <c r="C2869" s="22" t="s">
        <v>7831</v>
      </c>
      <c r="D2869" s="22" t="s">
        <v>7710</v>
      </c>
      <c r="E2869" s="22" t="s">
        <v>2082</v>
      </c>
      <c r="F2869" s="24" t="s">
        <v>2083</v>
      </c>
      <c r="G2869" s="23" t="s">
        <v>7422</v>
      </c>
      <c r="H2869" s="24" t="s">
        <v>42</v>
      </c>
      <c r="I2869" s="22"/>
      <c r="J2869" s="22"/>
      <c r="K2869" s="24"/>
      <c r="L2869" s="24"/>
      <c r="M2869" s="25" t="s">
        <v>2085</v>
      </c>
      <c r="N2869" s="22" t="s">
        <v>2086</v>
      </c>
      <c r="O2869" s="22" t="s">
        <v>2087</v>
      </c>
      <c r="P2869" s="22" t="str">
        <f>HYPERLINK("https://ceds.ed.gov/cedselementdetails.aspx?termid=21043")</f>
        <v>https://ceds.ed.gov/cedselementdetails.aspx?termid=21043</v>
      </c>
      <c r="Q2869" s="22">
        <v>61953</v>
      </c>
    </row>
    <row r="2870" spans="1:17" ht="86.4" x14ac:dyDescent="0.3">
      <c r="A2870" s="22" t="s">
        <v>7839</v>
      </c>
      <c r="B2870" s="22" t="s">
        <v>7830</v>
      </c>
      <c r="C2870" s="22" t="s">
        <v>7831</v>
      </c>
      <c r="D2870" s="22" t="s">
        <v>7710</v>
      </c>
      <c r="E2870" s="22" t="s">
        <v>2094</v>
      </c>
      <c r="F2870" s="24" t="s">
        <v>2095</v>
      </c>
      <c r="G2870" s="26" t="s">
        <v>8728</v>
      </c>
      <c r="H2870" s="24" t="s">
        <v>198</v>
      </c>
      <c r="I2870" s="22"/>
      <c r="J2870" s="22"/>
      <c r="K2870" s="24"/>
      <c r="L2870" s="24"/>
      <c r="M2870" s="25" t="s">
        <v>2097</v>
      </c>
      <c r="N2870" s="22" t="s">
        <v>2098</v>
      </c>
      <c r="O2870" s="22" t="s">
        <v>2099</v>
      </c>
      <c r="P2870" s="22" t="str">
        <f>HYPERLINK("https://ceds.ed.gov/cedselementdetails.aspx?termid=21045")</f>
        <v>https://ceds.ed.gov/cedselementdetails.aspx?termid=21045</v>
      </c>
      <c r="Q2870" s="22">
        <v>61961</v>
      </c>
    </row>
    <row r="2871" spans="1:17" ht="43.2" x14ac:dyDescent="0.3">
      <c r="A2871" s="22" t="s">
        <v>7839</v>
      </c>
      <c r="B2871" s="22" t="s">
        <v>7830</v>
      </c>
      <c r="C2871" s="22" t="s">
        <v>7831</v>
      </c>
      <c r="D2871" s="22" t="s">
        <v>7710</v>
      </c>
      <c r="E2871" s="22" t="s">
        <v>5553</v>
      </c>
      <c r="F2871" s="24" t="s">
        <v>5554</v>
      </c>
      <c r="G2871" s="23" t="s">
        <v>5555</v>
      </c>
      <c r="H2871" s="22"/>
      <c r="I2871" s="22"/>
      <c r="J2871" s="22"/>
      <c r="K2871" s="24"/>
      <c r="L2871" s="24"/>
      <c r="M2871" s="25" t="s">
        <v>5556</v>
      </c>
      <c r="N2871" s="22"/>
      <c r="O2871" s="22" t="s">
        <v>5557</v>
      </c>
      <c r="P2871" s="22" t="str">
        <f>HYPERLINK("https://ceds.ed.gov/cedselementdetails.aspx?termid=22383")</f>
        <v>https://ceds.ed.gov/cedselementdetails.aspx?termid=22383</v>
      </c>
      <c r="Q2871" s="22">
        <v>61295</v>
      </c>
    </row>
    <row r="2872" spans="1:17" ht="57.6" x14ac:dyDescent="0.3">
      <c r="A2872" s="22" t="s">
        <v>7839</v>
      </c>
      <c r="B2872" s="22" t="s">
        <v>7830</v>
      </c>
      <c r="C2872" s="22" t="s">
        <v>7831</v>
      </c>
      <c r="D2872" s="22" t="s">
        <v>7710</v>
      </c>
      <c r="E2872" s="22" t="s">
        <v>2742</v>
      </c>
      <c r="F2872" s="24" t="s">
        <v>8066</v>
      </c>
      <c r="G2872" s="23" t="s">
        <v>32</v>
      </c>
      <c r="H2872" s="22" t="s">
        <v>58</v>
      </c>
      <c r="I2872" s="22"/>
      <c r="J2872" s="22" t="s">
        <v>2743</v>
      </c>
      <c r="K2872" s="24"/>
      <c r="L2872" s="24"/>
      <c r="M2872" s="25" t="s">
        <v>2744</v>
      </c>
      <c r="N2872" s="22"/>
      <c r="O2872" s="22" t="s">
        <v>2745</v>
      </c>
      <c r="P2872" s="22" t="str">
        <f>HYPERLINK("https://ceds.ed.gov/cedselementdetails.aspx?termid=21066")</f>
        <v>https://ceds.ed.gov/cedselementdetails.aspx?termid=21066</v>
      </c>
      <c r="Q2872" s="22">
        <v>59167</v>
      </c>
    </row>
    <row r="2873" spans="1:17" ht="28.8" x14ac:dyDescent="0.3">
      <c r="A2873" s="22" t="s">
        <v>7839</v>
      </c>
      <c r="B2873" s="22" t="s">
        <v>7830</v>
      </c>
      <c r="C2873" s="22" t="s">
        <v>7831</v>
      </c>
      <c r="D2873" s="22" t="s">
        <v>7710</v>
      </c>
      <c r="E2873" s="22" t="s">
        <v>5882</v>
      </c>
      <c r="F2873" s="24" t="s">
        <v>5883</v>
      </c>
      <c r="G2873" s="23" t="s">
        <v>32</v>
      </c>
      <c r="H2873" s="22" t="s">
        <v>58</v>
      </c>
      <c r="I2873" s="22"/>
      <c r="J2873" s="22" t="s">
        <v>157</v>
      </c>
      <c r="K2873" s="24"/>
      <c r="L2873" s="24"/>
      <c r="M2873" s="25" t="s">
        <v>5884</v>
      </c>
      <c r="N2873" s="22"/>
      <c r="O2873" s="22" t="s">
        <v>5885</v>
      </c>
      <c r="P2873" s="22" t="str">
        <f>HYPERLINK("https://ceds.ed.gov/cedselementdetails.aspx?termid=21068")</f>
        <v>https://ceds.ed.gov/cedselementdetails.aspx?termid=21068</v>
      </c>
      <c r="Q2873" s="22">
        <v>59168</v>
      </c>
    </row>
    <row r="2874" spans="1:17" ht="144" x14ac:dyDescent="0.3">
      <c r="A2874" s="22" t="s">
        <v>7839</v>
      </c>
      <c r="B2874" s="22" t="s">
        <v>7830</v>
      </c>
      <c r="C2874" s="22" t="s">
        <v>7831</v>
      </c>
      <c r="D2874" s="22" t="s">
        <v>7710</v>
      </c>
      <c r="E2874" s="22" t="s">
        <v>2592</v>
      </c>
      <c r="F2874" s="24" t="s">
        <v>8058</v>
      </c>
      <c r="G2874" s="26" t="s">
        <v>8750</v>
      </c>
      <c r="H2874" s="22" t="s">
        <v>58</v>
      </c>
      <c r="I2874" s="22"/>
      <c r="J2874" s="22"/>
      <c r="K2874" s="24"/>
      <c r="L2874" s="24"/>
      <c r="M2874" s="25" t="s">
        <v>2593</v>
      </c>
      <c r="N2874" s="22"/>
      <c r="O2874" s="22" t="s">
        <v>2594</v>
      </c>
      <c r="P2874" s="22" t="str">
        <f>HYPERLINK("https://ceds.ed.gov/cedselementdetails.aspx?termid=21057")</f>
        <v>https://ceds.ed.gov/cedselementdetails.aspx?termid=21057</v>
      </c>
      <c r="Q2874" s="22">
        <v>59161</v>
      </c>
    </row>
    <row r="2875" spans="1:17" ht="100.8" x14ac:dyDescent="0.3">
      <c r="A2875" s="22" t="s">
        <v>7839</v>
      </c>
      <c r="B2875" s="22" t="s">
        <v>7830</v>
      </c>
      <c r="C2875" s="22" t="s">
        <v>7831</v>
      </c>
      <c r="D2875" s="22" t="s">
        <v>7710</v>
      </c>
      <c r="E2875" s="22" t="s">
        <v>2975</v>
      </c>
      <c r="F2875" s="24" t="s">
        <v>2976</v>
      </c>
      <c r="G2875" s="23" t="s">
        <v>32</v>
      </c>
      <c r="H2875" s="22" t="s">
        <v>58</v>
      </c>
      <c r="I2875" s="22"/>
      <c r="J2875" s="22" t="s">
        <v>1518</v>
      </c>
      <c r="K2875" s="24"/>
      <c r="L2875" s="24" t="s">
        <v>8072</v>
      </c>
      <c r="M2875" s="25" t="s">
        <v>2978</v>
      </c>
      <c r="N2875" s="22"/>
      <c r="O2875" s="22" t="s">
        <v>2979</v>
      </c>
      <c r="P2875" s="22" t="str">
        <f>HYPERLINK("https://ceds.ed.gov/cedselementdetails.aspx?termid=21058")</f>
        <v>https://ceds.ed.gov/cedselementdetails.aspx?termid=21058</v>
      </c>
      <c r="Q2875" s="22">
        <v>59162</v>
      </c>
    </row>
    <row r="2876" spans="1:17" ht="28.8" x14ac:dyDescent="0.3">
      <c r="A2876" s="22" t="s">
        <v>7839</v>
      </c>
      <c r="B2876" s="22" t="s">
        <v>7830</v>
      </c>
      <c r="C2876" s="22" t="s">
        <v>7831</v>
      </c>
      <c r="D2876" s="22" t="s">
        <v>7710</v>
      </c>
      <c r="E2876" s="22" t="s">
        <v>2571</v>
      </c>
      <c r="F2876" s="24" t="s">
        <v>2572</v>
      </c>
      <c r="G2876" s="23" t="s">
        <v>32</v>
      </c>
      <c r="H2876" s="24" t="s">
        <v>1965</v>
      </c>
      <c r="I2876" s="22" t="s">
        <v>172</v>
      </c>
      <c r="J2876" s="22" t="s">
        <v>118</v>
      </c>
      <c r="K2876" s="24" t="s">
        <v>7946</v>
      </c>
      <c r="L2876" s="24"/>
      <c r="M2876" s="25" t="s">
        <v>2573</v>
      </c>
      <c r="N2876" s="22"/>
      <c r="O2876" s="22" t="s">
        <v>2574</v>
      </c>
      <c r="P2876" s="22" t="str">
        <f>HYPERLINK("https://ceds.ed.gov/cedselementdetails.aspx?termid=21054")</f>
        <v>https://ceds.ed.gov/cedselementdetails.aspx?termid=21054</v>
      </c>
      <c r="Q2876" s="22">
        <v>59159</v>
      </c>
    </row>
    <row r="2877" spans="1:17" ht="57.6" x14ac:dyDescent="0.3">
      <c r="A2877" s="22" t="s">
        <v>7839</v>
      </c>
      <c r="B2877" s="22" t="s">
        <v>7830</v>
      </c>
      <c r="C2877" s="22" t="s">
        <v>7831</v>
      </c>
      <c r="D2877" s="22" t="s">
        <v>7710</v>
      </c>
      <c r="E2877" s="22" t="s">
        <v>2609</v>
      </c>
      <c r="F2877" s="24" t="s">
        <v>2610</v>
      </c>
      <c r="G2877" s="23" t="s">
        <v>32</v>
      </c>
      <c r="H2877" s="24" t="s">
        <v>1965</v>
      </c>
      <c r="I2877" s="22" t="s">
        <v>172</v>
      </c>
      <c r="J2877" s="22" t="s">
        <v>118</v>
      </c>
      <c r="K2877" s="24" t="s">
        <v>7946</v>
      </c>
      <c r="L2877" s="24" t="s">
        <v>143</v>
      </c>
      <c r="M2877" s="25" t="s">
        <v>2611</v>
      </c>
      <c r="N2877" s="22"/>
      <c r="O2877" s="22" t="s">
        <v>2612</v>
      </c>
      <c r="P2877" s="22" t="str">
        <f>HYPERLINK("https://ceds.ed.gov/cedselementdetails.aspx?termid=21059")</f>
        <v>https://ceds.ed.gov/cedselementdetails.aspx?termid=21059</v>
      </c>
      <c r="Q2877" s="22">
        <v>59163</v>
      </c>
    </row>
    <row r="2878" spans="1:17" ht="172.8" x14ac:dyDescent="0.3">
      <c r="A2878" s="22" t="s">
        <v>7839</v>
      </c>
      <c r="B2878" s="22" t="s">
        <v>7830</v>
      </c>
      <c r="C2878" s="22" t="s">
        <v>7755</v>
      </c>
      <c r="D2878" s="22" t="s">
        <v>7710</v>
      </c>
      <c r="E2878" s="22" t="s">
        <v>7040</v>
      </c>
      <c r="F2878" s="24" t="s">
        <v>7041</v>
      </c>
      <c r="G2878" s="23" t="s">
        <v>32</v>
      </c>
      <c r="H2878" s="24" t="s">
        <v>7039</v>
      </c>
      <c r="I2878" s="22" t="s">
        <v>172</v>
      </c>
      <c r="J2878" s="22" t="s">
        <v>132</v>
      </c>
      <c r="K2878" s="24" t="s">
        <v>7946</v>
      </c>
      <c r="L2878" s="24" t="s">
        <v>7945</v>
      </c>
      <c r="M2878" s="25" t="s">
        <v>7042</v>
      </c>
      <c r="N2878" s="22"/>
      <c r="O2878" s="22" t="s">
        <v>7043</v>
      </c>
      <c r="P2878" s="22" t="str">
        <f>HYPERLINK("https://ceds.ed.gov/cedselementdetails.aspx?termid=21157")</f>
        <v>https://ceds.ed.gov/cedselementdetails.aspx?termid=21157</v>
      </c>
      <c r="Q2878" s="22">
        <v>59170</v>
      </c>
    </row>
    <row r="2879" spans="1:17" ht="144" x14ac:dyDescent="0.3">
      <c r="A2879" s="22" t="s">
        <v>7839</v>
      </c>
      <c r="B2879" s="22" t="s">
        <v>7830</v>
      </c>
      <c r="C2879" s="22" t="s">
        <v>7755</v>
      </c>
      <c r="D2879" s="22" t="s">
        <v>7710</v>
      </c>
      <c r="E2879" s="22" t="s">
        <v>7035</v>
      </c>
      <c r="F2879" s="24" t="s">
        <v>7036</v>
      </c>
      <c r="G2879" s="26" t="s">
        <v>8540</v>
      </c>
      <c r="H2879" s="24" t="s">
        <v>7039</v>
      </c>
      <c r="I2879" s="22" t="s">
        <v>172</v>
      </c>
      <c r="J2879" s="22"/>
      <c r="K2879" s="24" t="s">
        <v>7946</v>
      </c>
      <c r="L2879" s="24"/>
      <c r="M2879" s="25" t="s">
        <v>7037</v>
      </c>
      <c r="N2879" s="22"/>
      <c r="O2879" s="22" t="s">
        <v>7038</v>
      </c>
      <c r="P2879" s="22" t="str">
        <f>HYPERLINK("https://ceds.ed.gov/cedselementdetails.aspx?termid=21163")</f>
        <v>https://ceds.ed.gov/cedselementdetails.aspx?termid=21163</v>
      </c>
      <c r="Q2879" s="22">
        <v>60025</v>
      </c>
    </row>
    <row r="2880" spans="1:17" ht="28.8" x14ac:dyDescent="0.3">
      <c r="A2880" s="22" t="s">
        <v>7839</v>
      </c>
      <c r="B2880" s="22" t="s">
        <v>7830</v>
      </c>
      <c r="C2880" s="22" t="s">
        <v>7755</v>
      </c>
      <c r="D2880" s="22" t="s">
        <v>7710</v>
      </c>
      <c r="E2880" s="22" t="s">
        <v>2558</v>
      </c>
      <c r="F2880" s="24" t="s">
        <v>2559</v>
      </c>
      <c r="G2880" s="23" t="s">
        <v>32</v>
      </c>
      <c r="H2880" s="22"/>
      <c r="I2880" s="22"/>
      <c r="J2880" s="22" t="s">
        <v>118</v>
      </c>
      <c r="K2880" s="24"/>
      <c r="L2880" s="24"/>
      <c r="M2880" s="25" t="s">
        <v>2560</v>
      </c>
      <c r="N2880" s="22"/>
      <c r="O2880" s="22" t="s">
        <v>2561</v>
      </c>
      <c r="P2880" s="22" t="str">
        <f>HYPERLINK("https://ceds.ed.gov/cedselementdetails.aspx?termid=22266")</f>
        <v>https://ceds.ed.gov/cedselementdetails.aspx?termid=22266</v>
      </c>
      <c r="Q2880" s="22">
        <v>61095</v>
      </c>
    </row>
    <row r="2881" spans="1:17" ht="28.8" x14ac:dyDescent="0.3">
      <c r="A2881" s="22" t="s">
        <v>7839</v>
      </c>
      <c r="B2881" s="22" t="s">
        <v>7830</v>
      </c>
      <c r="C2881" s="22" t="s">
        <v>7755</v>
      </c>
      <c r="D2881" s="22" t="s">
        <v>7710</v>
      </c>
      <c r="E2881" s="22" t="s">
        <v>2604</v>
      </c>
      <c r="F2881" s="24" t="s">
        <v>2605</v>
      </c>
      <c r="G2881" s="23" t="s">
        <v>32</v>
      </c>
      <c r="H2881" s="22" t="s">
        <v>2608</v>
      </c>
      <c r="I2881" s="22"/>
      <c r="J2881" s="22" t="s">
        <v>118</v>
      </c>
      <c r="K2881" s="24"/>
      <c r="L2881" s="24"/>
      <c r="M2881" s="25" t="s">
        <v>2606</v>
      </c>
      <c r="N2881" s="22"/>
      <c r="O2881" s="22" t="s">
        <v>2607</v>
      </c>
      <c r="P2881" s="22" t="str">
        <f>HYPERLINK("https://ceds.ed.gov/cedselementdetails.aspx?termid=22271")</f>
        <v>https://ceds.ed.gov/cedselementdetails.aspx?termid=22271</v>
      </c>
      <c r="Q2881" s="22">
        <v>61103</v>
      </c>
    </row>
    <row r="2882" spans="1:17" ht="28.8" x14ac:dyDescent="0.3">
      <c r="A2882" s="22" t="s">
        <v>7839</v>
      </c>
      <c r="B2882" s="22" t="s">
        <v>7830</v>
      </c>
      <c r="C2882" s="22" t="s">
        <v>7755</v>
      </c>
      <c r="D2882" s="22" t="s">
        <v>7710</v>
      </c>
      <c r="E2882" s="22" t="s">
        <v>2667</v>
      </c>
      <c r="F2882" s="24" t="s">
        <v>8064</v>
      </c>
      <c r="G2882" s="23" t="s">
        <v>32</v>
      </c>
      <c r="H2882" s="22" t="s">
        <v>58</v>
      </c>
      <c r="I2882" s="22"/>
      <c r="J2882" s="22" t="s">
        <v>55</v>
      </c>
      <c r="K2882" s="24"/>
      <c r="L2882" s="24"/>
      <c r="M2882" s="25" t="s">
        <v>2668</v>
      </c>
      <c r="N2882" s="22"/>
      <c r="O2882" s="22" t="s">
        <v>2669</v>
      </c>
      <c r="P2882" s="22" t="str">
        <f>HYPERLINK("https://ceds.ed.gov/cedselementdetails.aspx?termid=21063")</f>
        <v>https://ceds.ed.gov/cedselementdetails.aspx?termid=21063</v>
      </c>
      <c r="Q2882" s="22">
        <v>59165</v>
      </c>
    </row>
    <row r="2883" spans="1:17" ht="43.2" x14ac:dyDescent="0.3">
      <c r="A2883" s="22" t="s">
        <v>7839</v>
      </c>
      <c r="B2883" s="22" t="s">
        <v>7830</v>
      </c>
      <c r="C2883" s="22" t="s">
        <v>7755</v>
      </c>
      <c r="D2883" s="22" t="s">
        <v>7710</v>
      </c>
      <c r="E2883" s="22" t="s">
        <v>3070</v>
      </c>
      <c r="F2883" s="24" t="s">
        <v>8076</v>
      </c>
      <c r="G2883" s="26" t="s">
        <v>22</v>
      </c>
      <c r="H2883" s="22" t="s">
        <v>58</v>
      </c>
      <c r="I2883" s="22"/>
      <c r="J2883" s="22"/>
      <c r="K2883" s="24"/>
      <c r="L2883" s="24"/>
      <c r="M2883" s="25" t="s">
        <v>3071</v>
      </c>
      <c r="N2883" s="22"/>
      <c r="O2883" s="22" t="s">
        <v>3072</v>
      </c>
      <c r="P2883" s="22" t="str">
        <f>HYPERLINK("https://ceds.ed.gov/cedselementdetails.aspx?termid=21077")</f>
        <v>https://ceds.ed.gov/cedselementdetails.aspx?termid=21077</v>
      </c>
      <c r="Q2883" s="22">
        <v>59169</v>
      </c>
    </row>
    <row r="2884" spans="1:17" ht="28.8" x14ac:dyDescent="0.3">
      <c r="A2884" s="22" t="s">
        <v>7839</v>
      </c>
      <c r="B2884" s="22" t="s">
        <v>7830</v>
      </c>
      <c r="C2884" s="22" t="s">
        <v>7755</v>
      </c>
      <c r="D2884" s="22" t="s">
        <v>7710</v>
      </c>
      <c r="E2884" s="22" t="s">
        <v>2541</v>
      </c>
      <c r="F2884" s="24" t="s">
        <v>8056</v>
      </c>
      <c r="G2884" s="23" t="s">
        <v>32</v>
      </c>
      <c r="H2884" s="24" t="s">
        <v>1965</v>
      </c>
      <c r="I2884" s="22"/>
      <c r="J2884" s="22" t="s">
        <v>2543</v>
      </c>
      <c r="K2884" s="24"/>
      <c r="L2884" s="24"/>
      <c r="M2884" s="25" t="s">
        <v>2544</v>
      </c>
      <c r="N2884" s="22"/>
      <c r="O2884" s="22" t="s">
        <v>2545</v>
      </c>
      <c r="P2884" s="22" t="str">
        <f>HYPERLINK("https://ceds.ed.gov/cedselementdetails.aspx?termid=21053")</f>
        <v>https://ceds.ed.gov/cedselementdetails.aspx?termid=21053</v>
      </c>
      <c r="Q2884" s="22">
        <v>59158</v>
      </c>
    </row>
    <row r="2885" spans="1:17" ht="100.8" x14ac:dyDescent="0.3">
      <c r="A2885" s="22" t="s">
        <v>7839</v>
      </c>
      <c r="B2885" s="22" t="s">
        <v>7830</v>
      </c>
      <c r="C2885" s="22" t="s">
        <v>7755</v>
      </c>
      <c r="D2885" s="22" t="s">
        <v>7710</v>
      </c>
      <c r="E2885" s="22" t="s">
        <v>5599</v>
      </c>
      <c r="F2885" s="24" t="s">
        <v>5600</v>
      </c>
      <c r="G2885" s="23" t="s">
        <v>32</v>
      </c>
      <c r="H2885" s="24" t="s">
        <v>5342</v>
      </c>
      <c r="I2885" s="22"/>
      <c r="J2885" s="22" t="s">
        <v>1518</v>
      </c>
      <c r="K2885" s="24"/>
      <c r="L2885" s="24"/>
      <c r="M2885" s="25" t="s">
        <v>5601</v>
      </c>
      <c r="N2885" s="22"/>
      <c r="O2885" s="22" t="s">
        <v>5602</v>
      </c>
      <c r="P2885" s="22" t="str">
        <f>HYPERLINK("https://ceds.ed.gov/cedselementdetails.aspx?termid=21200")</f>
        <v>https://ceds.ed.gov/cedselementdetails.aspx?termid=21200</v>
      </c>
      <c r="Q2885" s="22">
        <v>59171</v>
      </c>
    </row>
    <row r="2886" spans="1:17" ht="43.2" x14ac:dyDescent="0.3">
      <c r="A2886" s="22" t="s">
        <v>7839</v>
      </c>
      <c r="B2886" s="22" t="s">
        <v>7830</v>
      </c>
      <c r="C2886" s="22" t="s">
        <v>7755</v>
      </c>
      <c r="D2886" s="22" t="s">
        <v>7710</v>
      </c>
      <c r="E2886" s="22" t="s">
        <v>2670</v>
      </c>
      <c r="F2886" s="24" t="s">
        <v>8065</v>
      </c>
      <c r="G2886" s="23" t="s">
        <v>32</v>
      </c>
      <c r="H2886" s="22" t="s">
        <v>58</v>
      </c>
      <c r="I2886" s="22"/>
      <c r="J2886" s="22" t="s">
        <v>1518</v>
      </c>
      <c r="K2886" s="24"/>
      <c r="L2886" s="24"/>
      <c r="M2886" s="25" t="s">
        <v>2671</v>
      </c>
      <c r="N2886" s="22"/>
      <c r="O2886" s="22" t="s">
        <v>2672</v>
      </c>
      <c r="P2886" s="22" t="str">
        <f>HYPERLINK("https://ceds.ed.gov/cedselementdetails.aspx?termid=21064")</f>
        <v>https://ceds.ed.gov/cedselementdetails.aspx?termid=21064</v>
      </c>
      <c r="Q2886" s="22">
        <v>59166</v>
      </c>
    </row>
    <row r="2887" spans="1:17" ht="72" x14ac:dyDescent="0.3">
      <c r="A2887" s="22" t="s">
        <v>7839</v>
      </c>
      <c r="B2887" s="22" t="s">
        <v>7830</v>
      </c>
      <c r="C2887" s="22" t="s">
        <v>7755</v>
      </c>
      <c r="D2887" s="22" t="s">
        <v>7710</v>
      </c>
      <c r="E2887" s="22" t="s">
        <v>7017</v>
      </c>
      <c r="F2887" s="24" t="s">
        <v>7018</v>
      </c>
      <c r="G2887" s="23" t="s">
        <v>32</v>
      </c>
      <c r="H2887" s="24" t="s">
        <v>64</v>
      </c>
      <c r="I2887" s="22"/>
      <c r="J2887" s="22" t="s">
        <v>2543</v>
      </c>
      <c r="K2887" s="24"/>
      <c r="L2887" s="24"/>
      <c r="M2887" s="25" t="s">
        <v>7020</v>
      </c>
      <c r="N2887" s="22"/>
      <c r="O2887" s="22" t="s">
        <v>7021</v>
      </c>
      <c r="P2887" s="22" t="str">
        <f>HYPERLINK("https://ceds.ed.gov/cedselementdetails.aspx?termid=21124")</f>
        <v>https://ceds.ed.gov/cedselementdetails.aspx?termid=21124</v>
      </c>
      <c r="Q2887" s="22">
        <v>61923</v>
      </c>
    </row>
    <row r="2888" spans="1:17" ht="43.2" x14ac:dyDescent="0.3">
      <c r="A2888" s="22" t="s">
        <v>7839</v>
      </c>
      <c r="B2888" s="22" t="s">
        <v>7830</v>
      </c>
      <c r="C2888" s="22" t="s">
        <v>7755</v>
      </c>
      <c r="D2888" s="22" t="s">
        <v>7710</v>
      </c>
      <c r="E2888" s="22" t="s">
        <v>7022</v>
      </c>
      <c r="F2888" s="24" t="s">
        <v>7023</v>
      </c>
      <c r="G2888" s="23" t="s">
        <v>32</v>
      </c>
      <c r="H2888" s="22"/>
      <c r="I2888" s="22"/>
      <c r="J2888" s="22" t="s">
        <v>113</v>
      </c>
      <c r="K2888" s="24"/>
      <c r="L2888" s="24"/>
      <c r="M2888" s="25" t="s">
        <v>7025</v>
      </c>
      <c r="N2888" s="22"/>
      <c r="O2888" s="22" t="s">
        <v>7026</v>
      </c>
      <c r="P2888" s="22" t="str">
        <f>HYPERLINK("https://ceds.ed.gov/cedselementdetails.aspx?termid=22552")</f>
        <v>https://ceds.ed.gov/cedselementdetails.aspx?termid=22552</v>
      </c>
      <c r="Q2888" s="22">
        <v>61926</v>
      </c>
    </row>
    <row r="2889" spans="1:17" ht="72" x14ac:dyDescent="0.3">
      <c r="A2889" s="22" t="s">
        <v>7839</v>
      </c>
      <c r="B2889" s="22" t="s">
        <v>7830</v>
      </c>
      <c r="C2889" s="22" t="s">
        <v>7755</v>
      </c>
      <c r="D2889" s="22" t="s">
        <v>7710</v>
      </c>
      <c r="E2889" s="22" t="s">
        <v>5595</v>
      </c>
      <c r="F2889" s="24" t="s">
        <v>5596</v>
      </c>
      <c r="G2889" s="23" t="s">
        <v>32</v>
      </c>
      <c r="H2889" s="24" t="s">
        <v>64</v>
      </c>
      <c r="I2889" s="22"/>
      <c r="J2889" s="22" t="s">
        <v>1518</v>
      </c>
      <c r="K2889" s="24"/>
      <c r="L2889" s="24"/>
      <c r="M2889" s="25" t="s">
        <v>5597</v>
      </c>
      <c r="N2889" s="22"/>
      <c r="O2889" s="22" t="s">
        <v>5598</v>
      </c>
      <c r="P2889" s="22" t="str">
        <f>HYPERLINK("https://ceds.ed.gov/cedselementdetails.aspx?termid=21199")</f>
        <v>https://ceds.ed.gov/cedselementdetails.aspx?termid=21199</v>
      </c>
      <c r="Q2889" s="22">
        <v>63579</v>
      </c>
    </row>
    <row r="2890" spans="1:17" ht="43.2" x14ac:dyDescent="0.3">
      <c r="A2890" s="22" t="s">
        <v>7839</v>
      </c>
      <c r="B2890" s="22" t="s">
        <v>7830</v>
      </c>
      <c r="C2890" s="22" t="s">
        <v>7755</v>
      </c>
      <c r="D2890" s="22" t="s">
        <v>7741</v>
      </c>
      <c r="E2890" s="22" t="s">
        <v>8109</v>
      </c>
      <c r="F2890" s="24" t="s">
        <v>8110</v>
      </c>
      <c r="G2890" s="23" t="s">
        <v>32</v>
      </c>
      <c r="H2890" s="22"/>
      <c r="I2890" s="22" t="s">
        <v>167</v>
      </c>
      <c r="J2890" s="22" t="s">
        <v>1699</v>
      </c>
      <c r="K2890" s="24" t="s">
        <v>7949</v>
      </c>
      <c r="L2890" s="24" t="s">
        <v>8111</v>
      </c>
      <c r="M2890" s="25" t="s">
        <v>8358</v>
      </c>
      <c r="N2890" s="22"/>
      <c r="O2890" s="22" t="s">
        <v>8112</v>
      </c>
      <c r="P2890" s="22" t="str">
        <f>HYPERLINK("https://ceds.ed.gov/cedselementdetails.aspx?termid=22979")</f>
        <v>https://ceds.ed.gov/cedselementdetails.aspx?termid=22979</v>
      </c>
      <c r="Q2890" s="22">
        <v>63948</v>
      </c>
    </row>
    <row r="2891" spans="1:17" ht="72" x14ac:dyDescent="0.3">
      <c r="A2891" s="22" t="s">
        <v>7839</v>
      </c>
      <c r="B2891" s="22" t="s">
        <v>7830</v>
      </c>
      <c r="C2891" s="22" t="s">
        <v>7832</v>
      </c>
      <c r="D2891" s="22" t="s">
        <v>7710</v>
      </c>
      <c r="E2891" s="22" t="s">
        <v>5383</v>
      </c>
      <c r="F2891" s="24" t="s">
        <v>5384</v>
      </c>
      <c r="G2891" s="23" t="s">
        <v>32</v>
      </c>
      <c r="H2891" s="24" t="s">
        <v>64</v>
      </c>
      <c r="I2891" s="22"/>
      <c r="J2891" s="22" t="s">
        <v>85</v>
      </c>
      <c r="K2891" s="24"/>
      <c r="L2891" s="24"/>
      <c r="M2891" s="25" t="s">
        <v>5386</v>
      </c>
      <c r="N2891" s="22"/>
      <c r="O2891" s="22" t="s">
        <v>5387</v>
      </c>
      <c r="P2891" s="22" t="str">
        <f>HYPERLINK("https://ceds.ed.gov/cedselementdetails.aspx?termid=21182")</f>
        <v>https://ceds.ed.gov/cedselementdetails.aspx?termid=21182</v>
      </c>
      <c r="Q2891" s="22">
        <v>62462</v>
      </c>
    </row>
    <row r="2892" spans="1:17" ht="43.2" x14ac:dyDescent="0.3">
      <c r="A2892" s="22" t="s">
        <v>7839</v>
      </c>
      <c r="B2892" s="22" t="s">
        <v>7830</v>
      </c>
      <c r="C2892" s="22" t="s">
        <v>7832</v>
      </c>
      <c r="D2892" s="22" t="s">
        <v>7710</v>
      </c>
      <c r="E2892" s="22" t="s">
        <v>7027</v>
      </c>
      <c r="F2892" s="24" t="s">
        <v>7028</v>
      </c>
      <c r="G2892" s="26" t="s">
        <v>22</v>
      </c>
      <c r="H2892" s="22"/>
      <c r="I2892" s="22"/>
      <c r="J2892" s="22"/>
      <c r="K2892" s="24"/>
      <c r="L2892" s="24"/>
      <c r="M2892" s="25" t="s">
        <v>7029</v>
      </c>
      <c r="N2892" s="22"/>
      <c r="O2892" s="22" t="s">
        <v>7030</v>
      </c>
      <c r="P2892" s="22" t="str">
        <f>HYPERLINK("https://ceds.ed.gov/cedselementdetails.aspx?termid=22191")</f>
        <v>https://ceds.ed.gov/cedselementdetails.aspx?termid=22191</v>
      </c>
      <c r="Q2892" s="22">
        <v>62463</v>
      </c>
    </row>
    <row r="2893" spans="1:17" ht="72" x14ac:dyDescent="0.3">
      <c r="A2893" s="22" t="s">
        <v>7839</v>
      </c>
      <c r="B2893" s="22" t="s">
        <v>7830</v>
      </c>
      <c r="C2893" s="22" t="s">
        <v>7832</v>
      </c>
      <c r="D2893" s="22" t="s">
        <v>7710</v>
      </c>
      <c r="E2893" s="22" t="s">
        <v>5411</v>
      </c>
      <c r="F2893" s="24" t="s">
        <v>5412</v>
      </c>
      <c r="G2893" s="23" t="s">
        <v>32</v>
      </c>
      <c r="H2893" s="24" t="s">
        <v>64</v>
      </c>
      <c r="I2893" s="22"/>
      <c r="J2893" s="22" t="s">
        <v>2543</v>
      </c>
      <c r="K2893" s="24"/>
      <c r="L2893" s="24"/>
      <c r="M2893" s="25" t="s">
        <v>5413</v>
      </c>
      <c r="N2893" s="22"/>
      <c r="O2893" s="22" t="s">
        <v>5414</v>
      </c>
      <c r="P2893" s="22" t="str">
        <f>HYPERLINK("https://ceds.ed.gov/cedselementdetails.aspx?termid=21183")</f>
        <v>https://ceds.ed.gov/cedselementdetails.aspx?termid=21183</v>
      </c>
      <c r="Q2893" s="22">
        <v>62465</v>
      </c>
    </row>
    <row r="2894" spans="1:17" ht="72" x14ac:dyDescent="0.3">
      <c r="A2894" s="22" t="s">
        <v>7839</v>
      </c>
      <c r="B2894" s="22" t="s">
        <v>7830</v>
      </c>
      <c r="C2894" s="22" t="s">
        <v>7832</v>
      </c>
      <c r="D2894" s="22" t="s">
        <v>7710</v>
      </c>
      <c r="E2894" s="22" t="s">
        <v>7017</v>
      </c>
      <c r="F2894" s="24" t="s">
        <v>7018</v>
      </c>
      <c r="G2894" s="23" t="s">
        <v>32</v>
      </c>
      <c r="H2894" s="24" t="s">
        <v>64</v>
      </c>
      <c r="I2894" s="22"/>
      <c r="J2894" s="22" t="s">
        <v>2543</v>
      </c>
      <c r="K2894" s="24"/>
      <c r="L2894" s="24"/>
      <c r="M2894" s="25" t="s">
        <v>7020</v>
      </c>
      <c r="N2894" s="22"/>
      <c r="O2894" s="22" t="s">
        <v>7021</v>
      </c>
      <c r="P2894" s="22" t="str">
        <f>HYPERLINK("https://ceds.ed.gov/cedselementdetails.aspx?termid=21124")</f>
        <v>https://ceds.ed.gov/cedselementdetails.aspx?termid=21124</v>
      </c>
      <c r="Q2894" s="22">
        <v>62464</v>
      </c>
    </row>
    <row r="2895" spans="1:17" ht="129.6" x14ac:dyDescent="0.3">
      <c r="A2895" s="22" t="s">
        <v>7839</v>
      </c>
      <c r="B2895" s="22" t="s">
        <v>7830</v>
      </c>
      <c r="C2895" s="22" t="s">
        <v>7832</v>
      </c>
      <c r="D2895" s="22" t="s">
        <v>7710</v>
      </c>
      <c r="E2895" s="22" t="s">
        <v>4235</v>
      </c>
      <c r="F2895" s="24" t="s">
        <v>4236</v>
      </c>
      <c r="G2895" s="23" t="s">
        <v>32</v>
      </c>
      <c r="H2895" s="22"/>
      <c r="I2895" s="22"/>
      <c r="J2895" s="22" t="s">
        <v>780</v>
      </c>
      <c r="K2895" s="24"/>
      <c r="L2895" s="24" t="s">
        <v>4238</v>
      </c>
      <c r="M2895" s="25" t="s">
        <v>4239</v>
      </c>
      <c r="N2895" s="22"/>
      <c r="O2895" s="22" t="s">
        <v>4240</v>
      </c>
      <c r="P2895" s="22" t="str">
        <f>HYPERLINK("https://ceds.ed.gov/cedselementdetails.aspx?termid=21609")</f>
        <v>https://ceds.ed.gov/cedselementdetails.aspx?termid=21609</v>
      </c>
      <c r="Q2895" s="22">
        <v>62466</v>
      </c>
    </row>
    <row r="2896" spans="1:17" ht="230.4" x14ac:dyDescent="0.3">
      <c r="A2896" s="22" t="s">
        <v>7839</v>
      </c>
      <c r="B2896" s="22" t="s">
        <v>7830</v>
      </c>
      <c r="C2896" s="22" t="s">
        <v>7832</v>
      </c>
      <c r="D2896" s="22" t="s">
        <v>7710</v>
      </c>
      <c r="E2896" s="22" t="s">
        <v>2553</v>
      </c>
      <c r="F2896" s="24" t="s">
        <v>2554</v>
      </c>
      <c r="G2896" s="26" t="s">
        <v>8746</v>
      </c>
      <c r="H2896" s="22"/>
      <c r="I2896" s="22"/>
      <c r="J2896" s="22"/>
      <c r="K2896" s="24"/>
      <c r="L2896" s="24"/>
      <c r="M2896" s="25" t="s">
        <v>2556</v>
      </c>
      <c r="N2896" s="22"/>
      <c r="O2896" s="22" t="s">
        <v>2557</v>
      </c>
      <c r="P2896" s="22" t="str">
        <f>HYPERLINK("https://ceds.ed.gov/cedselementdetails.aspx?termid=22265")</f>
        <v>https://ceds.ed.gov/cedselementdetails.aspx?termid=22265</v>
      </c>
      <c r="Q2896" s="22">
        <v>61094</v>
      </c>
    </row>
    <row r="2897" spans="1:17" ht="172.8" x14ac:dyDescent="0.3">
      <c r="A2897" s="22" t="s">
        <v>7839</v>
      </c>
      <c r="B2897" s="22" t="s">
        <v>7830</v>
      </c>
      <c r="C2897" s="22" t="s">
        <v>7833</v>
      </c>
      <c r="D2897" s="22" t="s">
        <v>7710</v>
      </c>
      <c r="E2897" s="22" t="s">
        <v>6911</v>
      </c>
      <c r="F2897" s="24" t="s">
        <v>6912</v>
      </c>
      <c r="G2897" s="23" t="s">
        <v>32</v>
      </c>
      <c r="H2897" s="24" t="s">
        <v>6915</v>
      </c>
      <c r="I2897" s="22" t="s">
        <v>172</v>
      </c>
      <c r="J2897" s="22" t="s">
        <v>132</v>
      </c>
      <c r="K2897" s="24" t="s">
        <v>7946</v>
      </c>
      <c r="L2897" s="24" t="s">
        <v>7945</v>
      </c>
      <c r="M2897" s="25" t="s">
        <v>6913</v>
      </c>
      <c r="N2897" s="22"/>
      <c r="O2897" s="22" t="s">
        <v>6914</v>
      </c>
      <c r="P2897" s="22" t="str">
        <f>HYPERLINK("https://ceds.ed.gov/cedselementdetails.aspx?termid=21156")</f>
        <v>https://ceds.ed.gov/cedselementdetails.aspx?termid=21156</v>
      </c>
      <c r="Q2897" s="22">
        <v>61464</v>
      </c>
    </row>
    <row r="2898" spans="1:17" ht="244.8" x14ac:dyDescent="0.3">
      <c r="A2898" s="22" t="s">
        <v>7839</v>
      </c>
      <c r="B2898" s="22" t="s">
        <v>7830</v>
      </c>
      <c r="C2898" s="22" t="s">
        <v>7833</v>
      </c>
      <c r="D2898" s="22" t="s">
        <v>7710</v>
      </c>
      <c r="E2898" s="22" t="s">
        <v>6906</v>
      </c>
      <c r="F2898" s="24" t="s">
        <v>6907</v>
      </c>
      <c r="G2898" s="26" t="s">
        <v>8531</v>
      </c>
      <c r="H2898" s="24" t="s">
        <v>6910</v>
      </c>
      <c r="I2898" s="22" t="s">
        <v>172</v>
      </c>
      <c r="J2898" s="22"/>
      <c r="K2898" s="24" t="s">
        <v>7946</v>
      </c>
      <c r="L2898" s="24"/>
      <c r="M2898" s="25" t="s">
        <v>6908</v>
      </c>
      <c r="N2898" s="22"/>
      <c r="O2898" s="22" t="s">
        <v>6909</v>
      </c>
      <c r="P2898" s="22" t="str">
        <f>HYPERLINK("https://ceds.ed.gov/cedselementdetails.aspx?termid=21162")</f>
        <v>https://ceds.ed.gov/cedselementdetails.aspx?termid=21162</v>
      </c>
      <c r="Q2898" s="22">
        <v>61463</v>
      </c>
    </row>
    <row r="2899" spans="1:17" ht="28.8" x14ac:dyDescent="0.3">
      <c r="A2899" s="22" t="s">
        <v>7839</v>
      </c>
      <c r="B2899" s="22" t="s">
        <v>7830</v>
      </c>
      <c r="C2899" s="22" t="s">
        <v>7833</v>
      </c>
      <c r="D2899" s="22" t="s">
        <v>7710</v>
      </c>
      <c r="E2899" s="22" t="s">
        <v>1443</v>
      </c>
      <c r="F2899" s="24" t="s">
        <v>1444</v>
      </c>
      <c r="G2899" s="23" t="s">
        <v>32</v>
      </c>
      <c r="H2899" s="22"/>
      <c r="I2899" s="22" t="s">
        <v>172</v>
      </c>
      <c r="J2899" s="22" t="s">
        <v>118</v>
      </c>
      <c r="K2899" s="24" t="s">
        <v>7946</v>
      </c>
      <c r="L2899" s="24"/>
      <c r="M2899" s="25" t="s">
        <v>1445</v>
      </c>
      <c r="N2899" s="22"/>
      <c r="O2899" s="22" t="s">
        <v>1446</v>
      </c>
      <c r="P2899" s="22" t="str">
        <f>HYPERLINK("https://ceds.ed.gov/cedselementdetails.aspx?termid=21517")</f>
        <v>https://ceds.ed.gov/cedselementdetails.aspx?termid=21517</v>
      </c>
      <c r="Q2899" s="22">
        <v>62487</v>
      </c>
    </row>
    <row r="2900" spans="1:17" ht="57.6" x14ac:dyDescent="0.3">
      <c r="A2900" s="22" t="s">
        <v>7839</v>
      </c>
      <c r="B2900" s="22" t="s">
        <v>7830</v>
      </c>
      <c r="C2900" s="22" t="s">
        <v>7833</v>
      </c>
      <c r="D2900" s="22" t="s">
        <v>7710</v>
      </c>
      <c r="E2900" s="22" t="s">
        <v>1439</v>
      </c>
      <c r="F2900" s="24" t="s">
        <v>1440</v>
      </c>
      <c r="G2900" s="23" t="s">
        <v>32</v>
      </c>
      <c r="H2900" s="22"/>
      <c r="I2900" s="22" t="s">
        <v>172</v>
      </c>
      <c r="J2900" s="22" t="s">
        <v>118</v>
      </c>
      <c r="K2900" s="24" t="s">
        <v>7946</v>
      </c>
      <c r="L2900" s="24" t="s">
        <v>143</v>
      </c>
      <c r="M2900" s="25" t="s">
        <v>1441</v>
      </c>
      <c r="N2900" s="22"/>
      <c r="O2900" s="22" t="s">
        <v>1442</v>
      </c>
      <c r="P2900" s="22" t="str">
        <f>HYPERLINK("https://ceds.ed.gov/cedselementdetails.aspx?termid=21518")</f>
        <v>https://ceds.ed.gov/cedselementdetails.aspx?termid=21518</v>
      </c>
      <c r="Q2900" s="22">
        <v>62488</v>
      </c>
    </row>
    <row r="2901" spans="1:17" ht="28.8" x14ac:dyDescent="0.3">
      <c r="A2901" s="22" t="s">
        <v>7839</v>
      </c>
      <c r="B2901" s="22" t="s">
        <v>7865</v>
      </c>
      <c r="C2901" s="22" t="s">
        <v>7727</v>
      </c>
      <c r="D2901" s="22" t="s">
        <v>7710</v>
      </c>
      <c r="E2901" s="22" t="s">
        <v>116</v>
      </c>
      <c r="F2901" s="24" t="s">
        <v>117</v>
      </c>
      <c r="G2901" s="23" t="s">
        <v>32</v>
      </c>
      <c r="H2901" s="22" t="s">
        <v>109</v>
      </c>
      <c r="I2901" s="22"/>
      <c r="J2901" s="22" t="s">
        <v>118</v>
      </c>
      <c r="K2901" s="24"/>
      <c r="L2901" s="24"/>
      <c r="M2901" s="25" t="s">
        <v>119</v>
      </c>
      <c r="N2901" s="22"/>
      <c r="O2901" s="22" t="s">
        <v>120</v>
      </c>
      <c r="P2901" s="22" t="str">
        <f>HYPERLINK("https://ceds.ed.gov/cedselementdetails.aspx?termid=21840")</f>
        <v>https://ceds.ed.gov/cedselementdetails.aspx?termid=21840</v>
      </c>
      <c r="Q2901" s="22">
        <v>63597</v>
      </c>
    </row>
    <row r="2902" spans="1:17" ht="28.8" x14ac:dyDescent="0.3">
      <c r="A2902" s="22" t="s">
        <v>7839</v>
      </c>
      <c r="B2902" s="22" t="s">
        <v>7865</v>
      </c>
      <c r="C2902" s="22" t="s">
        <v>7727</v>
      </c>
      <c r="D2902" s="22" t="s">
        <v>7710</v>
      </c>
      <c r="E2902" s="22" t="s">
        <v>121</v>
      </c>
      <c r="F2902" s="24" t="s">
        <v>122</v>
      </c>
      <c r="G2902" s="23" t="s">
        <v>32</v>
      </c>
      <c r="H2902" s="22" t="s">
        <v>109</v>
      </c>
      <c r="I2902" s="22"/>
      <c r="J2902" s="22" t="s">
        <v>118</v>
      </c>
      <c r="K2902" s="24"/>
      <c r="L2902" s="24"/>
      <c r="M2902" s="25" t="s">
        <v>123</v>
      </c>
      <c r="N2902" s="22"/>
      <c r="O2902" s="22" t="s">
        <v>124</v>
      </c>
      <c r="P2902" s="22" t="str">
        <f>HYPERLINK("https://ceds.ed.gov/cedselementdetails.aspx?termid=21841")</f>
        <v>https://ceds.ed.gov/cedselementdetails.aspx?termid=21841</v>
      </c>
      <c r="Q2902" s="22">
        <v>63598</v>
      </c>
    </row>
    <row r="2903" spans="1:17" ht="158.4" x14ac:dyDescent="0.3">
      <c r="A2903" s="22" t="s">
        <v>7866</v>
      </c>
      <c r="B2903" s="22" t="s">
        <v>7867</v>
      </c>
      <c r="C2903" s="22" t="s">
        <v>7738</v>
      </c>
      <c r="D2903" s="22" t="s">
        <v>7710</v>
      </c>
      <c r="E2903" s="22" t="s">
        <v>4050</v>
      </c>
      <c r="F2903" s="24" t="s">
        <v>4051</v>
      </c>
      <c r="G2903" s="23" t="s">
        <v>32</v>
      </c>
      <c r="H2903" s="24" t="s">
        <v>4054</v>
      </c>
      <c r="I2903" s="22"/>
      <c r="J2903" s="22" t="s">
        <v>7536</v>
      </c>
      <c r="K2903" s="24"/>
      <c r="L2903" s="24" t="s">
        <v>8200</v>
      </c>
      <c r="M2903" s="25" t="s">
        <v>4052</v>
      </c>
      <c r="N2903" s="22"/>
      <c r="O2903" s="22" t="s">
        <v>4053</v>
      </c>
      <c r="P2903" s="22" t="str">
        <f>HYPERLINK("https://ceds.ed.gov/cedselementdetails.aspx?termid=21115")</f>
        <v>https://ceds.ed.gov/cedselementdetails.aspx?termid=21115</v>
      </c>
      <c r="Q2903" s="22">
        <v>60857</v>
      </c>
    </row>
    <row r="2904" spans="1:17" ht="158.4" x14ac:dyDescent="0.3">
      <c r="A2904" s="22" t="s">
        <v>7866</v>
      </c>
      <c r="B2904" s="22" t="s">
        <v>7867</v>
      </c>
      <c r="C2904" s="22" t="s">
        <v>7738</v>
      </c>
      <c r="D2904" s="22" t="s">
        <v>7710</v>
      </c>
      <c r="E2904" s="22" t="s">
        <v>5415</v>
      </c>
      <c r="F2904" s="24" t="s">
        <v>5416</v>
      </c>
      <c r="G2904" s="23" t="s">
        <v>32</v>
      </c>
      <c r="H2904" s="24" t="s">
        <v>4054</v>
      </c>
      <c r="I2904" s="22"/>
      <c r="J2904" s="22" t="s">
        <v>7536</v>
      </c>
      <c r="K2904" s="24"/>
      <c r="L2904" s="24" t="s">
        <v>8207</v>
      </c>
      <c r="M2904" s="25" t="s">
        <v>5417</v>
      </c>
      <c r="N2904" s="22"/>
      <c r="O2904" s="22" t="s">
        <v>5418</v>
      </c>
      <c r="P2904" s="22" t="str">
        <f>HYPERLINK("https://ceds.ed.gov/cedselementdetails.aspx?termid=21184")</f>
        <v>https://ceds.ed.gov/cedselementdetails.aspx?termid=21184</v>
      </c>
      <c r="Q2904" s="22">
        <v>60858</v>
      </c>
    </row>
    <row r="2905" spans="1:17" ht="158.4" x14ac:dyDescent="0.3">
      <c r="A2905" s="22" t="s">
        <v>7866</v>
      </c>
      <c r="B2905" s="22" t="s">
        <v>7867</v>
      </c>
      <c r="C2905" s="22" t="s">
        <v>7738</v>
      </c>
      <c r="D2905" s="22" t="s">
        <v>7710</v>
      </c>
      <c r="E2905" s="22" t="s">
        <v>4973</v>
      </c>
      <c r="F2905" s="24" t="s">
        <v>4974</v>
      </c>
      <c r="G2905" s="23" t="s">
        <v>32</v>
      </c>
      <c r="H2905" s="24" t="s">
        <v>4054</v>
      </c>
      <c r="I2905" s="22"/>
      <c r="J2905" s="22" t="s">
        <v>7536</v>
      </c>
      <c r="K2905" s="24"/>
      <c r="L2905" s="24" t="s">
        <v>8207</v>
      </c>
      <c r="M2905" s="25" t="s">
        <v>4975</v>
      </c>
      <c r="N2905" s="22" t="s">
        <v>4976</v>
      </c>
      <c r="O2905" s="22" t="s">
        <v>4977</v>
      </c>
      <c r="P2905" s="22" t="str">
        <f>HYPERLINK("https://ceds.ed.gov/cedselementdetails.aspx?termid=21172")</f>
        <v>https://ceds.ed.gov/cedselementdetails.aspx?termid=21172</v>
      </c>
      <c r="Q2905" s="22">
        <v>60859</v>
      </c>
    </row>
    <row r="2906" spans="1:17" ht="129.6" x14ac:dyDescent="0.3">
      <c r="A2906" s="22" t="s">
        <v>7866</v>
      </c>
      <c r="B2906" s="22" t="s">
        <v>7867</v>
      </c>
      <c r="C2906" s="22" t="s">
        <v>7738</v>
      </c>
      <c r="D2906" s="22" t="s">
        <v>7710</v>
      </c>
      <c r="E2906" s="22" t="s">
        <v>4114</v>
      </c>
      <c r="F2906" s="24" t="s">
        <v>4115</v>
      </c>
      <c r="G2906" s="23" t="s">
        <v>32</v>
      </c>
      <c r="H2906" s="24" t="s">
        <v>4119</v>
      </c>
      <c r="I2906" s="22"/>
      <c r="J2906" s="22" t="s">
        <v>2743</v>
      </c>
      <c r="K2906" s="24"/>
      <c r="L2906" s="24" t="s">
        <v>8207</v>
      </c>
      <c r="M2906" s="25" t="s">
        <v>4117</v>
      </c>
      <c r="N2906" s="22"/>
      <c r="O2906" s="22" t="s">
        <v>4118</v>
      </c>
      <c r="P2906" s="22" t="str">
        <f>HYPERLINK("https://ceds.ed.gov/cedselementdetails.aspx?termid=21121")</f>
        <v>https://ceds.ed.gov/cedselementdetails.aspx?termid=21121</v>
      </c>
      <c r="Q2906" s="22">
        <v>60860</v>
      </c>
    </row>
    <row r="2907" spans="1:17" ht="86.4" x14ac:dyDescent="0.3">
      <c r="A2907" s="22" t="s">
        <v>7866</v>
      </c>
      <c r="B2907" s="22" t="s">
        <v>7867</v>
      </c>
      <c r="C2907" s="22" t="s">
        <v>7738</v>
      </c>
      <c r="D2907" s="22" t="s">
        <v>7710</v>
      </c>
      <c r="E2907" s="22" t="s">
        <v>5860</v>
      </c>
      <c r="F2907" s="24" t="s">
        <v>5861</v>
      </c>
      <c r="G2907" s="23" t="s">
        <v>32</v>
      </c>
      <c r="H2907" s="24" t="s">
        <v>5865</v>
      </c>
      <c r="I2907" s="22"/>
      <c r="J2907" s="22" t="s">
        <v>85</v>
      </c>
      <c r="K2907" s="24"/>
      <c r="L2907" s="24"/>
      <c r="M2907" s="25" t="s">
        <v>5862</v>
      </c>
      <c r="N2907" s="22" t="s">
        <v>5863</v>
      </c>
      <c r="O2907" s="22" t="s">
        <v>5864</v>
      </c>
      <c r="P2907" s="22" t="str">
        <f>HYPERLINK("https://ceds.ed.gov/cedselementdetails.aspx?termid=21212")</f>
        <v>https://ceds.ed.gov/cedselementdetails.aspx?termid=21212</v>
      </c>
      <c r="Q2907" s="22">
        <v>60861</v>
      </c>
    </row>
    <row r="2908" spans="1:17" ht="28.8" x14ac:dyDescent="0.3">
      <c r="A2908" s="22" t="s">
        <v>7866</v>
      </c>
      <c r="B2908" s="22" t="s">
        <v>7867</v>
      </c>
      <c r="C2908" s="22" t="s">
        <v>7739</v>
      </c>
      <c r="D2908" s="22" t="s">
        <v>7710</v>
      </c>
      <c r="E2908" s="22" t="s">
        <v>5728</v>
      </c>
      <c r="F2908" s="24" t="s">
        <v>5729</v>
      </c>
      <c r="G2908" s="23" t="s">
        <v>32</v>
      </c>
      <c r="H2908" s="22"/>
      <c r="I2908" s="22"/>
      <c r="J2908" s="22" t="s">
        <v>1301</v>
      </c>
      <c r="K2908" s="24"/>
      <c r="L2908" s="24" t="s">
        <v>5730</v>
      </c>
      <c r="M2908" s="25" t="s">
        <v>5731</v>
      </c>
      <c r="N2908" s="22"/>
      <c r="O2908" s="22" t="s">
        <v>5732</v>
      </c>
      <c r="P2908" s="22" t="str">
        <f>HYPERLINK("https://ceds.ed.gov/cedselementdetails.aspx?termid=22486")</f>
        <v>https://ceds.ed.gov/cedselementdetails.aspx?termid=22486</v>
      </c>
      <c r="Q2908" s="22">
        <v>61635</v>
      </c>
    </row>
    <row r="2909" spans="1:17" ht="28.8" x14ac:dyDescent="0.3">
      <c r="A2909" s="22" t="s">
        <v>7866</v>
      </c>
      <c r="B2909" s="22" t="s">
        <v>7867</v>
      </c>
      <c r="C2909" s="22" t="s">
        <v>7739</v>
      </c>
      <c r="D2909" s="22" t="s">
        <v>7710</v>
      </c>
      <c r="E2909" s="22" t="s">
        <v>5733</v>
      </c>
      <c r="F2909" s="24" t="s">
        <v>5734</v>
      </c>
      <c r="G2909" s="23" t="s">
        <v>32</v>
      </c>
      <c r="H2909" s="22"/>
      <c r="I2909" s="22"/>
      <c r="J2909" s="22" t="s">
        <v>1301</v>
      </c>
      <c r="K2909" s="24"/>
      <c r="L2909" s="24" t="s">
        <v>5735</v>
      </c>
      <c r="M2909" s="25" t="s">
        <v>5736</v>
      </c>
      <c r="N2909" s="22"/>
      <c r="O2909" s="22" t="s">
        <v>5737</v>
      </c>
      <c r="P2909" s="22" t="str">
        <f>HYPERLINK("https://ceds.ed.gov/cedselementdetails.aspx?termid=22485")</f>
        <v>https://ceds.ed.gov/cedselementdetails.aspx?termid=22485</v>
      </c>
      <c r="Q2909" s="22">
        <v>61619</v>
      </c>
    </row>
    <row r="2910" spans="1:17" ht="28.8" x14ac:dyDescent="0.3">
      <c r="A2910" s="22" t="s">
        <v>7866</v>
      </c>
      <c r="B2910" s="22" t="s">
        <v>7867</v>
      </c>
      <c r="C2910" s="22" t="s">
        <v>7739</v>
      </c>
      <c r="D2910" s="22" t="s">
        <v>7710</v>
      </c>
      <c r="E2910" s="22" t="s">
        <v>5738</v>
      </c>
      <c r="F2910" s="24" t="s">
        <v>5739</v>
      </c>
      <c r="G2910" s="23" t="s">
        <v>32</v>
      </c>
      <c r="H2910" s="22"/>
      <c r="I2910" s="22"/>
      <c r="J2910" s="22" t="s">
        <v>1301</v>
      </c>
      <c r="K2910" s="24"/>
      <c r="L2910" s="24" t="s">
        <v>5740</v>
      </c>
      <c r="M2910" s="25" t="s">
        <v>5741</v>
      </c>
      <c r="N2910" s="22"/>
      <c r="O2910" s="22" t="s">
        <v>5742</v>
      </c>
      <c r="P2910" s="22" t="str">
        <f>HYPERLINK("https://ceds.ed.gov/cedselementdetails.aspx?termid=22487")</f>
        <v>https://ceds.ed.gov/cedselementdetails.aspx?termid=22487</v>
      </c>
      <c r="Q2910" s="22">
        <v>61651</v>
      </c>
    </row>
    <row r="2911" spans="1:17" ht="129.6" x14ac:dyDescent="0.3">
      <c r="A2911" s="22" t="s">
        <v>7866</v>
      </c>
      <c r="B2911" s="22" t="s">
        <v>7867</v>
      </c>
      <c r="C2911" s="22" t="s">
        <v>7739</v>
      </c>
      <c r="D2911" s="22" t="s">
        <v>7710</v>
      </c>
      <c r="E2911" s="22" t="s">
        <v>5743</v>
      </c>
      <c r="F2911" s="24" t="s">
        <v>5744</v>
      </c>
      <c r="G2911" s="23" t="s">
        <v>32</v>
      </c>
      <c r="H2911" s="24" t="s">
        <v>4119</v>
      </c>
      <c r="I2911" s="22"/>
      <c r="J2911" s="22" t="s">
        <v>132</v>
      </c>
      <c r="K2911" s="24"/>
      <c r="L2911" s="24"/>
      <c r="M2911" s="25" t="s">
        <v>5745</v>
      </c>
      <c r="N2911" s="22"/>
      <c r="O2911" s="22" t="s">
        <v>5746</v>
      </c>
      <c r="P2911" s="22" t="str">
        <f>HYPERLINK("https://ceds.ed.gov/cedselementdetails.aspx?termid=21206")</f>
        <v>https://ceds.ed.gov/cedselementdetails.aspx?termid=21206</v>
      </c>
      <c r="Q2911" s="22">
        <v>60862</v>
      </c>
    </row>
    <row r="2912" spans="1:17" ht="115.2" x14ac:dyDescent="0.3">
      <c r="A2912" s="22" t="s">
        <v>7866</v>
      </c>
      <c r="B2912" s="22" t="s">
        <v>7867</v>
      </c>
      <c r="C2912" s="22" t="s">
        <v>7739</v>
      </c>
      <c r="D2912" s="22" t="s">
        <v>7710</v>
      </c>
      <c r="E2912" s="22" t="s">
        <v>5747</v>
      </c>
      <c r="F2912" s="24" t="s">
        <v>5748</v>
      </c>
      <c r="G2912" s="26" t="s">
        <v>9055</v>
      </c>
      <c r="H2912" s="24" t="s">
        <v>5751</v>
      </c>
      <c r="I2912" s="22"/>
      <c r="J2912" s="22" t="s">
        <v>85</v>
      </c>
      <c r="K2912" s="24"/>
      <c r="L2912" s="24"/>
      <c r="M2912" s="25" t="s">
        <v>5749</v>
      </c>
      <c r="N2912" s="22"/>
      <c r="O2912" s="22" t="s">
        <v>5750</v>
      </c>
      <c r="P2912" s="22" t="str">
        <f>HYPERLINK("https://ceds.ed.gov/cedselementdetails.aspx?termid=21627")</f>
        <v>https://ceds.ed.gov/cedselementdetails.aspx?termid=21627</v>
      </c>
      <c r="Q2912" s="22">
        <v>60863</v>
      </c>
    </row>
    <row r="2913" spans="1:17" ht="172.8" x14ac:dyDescent="0.3">
      <c r="A2913" s="22" t="s">
        <v>7866</v>
      </c>
      <c r="B2913" s="22" t="s">
        <v>7867</v>
      </c>
      <c r="C2913" s="22" t="s">
        <v>7740</v>
      </c>
      <c r="D2913" s="22" t="s">
        <v>7710</v>
      </c>
      <c r="E2913" s="22" t="s">
        <v>7040</v>
      </c>
      <c r="F2913" s="24" t="s">
        <v>7041</v>
      </c>
      <c r="G2913" s="23" t="s">
        <v>32</v>
      </c>
      <c r="H2913" s="24" t="s">
        <v>7039</v>
      </c>
      <c r="I2913" s="22" t="s">
        <v>172</v>
      </c>
      <c r="J2913" s="22" t="s">
        <v>132</v>
      </c>
      <c r="K2913" s="24" t="s">
        <v>7946</v>
      </c>
      <c r="L2913" s="24" t="s">
        <v>7945</v>
      </c>
      <c r="M2913" s="25" t="s">
        <v>7042</v>
      </c>
      <c r="N2913" s="22"/>
      <c r="O2913" s="22" t="s">
        <v>7043</v>
      </c>
      <c r="P2913" s="22" t="str">
        <f>HYPERLINK("https://ceds.ed.gov/cedselementdetails.aspx?termid=21157")</f>
        <v>https://ceds.ed.gov/cedselementdetails.aspx?termid=21157</v>
      </c>
      <c r="Q2913" s="22">
        <v>60883</v>
      </c>
    </row>
    <row r="2914" spans="1:17" ht="144" x14ac:dyDescent="0.3">
      <c r="A2914" s="22" t="s">
        <v>7866</v>
      </c>
      <c r="B2914" s="22" t="s">
        <v>7867</v>
      </c>
      <c r="C2914" s="22" t="s">
        <v>7740</v>
      </c>
      <c r="D2914" s="22" t="s">
        <v>7710</v>
      </c>
      <c r="E2914" s="22" t="s">
        <v>7035</v>
      </c>
      <c r="F2914" s="24" t="s">
        <v>7036</v>
      </c>
      <c r="G2914" s="26" t="s">
        <v>8540</v>
      </c>
      <c r="H2914" s="24" t="s">
        <v>7039</v>
      </c>
      <c r="I2914" s="22" t="s">
        <v>172</v>
      </c>
      <c r="J2914" s="22"/>
      <c r="K2914" s="24" t="s">
        <v>7946</v>
      </c>
      <c r="L2914" s="24"/>
      <c r="M2914" s="25" t="s">
        <v>7037</v>
      </c>
      <c r="N2914" s="22"/>
      <c r="O2914" s="22" t="s">
        <v>7038</v>
      </c>
      <c r="P2914" s="22" t="str">
        <f>HYPERLINK("https://ceds.ed.gov/cedselementdetails.aspx?termid=21163")</f>
        <v>https://ceds.ed.gov/cedselementdetails.aspx?termid=21163</v>
      </c>
      <c r="Q2914" s="22">
        <v>60884</v>
      </c>
    </row>
    <row r="2915" spans="1:17" ht="403.2" x14ac:dyDescent="0.3">
      <c r="A2915" s="22" t="s">
        <v>7866</v>
      </c>
      <c r="B2915" s="22" t="s">
        <v>7867</v>
      </c>
      <c r="C2915" s="22" t="s">
        <v>7740</v>
      </c>
      <c r="D2915" s="22" t="s">
        <v>7710</v>
      </c>
      <c r="E2915" s="22" t="s">
        <v>5856</v>
      </c>
      <c r="F2915" s="24" t="s">
        <v>5857</v>
      </c>
      <c r="G2915" s="26" t="s">
        <v>8498</v>
      </c>
      <c r="H2915" s="22"/>
      <c r="I2915" s="22" t="s">
        <v>172</v>
      </c>
      <c r="J2915" s="22"/>
      <c r="K2915" s="24" t="s">
        <v>7946</v>
      </c>
      <c r="L2915" s="24"/>
      <c r="M2915" s="25" t="s">
        <v>5858</v>
      </c>
      <c r="N2915" s="22"/>
      <c r="O2915" s="22" t="s">
        <v>5859</v>
      </c>
      <c r="P2915" s="22" t="str">
        <f>HYPERLINK("https://ceds.ed.gov/cedselementdetails.aspx?termid=21611")</f>
        <v>https://ceds.ed.gov/cedselementdetails.aspx?termid=21611</v>
      </c>
      <c r="Q2915" s="22">
        <v>60219</v>
      </c>
    </row>
    <row r="2916" spans="1:17" ht="72" x14ac:dyDescent="0.3">
      <c r="A2916" s="22" t="s">
        <v>7866</v>
      </c>
      <c r="B2916" s="22" t="s">
        <v>7867</v>
      </c>
      <c r="C2916" s="22" t="s">
        <v>7740</v>
      </c>
      <c r="D2916" s="22" t="s">
        <v>7710</v>
      </c>
      <c r="E2916" s="22" t="s">
        <v>7621</v>
      </c>
      <c r="F2916" s="24" t="s">
        <v>7622</v>
      </c>
      <c r="G2916" s="26" t="s">
        <v>8496</v>
      </c>
      <c r="H2916" s="22"/>
      <c r="I2916" s="22" t="s">
        <v>172</v>
      </c>
      <c r="J2916" s="22"/>
      <c r="K2916" s="24" t="s">
        <v>7946</v>
      </c>
      <c r="L2916" s="24"/>
      <c r="M2916" s="25" t="s">
        <v>7623</v>
      </c>
      <c r="N2916" s="22"/>
      <c r="O2916" s="22" t="s">
        <v>7624</v>
      </c>
      <c r="P2916" s="22" t="str">
        <f>HYPERLINK("https://ceds.ed.gov/cedselementdetails.aspx?termid=22951")</f>
        <v>https://ceds.ed.gov/cedselementdetails.aspx?termid=22951</v>
      </c>
      <c r="Q2916" s="22">
        <v>63492</v>
      </c>
    </row>
    <row r="2917" spans="1:17" ht="172.8" x14ac:dyDescent="0.3">
      <c r="A2917" s="22" t="s">
        <v>7866</v>
      </c>
      <c r="B2917" s="22" t="s">
        <v>7867</v>
      </c>
      <c r="C2917" s="22" t="s">
        <v>7716</v>
      </c>
      <c r="D2917" s="22" t="s">
        <v>7710</v>
      </c>
      <c r="E2917" s="22" t="s">
        <v>194</v>
      </c>
      <c r="F2917" s="24" t="s">
        <v>195</v>
      </c>
      <c r="G2917" s="26" t="s">
        <v>8575</v>
      </c>
      <c r="H2917" s="24" t="s">
        <v>198</v>
      </c>
      <c r="I2917" s="22"/>
      <c r="J2917" s="22" t="s">
        <v>85</v>
      </c>
      <c r="K2917" s="24"/>
      <c r="L2917" s="24"/>
      <c r="M2917" s="25" t="s">
        <v>196</v>
      </c>
      <c r="N2917" s="22"/>
      <c r="O2917" s="22" t="s">
        <v>197</v>
      </c>
      <c r="P2917" s="22" t="str">
        <f>HYPERLINK("https://ceds.ed.gov/cedselementdetails.aspx?termid=21358")</f>
        <v>https://ceds.ed.gov/cedselementdetails.aspx?termid=21358</v>
      </c>
      <c r="Q2917" s="22">
        <v>60872</v>
      </c>
    </row>
    <row r="2918" spans="1:17" ht="187.2" x14ac:dyDescent="0.3">
      <c r="A2918" s="22" t="s">
        <v>7866</v>
      </c>
      <c r="B2918" s="22" t="s">
        <v>7867</v>
      </c>
      <c r="C2918" s="22" t="s">
        <v>7716</v>
      </c>
      <c r="D2918" s="22" t="s">
        <v>7710</v>
      </c>
      <c r="E2918" s="22" t="s">
        <v>189</v>
      </c>
      <c r="F2918" s="24" t="s">
        <v>190</v>
      </c>
      <c r="G2918" s="23" t="s">
        <v>32</v>
      </c>
      <c r="H2918" s="24" t="s">
        <v>175</v>
      </c>
      <c r="I2918" s="22" t="s">
        <v>172</v>
      </c>
      <c r="J2918" s="22" t="s">
        <v>191</v>
      </c>
      <c r="K2918" s="24" t="s">
        <v>7946</v>
      </c>
      <c r="L2918" s="24"/>
      <c r="M2918" s="25" t="s">
        <v>192</v>
      </c>
      <c r="N2918" s="22"/>
      <c r="O2918" s="22" t="s">
        <v>193</v>
      </c>
      <c r="P2918" s="22" t="str">
        <f>HYPERLINK("https://ceds.ed.gov/cedselementdetails.aspx?termid=21269")</f>
        <v>https://ceds.ed.gov/cedselementdetails.aspx?termid=21269</v>
      </c>
      <c r="Q2918" s="22">
        <v>60873</v>
      </c>
    </row>
    <row r="2919" spans="1:17" ht="187.2" x14ac:dyDescent="0.3">
      <c r="A2919" s="22" t="s">
        <v>7866</v>
      </c>
      <c r="B2919" s="22" t="s">
        <v>7867</v>
      </c>
      <c r="C2919" s="22" t="s">
        <v>7716</v>
      </c>
      <c r="D2919" s="22" t="s">
        <v>7710</v>
      </c>
      <c r="E2919" s="22" t="s">
        <v>170</v>
      </c>
      <c r="F2919" s="24" t="s">
        <v>171</v>
      </c>
      <c r="G2919" s="23" t="s">
        <v>32</v>
      </c>
      <c r="H2919" s="24" t="s">
        <v>175</v>
      </c>
      <c r="I2919" s="22" t="s">
        <v>172</v>
      </c>
      <c r="J2919" s="22" t="s">
        <v>157</v>
      </c>
      <c r="K2919" s="24" t="s">
        <v>7946</v>
      </c>
      <c r="L2919" s="24"/>
      <c r="M2919" s="25" t="s">
        <v>173</v>
      </c>
      <c r="N2919" s="22"/>
      <c r="O2919" s="22" t="s">
        <v>174</v>
      </c>
      <c r="P2919" s="22" t="str">
        <f>HYPERLINK("https://ceds.ed.gov/cedselementdetails.aspx?termid=21019")</f>
        <v>https://ceds.ed.gov/cedselementdetails.aspx?termid=21019</v>
      </c>
      <c r="Q2919" s="22">
        <v>60874</v>
      </c>
    </row>
    <row r="2920" spans="1:17" ht="187.2" x14ac:dyDescent="0.3">
      <c r="A2920" s="22" t="s">
        <v>7866</v>
      </c>
      <c r="B2920" s="22" t="s">
        <v>7867</v>
      </c>
      <c r="C2920" s="22" t="s">
        <v>7716</v>
      </c>
      <c r="D2920" s="22" t="s">
        <v>7710</v>
      </c>
      <c r="E2920" s="22" t="s">
        <v>176</v>
      </c>
      <c r="F2920" s="24" t="s">
        <v>177</v>
      </c>
      <c r="G2920" s="23" t="s">
        <v>32</v>
      </c>
      <c r="H2920" s="24" t="s">
        <v>175</v>
      </c>
      <c r="I2920" s="22" t="s">
        <v>172</v>
      </c>
      <c r="J2920" s="22" t="s">
        <v>85</v>
      </c>
      <c r="K2920" s="24" t="s">
        <v>7946</v>
      </c>
      <c r="L2920" s="24"/>
      <c r="M2920" s="25" t="s">
        <v>178</v>
      </c>
      <c r="N2920" s="22"/>
      <c r="O2920" s="22" t="s">
        <v>179</v>
      </c>
      <c r="P2920" s="22" t="str">
        <f>HYPERLINK("https://ceds.ed.gov/cedselementdetails.aspx?termid=21040")</f>
        <v>https://ceds.ed.gov/cedselementdetails.aspx?termid=21040</v>
      </c>
      <c r="Q2920" s="22">
        <v>60875</v>
      </c>
    </row>
    <row r="2921" spans="1:17" ht="409.6" x14ac:dyDescent="0.3">
      <c r="A2921" s="22" t="s">
        <v>7866</v>
      </c>
      <c r="B2921" s="22" t="s">
        <v>7867</v>
      </c>
      <c r="C2921" s="22" t="s">
        <v>7716</v>
      </c>
      <c r="D2921" s="22" t="s">
        <v>7710</v>
      </c>
      <c r="E2921" s="22" t="s">
        <v>6941</v>
      </c>
      <c r="F2921" s="24" t="s">
        <v>6942</v>
      </c>
      <c r="G2921" s="26" t="s">
        <v>8533</v>
      </c>
      <c r="H2921" s="24" t="s">
        <v>6945</v>
      </c>
      <c r="I2921" s="22" t="s">
        <v>172</v>
      </c>
      <c r="J2921" s="22"/>
      <c r="K2921" s="24" t="s">
        <v>8327</v>
      </c>
      <c r="L2921" s="24"/>
      <c r="M2921" s="25" t="s">
        <v>6943</v>
      </c>
      <c r="N2921" s="22"/>
      <c r="O2921" s="22" t="s">
        <v>6944</v>
      </c>
      <c r="P2921" s="22" t="str">
        <f>HYPERLINK("https://ceds.ed.gov/cedselementdetails.aspx?termid=21267")</f>
        <v>https://ceds.ed.gov/cedselementdetails.aspx?termid=21267</v>
      </c>
      <c r="Q2921" s="22">
        <v>60876</v>
      </c>
    </row>
    <row r="2922" spans="1:17" ht="187.2" x14ac:dyDescent="0.3">
      <c r="A2922" s="22" t="s">
        <v>7866</v>
      </c>
      <c r="B2922" s="22" t="s">
        <v>7867</v>
      </c>
      <c r="C2922" s="22" t="s">
        <v>7716</v>
      </c>
      <c r="D2922" s="22" t="s">
        <v>7710</v>
      </c>
      <c r="E2922" s="22" t="s">
        <v>184</v>
      </c>
      <c r="F2922" s="24" t="s">
        <v>185</v>
      </c>
      <c r="G2922" s="23" t="s">
        <v>32</v>
      </c>
      <c r="H2922" s="24" t="s">
        <v>175</v>
      </c>
      <c r="I2922" s="22" t="s">
        <v>172</v>
      </c>
      <c r="J2922" s="22" t="s">
        <v>186</v>
      </c>
      <c r="K2922" s="24" t="s">
        <v>7946</v>
      </c>
      <c r="L2922" s="24"/>
      <c r="M2922" s="25" t="s">
        <v>187</v>
      </c>
      <c r="N2922" s="22"/>
      <c r="O2922" s="22" t="s">
        <v>188</v>
      </c>
      <c r="P2922" s="22" t="str">
        <f>HYPERLINK("https://ceds.ed.gov/cedselementdetails.aspx?termid=21214")</f>
        <v>https://ceds.ed.gov/cedselementdetails.aspx?termid=21214</v>
      </c>
      <c r="Q2922" s="22">
        <v>60877</v>
      </c>
    </row>
    <row r="2923" spans="1:17" ht="187.2" x14ac:dyDescent="0.3">
      <c r="A2923" s="22" t="s">
        <v>7866</v>
      </c>
      <c r="B2923" s="22" t="s">
        <v>7867</v>
      </c>
      <c r="C2923" s="22" t="s">
        <v>7716</v>
      </c>
      <c r="D2923" s="22" t="s">
        <v>7710</v>
      </c>
      <c r="E2923" s="22" t="s">
        <v>180</v>
      </c>
      <c r="F2923" s="24" t="s">
        <v>181</v>
      </c>
      <c r="G2923" s="23" t="s">
        <v>32</v>
      </c>
      <c r="H2923" s="24" t="s">
        <v>175</v>
      </c>
      <c r="I2923" s="22" t="s">
        <v>172</v>
      </c>
      <c r="J2923" s="22" t="s">
        <v>85</v>
      </c>
      <c r="K2923" s="24" t="s">
        <v>7946</v>
      </c>
      <c r="L2923" s="24"/>
      <c r="M2923" s="25" t="s">
        <v>182</v>
      </c>
      <c r="N2923" s="22"/>
      <c r="O2923" s="22" t="s">
        <v>183</v>
      </c>
      <c r="P2923" s="22" t="str">
        <f>HYPERLINK("https://ceds.ed.gov/cedselementdetails.aspx?termid=21190")</f>
        <v>https://ceds.ed.gov/cedselementdetails.aspx?termid=21190</v>
      </c>
      <c r="Q2923" s="22">
        <v>60137</v>
      </c>
    </row>
    <row r="2924" spans="1:17" ht="409.6" x14ac:dyDescent="0.3">
      <c r="A2924" s="22" t="s">
        <v>7866</v>
      </c>
      <c r="B2924" s="22" t="s">
        <v>7867</v>
      </c>
      <c r="C2924" s="22" t="s">
        <v>7716</v>
      </c>
      <c r="D2924" s="22" t="s">
        <v>7710</v>
      </c>
      <c r="E2924" s="22" t="s">
        <v>2526</v>
      </c>
      <c r="F2924" s="24" t="s">
        <v>2527</v>
      </c>
      <c r="G2924" s="26" t="s">
        <v>8743</v>
      </c>
      <c r="H2924" s="24" t="s">
        <v>2530</v>
      </c>
      <c r="I2924" s="22"/>
      <c r="J2924" s="22"/>
      <c r="K2924" s="24"/>
      <c r="L2924" s="24" t="s">
        <v>8055</v>
      </c>
      <c r="M2924" s="25" t="s">
        <v>2528</v>
      </c>
      <c r="N2924" s="22"/>
      <c r="O2924" s="22" t="s">
        <v>2529</v>
      </c>
      <c r="P2924" s="22" t="str">
        <f>HYPERLINK("https://ceds.ed.gov/cedselementdetails.aspx?termid=21050")</f>
        <v>https://ceds.ed.gov/cedselementdetails.aspx?termid=21050</v>
      </c>
      <c r="Q2924" s="22">
        <v>60136</v>
      </c>
    </row>
    <row r="2925" spans="1:17" ht="57.6" x14ac:dyDescent="0.3">
      <c r="A2925" s="22" t="s">
        <v>7866</v>
      </c>
      <c r="B2925" s="22" t="s">
        <v>7867</v>
      </c>
      <c r="C2925" s="22" t="s">
        <v>7716</v>
      </c>
      <c r="D2925" s="22" t="s">
        <v>7710</v>
      </c>
      <c r="E2925" s="22" t="s">
        <v>4982</v>
      </c>
      <c r="F2925" s="24" t="s">
        <v>4983</v>
      </c>
      <c r="G2925" s="23" t="s">
        <v>32</v>
      </c>
      <c r="H2925" s="22"/>
      <c r="I2925" s="22"/>
      <c r="J2925" s="22" t="s">
        <v>1165</v>
      </c>
      <c r="K2925" s="24"/>
      <c r="L2925" s="24"/>
      <c r="M2925" s="25" t="s">
        <v>4984</v>
      </c>
      <c r="N2925" s="22"/>
      <c r="O2925" s="22" t="s">
        <v>4982</v>
      </c>
      <c r="P2925" s="22" t="str">
        <f>HYPERLINK("https://ceds.ed.gov/cedselementdetails.aspx?termid=21599")</f>
        <v>https://ceds.ed.gov/cedselementdetails.aspx?termid=21599</v>
      </c>
      <c r="Q2925" s="22">
        <v>62265</v>
      </c>
    </row>
    <row r="2926" spans="1:17" ht="57.6" x14ac:dyDescent="0.3">
      <c r="A2926" s="22" t="s">
        <v>7866</v>
      </c>
      <c r="B2926" s="22" t="s">
        <v>7867</v>
      </c>
      <c r="C2926" s="22" t="s">
        <v>7716</v>
      </c>
      <c r="D2926" s="22" t="s">
        <v>7710</v>
      </c>
      <c r="E2926" s="22" t="s">
        <v>5372</v>
      </c>
      <c r="F2926" s="24" t="s">
        <v>5373</v>
      </c>
      <c r="G2926" s="23" t="s">
        <v>32</v>
      </c>
      <c r="H2926" s="22"/>
      <c r="I2926" s="22"/>
      <c r="J2926" s="22" t="s">
        <v>1165</v>
      </c>
      <c r="K2926" s="24"/>
      <c r="L2926" s="24"/>
      <c r="M2926" s="25" t="s">
        <v>5374</v>
      </c>
      <c r="N2926" s="22"/>
      <c r="O2926" s="22" t="s">
        <v>5372</v>
      </c>
      <c r="P2926" s="22" t="str">
        <f>HYPERLINK("https://ceds.ed.gov/cedselementdetails.aspx?termid=21600")</f>
        <v>https://ceds.ed.gov/cedselementdetails.aspx?termid=21600</v>
      </c>
      <c r="Q2926" s="22">
        <v>62288</v>
      </c>
    </row>
    <row r="2927" spans="1:17" ht="158.4" x14ac:dyDescent="0.3">
      <c r="A2927" s="22" t="s">
        <v>7866</v>
      </c>
      <c r="B2927" s="22" t="s">
        <v>7867</v>
      </c>
      <c r="C2927" s="22" t="s">
        <v>7716</v>
      </c>
      <c r="D2927" s="22" t="s">
        <v>7710</v>
      </c>
      <c r="E2927" s="22" t="s">
        <v>2536</v>
      </c>
      <c r="F2927" s="24" t="s">
        <v>2537</v>
      </c>
      <c r="G2927" s="23" t="s">
        <v>32</v>
      </c>
      <c r="H2927" s="22"/>
      <c r="I2927" s="22"/>
      <c r="J2927" s="22" t="s">
        <v>2538</v>
      </c>
      <c r="K2927" s="24"/>
      <c r="L2927" s="24"/>
      <c r="M2927" s="25" t="s">
        <v>2539</v>
      </c>
      <c r="N2927" s="22"/>
      <c r="O2927" s="22" t="s">
        <v>2540</v>
      </c>
      <c r="P2927" s="22" t="str">
        <f>HYPERLINK("https://ceds.ed.gov/cedselementdetails.aspx?termid=22176")</f>
        <v>https://ceds.ed.gov/cedselementdetails.aspx?termid=22176</v>
      </c>
      <c r="Q2927" s="22">
        <v>63245</v>
      </c>
    </row>
    <row r="2928" spans="1:17" ht="57.6" x14ac:dyDescent="0.3">
      <c r="A2928" s="22" t="s">
        <v>7866</v>
      </c>
      <c r="B2928" s="22" t="s">
        <v>7867</v>
      </c>
      <c r="C2928" s="22" t="s">
        <v>7716</v>
      </c>
      <c r="D2928" s="22" t="s">
        <v>7710</v>
      </c>
      <c r="E2928" s="22" t="s">
        <v>3228</v>
      </c>
      <c r="F2928" s="24" t="s">
        <v>3229</v>
      </c>
      <c r="G2928" s="26" t="s">
        <v>3039</v>
      </c>
      <c r="H2928" s="22"/>
      <c r="I2928" s="22" t="s">
        <v>172</v>
      </c>
      <c r="J2928" s="22"/>
      <c r="K2928" s="24" t="s">
        <v>7946</v>
      </c>
      <c r="L2928" s="24"/>
      <c r="M2928" s="25" t="s">
        <v>3230</v>
      </c>
      <c r="N2928" s="22"/>
      <c r="O2928" s="22" t="s">
        <v>3231</v>
      </c>
      <c r="P2928" s="22" t="str">
        <f>HYPERLINK("https://ceds.ed.gov/cedselementdetails.aspx?termid=22905")</f>
        <v>https://ceds.ed.gov/cedselementdetails.aspx?termid=22905</v>
      </c>
      <c r="Q2928" s="22">
        <v>63246</v>
      </c>
    </row>
    <row r="2929" spans="1:17" ht="72" x14ac:dyDescent="0.3">
      <c r="A2929" s="22" t="s">
        <v>7866</v>
      </c>
      <c r="B2929" s="22" t="s">
        <v>7867</v>
      </c>
      <c r="C2929" s="22" t="s">
        <v>7717</v>
      </c>
      <c r="D2929" s="22" t="s">
        <v>7710</v>
      </c>
      <c r="E2929" s="22" t="s">
        <v>7159</v>
      </c>
      <c r="F2929" s="24" t="s">
        <v>7160</v>
      </c>
      <c r="G2929" s="23" t="s">
        <v>32</v>
      </c>
      <c r="H2929" s="24" t="s">
        <v>64</v>
      </c>
      <c r="I2929" s="22"/>
      <c r="J2929" s="22" t="s">
        <v>7161</v>
      </c>
      <c r="K2929" s="24"/>
      <c r="L2929" s="24"/>
      <c r="M2929" s="25" t="s">
        <v>7162</v>
      </c>
      <c r="N2929" s="22"/>
      <c r="O2929" s="22" t="s">
        <v>7163</v>
      </c>
      <c r="P2929" s="22" t="str">
        <f>HYPERLINK("https://ceds.ed.gov/cedselementdetails.aspx?termid=21279")</f>
        <v>https://ceds.ed.gov/cedselementdetails.aspx?termid=21279</v>
      </c>
      <c r="Q2929" s="22">
        <v>60880</v>
      </c>
    </row>
    <row r="2930" spans="1:17" ht="86.4" x14ac:dyDescent="0.3">
      <c r="A2930" s="22" t="s">
        <v>7866</v>
      </c>
      <c r="B2930" s="22" t="s">
        <v>7867</v>
      </c>
      <c r="C2930" s="22" t="s">
        <v>7717</v>
      </c>
      <c r="D2930" s="22" t="s">
        <v>7710</v>
      </c>
      <c r="E2930" s="22" t="s">
        <v>7168</v>
      </c>
      <c r="F2930" s="24" t="s">
        <v>7169</v>
      </c>
      <c r="G2930" s="26" t="s">
        <v>9168</v>
      </c>
      <c r="H2930" s="24" t="s">
        <v>64</v>
      </c>
      <c r="I2930" s="22"/>
      <c r="J2930" s="22" t="s">
        <v>2543</v>
      </c>
      <c r="K2930" s="24"/>
      <c r="L2930" s="24"/>
      <c r="M2930" s="25" t="s">
        <v>7170</v>
      </c>
      <c r="N2930" s="22"/>
      <c r="O2930" s="22" t="s">
        <v>7171</v>
      </c>
      <c r="P2930" s="22" t="str">
        <f>HYPERLINK("https://ceds.ed.gov/cedselementdetails.aspx?termid=21280")</f>
        <v>https://ceds.ed.gov/cedselementdetails.aspx?termid=21280</v>
      </c>
      <c r="Q2930" s="22">
        <v>60878</v>
      </c>
    </row>
    <row r="2931" spans="1:17" ht="72" x14ac:dyDescent="0.3">
      <c r="A2931" s="22" t="s">
        <v>7866</v>
      </c>
      <c r="B2931" s="22" t="s">
        <v>7867</v>
      </c>
      <c r="C2931" s="22" t="s">
        <v>7717</v>
      </c>
      <c r="D2931" s="22" t="s">
        <v>7710</v>
      </c>
      <c r="E2931" s="22" t="s">
        <v>5965</v>
      </c>
      <c r="F2931" s="24" t="s">
        <v>5966</v>
      </c>
      <c r="G2931" s="26" t="s">
        <v>22</v>
      </c>
      <c r="H2931" s="24" t="s">
        <v>64</v>
      </c>
      <c r="I2931" s="22"/>
      <c r="J2931" s="22"/>
      <c r="K2931" s="24"/>
      <c r="L2931" s="24"/>
      <c r="M2931" s="25" t="s">
        <v>5967</v>
      </c>
      <c r="N2931" s="22"/>
      <c r="O2931" s="22" t="s">
        <v>5968</v>
      </c>
      <c r="P2931" s="22" t="str">
        <f>HYPERLINK("https://ceds.ed.gov/cedselementdetails.aspx?termid=21219")</f>
        <v>https://ceds.ed.gov/cedselementdetails.aspx?termid=21219</v>
      </c>
      <c r="Q2931" s="22">
        <v>60879</v>
      </c>
    </row>
    <row r="2932" spans="1:17" ht="57.6" x14ac:dyDescent="0.3">
      <c r="A2932" s="22" t="s">
        <v>7866</v>
      </c>
      <c r="B2932" s="22" t="s">
        <v>7867</v>
      </c>
      <c r="C2932" s="22" t="s">
        <v>7717</v>
      </c>
      <c r="D2932" s="22" t="s">
        <v>7710</v>
      </c>
      <c r="E2932" s="22" t="s">
        <v>3228</v>
      </c>
      <c r="F2932" s="24" t="s">
        <v>3229</v>
      </c>
      <c r="G2932" s="26" t="s">
        <v>3039</v>
      </c>
      <c r="H2932" s="22"/>
      <c r="I2932" s="22" t="s">
        <v>172</v>
      </c>
      <c r="J2932" s="22"/>
      <c r="K2932" s="24" t="s">
        <v>7946</v>
      </c>
      <c r="L2932" s="24"/>
      <c r="M2932" s="25" t="s">
        <v>3230</v>
      </c>
      <c r="N2932" s="22"/>
      <c r="O2932" s="22" t="s">
        <v>3231</v>
      </c>
      <c r="P2932" s="22" t="str">
        <f>HYPERLINK("https://ceds.ed.gov/cedselementdetails.aspx?termid=22905")</f>
        <v>https://ceds.ed.gov/cedselementdetails.aspx?termid=22905</v>
      </c>
      <c r="Q2932" s="22">
        <v>63248</v>
      </c>
    </row>
    <row r="2933" spans="1:17" ht="57.6" x14ac:dyDescent="0.3">
      <c r="A2933" s="22" t="s">
        <v>7866</v>
      </c>
      <c r="B2933" s="22" t="s">
        <v>7867</v>
      </c>
      <c r="C2933" s="22" t="s">
        <v>7717</v>
      </c>
      <c r="D2933" s="22" t="s">
        <v>7710</v>
      </c>
      <c r="E2933" s="22" t="s">
        <v>7164</v>
      </c>
      <c r="F2933" s="24" t="s">
        <v>7165</v>
      </c>
      <c r="G2933" s="26" t="s">
        <v>9167</v>
      </c>
      <c r="H2933" s="22"/>
      <c r="I2933" s="22"/>
      <c r="J2933" s="22"/>
      <c r="K2933" s="24"/>
      <c r="L2933" s="24"/>
      <c r="M2933" s="25" t="s">
        <v>7166</v>
      </c>
      <c r="N2933" s="22"/>
      <c r="O2933" s="22" t="s">
        <v>7167</v>
      </c>
      <c r="P2933" s="22" t="str">
        <f>HYPERLINK("https://ceds.ed.gov/cedselementdetails.aspx?termid=22911")</f>
        <v>https://ceds.ed.gov/cedselementdetails.aspx?termid=22911</v>
      </c>
      <c r="Q2933" s="22">
        <v>63249</v>
      </c>
    </row>
    <row r="2934" spans="1:17" ht="72" x14ac:dyDescent="0.3">
      <c r="A2934" s="22" t="s">
        <v>7866</v>
      </c>
      <c r="B2934" s="22" t="s">
        <v>7867</v>
      </c>
      <c r="C2934" s="22" t="s">
        <v>7718</v>
      </c>
      <c r="D2934" s="22" t="s">
        <v>7710</v>
      </c>
      <c r="E2934" s="22" t="s">
        <v>3461</v>
      </c>
      <c r="F2934" s="24" t="s">
        <v>3462</v>
      </c>
      <c r="G2934" s="23" t="s">
        <v>32</v>
      </c>
      <c r="H2934" s="24" t="s">
        <v>64</v>
      </c>
      <c r="I2934" s="22" t="s">
        <v>172</v>
      </c>
      <c r="J2934" s="22" t="s">
        <v>3463</v>
      </c>
      <c r="K2934" s="24" t="s">
        <v>7946</v>
      </c>
      <c r="L2934" s="24"/>
      <c r="M2934" s="25" t="s">
        <v>3464</v>
      </c>
      <c r="N2934" s="22" t="s">
        <v>3465</v>
      </c>
      <c r="O2934" s="22" t="s">
        <v>3466</v>
      </c>
      <c r="P2934" s="22" t="str">
        <f>HYPERLINK("https://ceds.ed.gov/cedselementdetails.aspx?termid=21088")</f>
        <v>https://ceds.ed.gov/cedselementdetails.aspx?termid=21088</v>
      </c>
      <c r="Q2934" s="22">
        <v>60882</v>
      </c>
    </row>
    <row r="2935" spans="1:17" ht="72" x14ac:dyDescent="0.3">
      <c r="A2935" s="22" t="s">
        <v>7866</v>
      </c>
      <c r="B2935" s="22" t="s">
        <v>7867</v>
      </c>
      <c r="C2935" s="22" t="s">
        <v>7718</v>
      </c>
      <c r="D2935" s="22" t="s">
        <v>7710</v>
      </c>
      <c r="E2935" s="22" t="s">
        <v>3467</v>
      </c>
      <c r="F2935" s="24" t="s">
        <v>3468</v>
      </c>
      <c r="G2935" s="26" t="s">
        <v>8430</v>
      </c>
      <c r="H2935" s="24" t="s">
        <v>64</v>
      </c>
      <c r="I2935" s="22" t="s">
        <v>172</v>
      </c>
      <c r="J2935" s="22"/>
      <c r="K2935" s="24" t="s">
        <v>7946</v>
      </c>
      <c r="L2935" s="24"/>
      <c r="M2935" s="25" t="s">
        <v>3469</v>
      </c>
      <c r="N2935" s="22" t="s">
        <v>3470</v>
      </c>
      <c r="O2935" s="22" t="s">
        <v>3471</v>
      </c>
      <c r="P2935" s="22" t="str">
        <f>HYPERLINK("https://ceds.ed.gov/cedselementdetails.aspx?termid=21089")</f>
        <v>https://ceds.ed.gov/cedselementdetails.aspx?termid=21089</v>
      </c>
      <c r="Q2935" s="22">
        <v>60881</v>
      </c>
    </row>
    <row r="2936" spans="1:17" ht="57.6" x14ac:dyDescent="0.3">
      <c r="A2936" s="22" t="s">
        <v>7866</v>
      </c>
      <c r="B2936" s="22" t="s">
        <v>7867</v>
      </c>
      <c r="C2936" s="22" t="s">
        <v>7718</v>
      </c>
      <c r="D2936" s="22" t="s">
        <v>7710</v>
      </c>
      <c r="E2936" s="22" t="s">
        <v>3228</v>
      </c>
      <c r="F2936" s="24" t="s">
        <v>3229</v>
      </c>
      <c r="G2936" s="26" t="s">
        <v>3039</v>
      </c>
      <c r="H2936" s="22"/>
      <c r="I2936" s="22" t="s">
        <v>172</v>
      </c>
      <c r="J2936" s="22"/>
      <c r="K2936" s="24" t="s">
        <v>7946</v>
      </c>
      <c r="L2936" s="24"/>
      <c r="M2936" s="25" t="s">
        <v>3230</v>
      </c>
      <c r="N2936" s="22"/>
      <c r="O2936" s="22" t="s">
        <v>3231</v>
      </c>
      <c r="P2936" s="22" t="str">
        <f>HYPERLINK("https://ceds.ed.gov/cedselementdetails.aspx?termid=22905")</f>
        <v>https://ceds.ed.gov/cedselementdetails.aspx?termid=22905</v>
      </c>
      <c r="Q2936" s="22">
        <v>63247</v>
      </c>
    </row>
    <row r="2937" spans="1:17" ht="201.6" x14ac:dyDescent="0.3">
      <c r="A2937" s="22" t="s">
        <v>7866</v>
      </c>
      <c r="B2937" s="22" t="s">
        <v>7867</v>
      </c>
      <c r="C2937" s="22" t="s">
        <v>7742</v>
      </c>
      <c r="D2937" s="22" t="s">
        <v>7710</v>
      </c>
      <c r="E2937" s="22" t="s">
        <v>1544</v>
      </c>
      <c r="F2937" s="24" t="s">
        <v>1545</v>
      </c>
      <c r="G2937" s="23" t="s">
        <v>32</v>
      </c>
      <c r="H2937" s="24" t="s">
        <v>1547</v>
      </c>
      <c r="I2937" s="22"/>
      <c r="J2937" s="22" t="s">
        <v>118</v>
      </c>
      <c r="K2937" s="24"/>
      <c r="L2937" s="24"/>
      <c r="M2937" s="25" t="s">
        <v>1546</v>
      </c>
      <c r="N2937" s="22"/>
      <c r="O2937" s="22" t="s">
        <v>1544</v>
      </c>
      <c r="P2937" s="22" t="str">
        <f>HYPERLINK("https://ceds.ed.gov/cedselementdetails.aspx?termid=21033")</f>
        <v>https://ceds.ed.gov/cedselementdetails.aspx?termid=21033</v>
      </c>
      <c r="Q2937" s="22">
        <v>60864</v>
      </c>
    </row>
    <row r="2938" spans="1:17" ht="216" x14ac:dyDescent="0.3">
      <c r="A2938" s="22" t="s">
        <v>7866</v>
      </c>
      <c r="B2938" s="22" t="s">
        <v>7867</v>
      </c>
      <c r="C2938" s="22" t="s">
        <v>7742</v>
      </c>
      <c r="D2938" s="22" t="s">
        <v>7710</v>
      </c>
      <c r="E2938" s="22" t="s">
        <v>6763</v>
      </c>
      <c r="F2938" s="24" t="s">
        <v>6764</v>
      </c>
      <c r="G2938" s="26" t="s">
        <v>9142</v>
      </c>
      <c r="H2938" s="24" t="s">
        <v>6767</v>
      </c>
      <c r="I2938" s="22"/>
      <c r="J2938" s="22"/>
      <c r="K2938" s="24"/>
      <c r="L2938" s="24" t="s">
        <v>6765</v>
      </c>
      <c r="M2938" s="25" t="s">
        <v>6766</v>
      </c>
      <c r="N2938" s="22"/>
      <c r="O2938" s="22" t="s">
        <v>6763</v>
      </c>
      <c r="P2938" s="22" t="str">
        <f>HYPERLINK("https://ceds.ed.gov/cedselementdetails.aspx?termid=21255")</f>
        <v>https://ceds.ed.gov/cedselementdetails.aspx?termid=21255</v>
      </c>
      <c r="Q2938" s="22">
        <v>60865</v>
      </c>
    </row>
    <row r="2939" spans="1:17" ht="201.6" x14ac:dyDescent="0.3">
      <c r="A2939" s="22" t="s">
        <v>7866</v>
      </c>
      <c r="B2939" s="22" t="s">
        <v>7867</v>
      </c>
      <c r="C2939" s="22" t="s">
        <v>7742</v>
      </c>
      <c r="D2939" s="22" t="s">
        <v>7710</v>
      </c>
      <c r="E2939" s="22" t="s">
        <v>360</v>
      </c>
      <c r="F2939" s="24" t="s">
        <v>361</v>
      </c>
      <c r="G2939" s="26" t="s">
        <v>8601</v>
      </c>
      <c r="H2939" s="24" t="s">
        <v>365</v>
      </c>
      <c r="I2939" s="22"/>
      <c r="J2939" s="22"/>
      <c r="K2939" s="24"/>
      <c r="L2939" s="24" t="s">
        <v>7958</v>
      </c>
      <c r="M2939" s="25" t="s">
        <v>362</v>
      </c>
      <c r="N2939" s="22" t="s">
        <v>363</v>
      </c>
      <c r="O2939" s="22" t="s">
        <v>364</v>
      </c>
      <c r="P2939" s="22" t="str">
        <f>HYPERLINK("https://ceds.ed.gov/cedselementdetails.aspx?termid=21655")</f>
        <v>https://ceds.ed.gov/cedselementdetails.aspx?termid=21655</v>
      </c>
      <c r="Q2939" s="22">
        <v>60866</v>
      </c>
    </row>
    <row r="2940" spans="1:17" ht="201.6" x14ac:dyDescent="0.3">
      <c r="A2940" s="22" t="s">
        <v>7866</v>
      </c>
      <c r="B2940" s="22" t="s">
        <v>7867</v>
      </c>
      <c r="C2940" s="22" t="s">
        <v>7742</v>
      </c>
      <c r="D2940" s="22" t="s">
        <v>7710</v>
      </c>
      <c r="E2940" s="22" t="s">
        <v>400</v>
      </c>
      <c r="F2940" s="24" t="s">
        <v>401</v>
      </c>
      <c r="G2940" s="26" t="s">
        <v>8601</v>
      </c>
      <c r="H2940" s="24" t="s">
        <v>365</v>
      </c>
      <c r="I2940" s="22"/>
      <c r="J2940" s="22"/>
      <c r="K2940" s="24"/>
      <c r="L2940" s="24" t="s">
        <v>7958</v>
      </c>
      <c r="M2940" s="25" t="s">
        <v>402</v>
      </c>
      <c r="N2940" s="22" t="s">
        <v>403</v>
      </c>
      <c r="O2940" s="22" t="s">
        <v>400</v>
      </c>
      <c r="P2940" s="22" t="str">
        <f>HYPERLINK("https://ceds.ed.gov/cedselementdetails.aspx?termid=21656")</f>
        <v>https://ceds.ed.gov/cedselementdetails.aspx?termid=21656</v>
      </c>
      <c r="Q2940" s="22">
        <v>60867</v>
      </c>
    </row>
    <row r="2941" spans="1:17" ht="201.6" x14ac:dyDescent="0.3">
      <c r="A2941" s="22" t="s">
        <v>7866</v>
      </c>
      <c r="B2941" s="22" t="s">
        <v>7867</v>
      </c>
      <c r="C2941" s="22" t="s">
        <v>7742</v>
      </c>
      <c r="D2941" s="22" t="s">
        <v>7710</v>
      </c>
      <c r="E2941" s="22" t="s">
        <v>1554</v>
      </c>
      <c r="F2941" s="24" t="s">
        <v>1555</v>
      </c>
      <c r="G2941" s="26" t="s">
        <v>8601</v>
      </c>
      <c r="H2941" s="24" t="s">
        <v>365</v>
      </c>
      <c r="I2941" s="22"/>
      <c r="J2941" s="22"/>
      <c r="K2941" s="24"/>
      <c r="L2941" s="24" t="s">
        <v>7958</v>
      </c>
      <c r="M2941" s="25" t="s">
        <v>1556</v>
      </c>
      <c r="N2941" s="22" t="s">
        <v>1557</v>
      </c>
      <c r="O2941" s="22" t="s">
        <v>1558</v>
      </c>
      <c r="P2941" s="22" t="str">
        <f>HYPERLINK("https://ceds.ed.gov/cedselementdetails.aspx?termid=21657")</f>
        <v>https://ceds.ed.gov/cedselementdetails.aspx?termid=21657</v>
      </c>
      <c r="Q2941" s="22">
        <v>60868</v>
      </c>
    </row>
    <row r="2942" spans="1:17" ht="201.6" x14ac:dyDescent="0.3">
      <c r="A2942" s="22" t="s">
        <v>7866</v>
      </c>
      <c r="B2942" s="22" t="s">
        <v>7867</v>
      </c>
      <c r="C2942" s="22" t="s">
        <v>7742</v>
      </c>
      <c r="D2942" s="22" t="s">
        <v>7710</v>
      </c>
      <c r="E2942" s="22" t="s">
        <v>5548</v>
      </c>
      <c r="F2942" s="24" t="s">
        <v>5549</v>
      </c>
      <c r="G2942" s="26" t="s">
        <v>8601</v>
      </c>
      <c r="H2942" s="24" t="s">
        <v>365</v>
      </c>
      <c r="I2942" s="22"/>
      <c r="J2942" s="22"/>
      <c r="K2942" s="24"/>
      <c r="L2942" s="24" t="s">
        <v>7958</v>
      </c>
      <c r="M2942" s="25" t="s">
        <v>5550</v>
      </c>
      <c r="N2942" s="22" t="s">
        <v>5551</v>
      </c>
      <c r="O2942" s="22" t="s">
        <v>5552</v>
      </c>
      <c r="P2942" s="22" t="str">
        <f>HYPERLINK("https://ceds.ed.gov/cedselementdetails.aspx?termid=21658")</f>
        <v>https://ceds.ed.gov/cedselementdetails.aspx?termid=21658</v>
      </c>
      <c r="Q2942" s="22">
        <v>60869</v>
      </c>
    </row>
    <row r="2943" spans="1:17" ht="201.6" x14ac:dyDescent="0.3">
      <c r="A2943" s="22" t="s">
        <v>7866</v>
      </c>
      <c r="B2943" s="22" t="s">
        <v>7867</v>
      </c>
      <c r="C2943" s="22" t="s">
        <v>7742</v>
      </c>
      <c r="D2943" s="22" t="s">
        <v>7710</v>
      </c>
      <c r="E2943" s="22" t="s">
        <v>7390</v>
      </c>
      <c r="F2943" s="24" t="s">
        <v>7391</v>
      </c>
      <c r="G2943" s="26" t="s">
        <v>8601</v>
      </c>
      <c r="H2943" s="24" t="s">
        <v>365</v>
      </c>
      <c r="I2943" s="22"/>
      <c r="J2943" s="22"/>
      <c r="K2943" s="24"/>
      <c r="L2943" s="24" t="s">
        <v>7958</v>
      </c>
      <c r="M2943" s="25" t="s">
        <v>7392</v>
      </c>
      <c r="N2943" s="22" t="s">
        <v>7393</v>
      </c>
      <c r="O2943" s="22" t="s">
        <v>7390</v>
      </c>
      <c r="P2943" s="22" t="str">
        <f>HYPERLINK("https://ceds.ed.gov/cedselementdetails.aspx?termid=21659")</f>
        <v>https://ceds.ed.gov/cedselementdetails.aspx?termid=21659</v>
      </c>
      <c r="Q2943" s="22">
        <v>60870</v>
      </c>
    </row>
    <row r="2944" spans="1:17" ht="201.6" x14ac:dyDescent="0.3">
      <c r="A2944" s="22" t="s">
        <v>7866</v>
      </c>
      <c r="B2944" s="22" t="s">
        <v>7867</v>
      </c>
      <c r="C2944" s="22" t="s">
        <v>7742</v>
      </c>
      <c r="D2944" s="22" t="s">
        <v>7710</v>
      </c>
      <c r="E2944" s="22" t="s">
        <v>4347</v>
      </c>
      <c r="F2944" s="24" t="s">
        <v>4348</v>
      </c>
      <c r="G2944" s="26" t="s">
        <v>8601</v>
      </c>
      <c r="H2944" s="24" t="s">
        <v>365</v>
      </c>
      <c r="I2944" s="22"/>
      <c r="J2944" s="22"/>
      <c r="K2944" s="24"/>
      <c r="L2944" s="24" t="s">
        <v>7958</v>
      </c>
      <c r="M2944" s="25" t="s">
        <v>4349</v>
      </c>
      <c r="N2944" s="22"/>
      <c r="O2944" s="22" t="s">
        <v>4350</v>
      </c>
      <c r="P2944" s="22" t="str">
        <f>HYPERLINK("https://ceds.ed.gov/cedselementdetails.aspx?termid=21144")</f>
        <v>https://ceds.ed.gov/cedselementdetails.aspx?termid=21144</v>
      </c>
      <c r="Q2944" s="22">
        <v>60871</v>
      </c>
    </row>
    <row r="2945" spans="1:17" ht="72" x14ac:dyDescent="0.3">
      <c r="A2945" s="22" t="s">
        <v>7866</v>
      </c>
      <c r="B2945" s="22" t="s">
        <v>7867</v>
      </c>
      <c r="C2945" s="22" t="s">
        <v>7742</v>
      </c>
      <c r="D2945" s="22" t="s">
        <v>7710</v>
      </c>
      <c r="E2945" s="22" t="s">
        <v>3090</v>
      </c>
      <c r="F2945" s="24" t="s">
        <v>3091</v>
      </c>
      <c r="G2945" s="26" t="s">
        <v>22</v>
      </c>
      <c r="H2945" s="22"/>
      <c r="I2945" s="22"/>
      <c r="J2945" s="22"/>
      <c r="K2945" s="24"/>
      <c r="L2945" s="24" t="s">
        <v>3092</v>
      </c>
      <c r="M2945" s="25" t="s">
        <v>3093</v>
      </c>
      <c r="N2945" s="22"/>
      <c r="O2945" s="22" t="s">
        <v>3094</v>
      </c>
      <c r="P2945" s="22" t="str">
        <f>HYPERLINK("https://ceds.ed.gov/cedselementdetails.aspx?termid=21974")</f>
        <v>https://ceds.ed.gov/cedselementdetails.aspx?termid=21974</v>
      </c>
      <c r="Q2945" s="22">
        <v>63158</v>
      </c>
    </row>
    <row r="2946" spans="1:17" ht="409.6" x14ac:dyDescent="0.3">
      <c r="A2946" s="22" t="s">
        <v>7866</v>
      </c>
      <c r="B2946" s="22" t="s">
        <v>7867</v>
      </c>
      <c r="C2946" s="22" t="s">
        <v>7742</v>
      </c>
      <c r="D2946" s="22" t="s">
        <v>7710</v>
      </c>
      <c r="E2946" s="22" t="s">
        <v>2531</v>
      </c>
      <c r="F2946" s="24" t="s">
        <v>2532</v>
      </c>
      <c r="G2946" s="26" t="s">
        <v>8743</v>
      </c>
      <c r="H2946" s="24" t="s">
        <v>2535</v>
      </c>
      <c r="I2946" s="22"/>
      <c r="J2946" s="22"/>
      <c r="K2946" s="24"/>
      <c r="L2946" s="24" t="s">
        <v>8055</v>
      </c>
      <c r="M2946" s="25" t="s">
        <v>2533</v>
      </c>
      <c r="N2946" s="22"/>
      <c r="O2946" s="22" t="s">
        <v>2534</v>
      </c>
      <c r="P2946" s="22" t="str">
        <f>HYPERLINK("https://ceds.ed.gov/cedselementdetails.aspx?termid=21051")</f>
        <v>https://ceds.ed.gov/cedselementdetails.aspx?termid=21051</v>
      </c>
      <c r="Q2946" s="22">
        <v>63250</v>
      </c>
    </row>
    <row r="2947" spans="1:17" ht="115.2" x14ac:dyDescent="0.3">
      <c r="A2947" s="22" t="s">
        <v>7866</v>
      </c>
      <c r="B2947" s="22" t="s">
        <v>7867</v>
      </c>
      <c r="C2947" s="22" t="s">
        <v>7742</v>
      </c>
      <c r="D2947" s="22" t="s">
        <v>7710</v>
      </c>
      <c r="E2947" s="22" t="s">
        <v>6924</v>
      </c>
      <c r="F2947" s="24" t="s">
        <v>8326</v>
      </c>
      <c r="G2947" s="23" t="s">
        <v>32</v>
      </c>
      <c r="H2947" s="22" t="s">
        <v>69</v>
      </c>
      <c r="I2947" s="22"/>
      <c r="J2947" s="22" t="s">
        <v>6925</v>
      </c>
      <c r="K2947" s="24"/>
      <c r="L2947" s="24"/>
      <c r="M2947" s="25" t="s">
        <v>6926</v>
      </c>
      <c r="N2947" s="22"/>
      <c r="O2947" s="22" t="s">
        <v>6927</v>
      </c>
      <c r="P2947" s="22" t="str">
        <f>HYPERLINK("https://ceds.ed.gov/cedselementdetails.aspx?termid=21707")</f>
        <v>https://ceds.ed.gov/cedselementdetails.aspx?termid=21707</v>
      </c>
      <c r="Q2947" s="22">
        <v>63251</v>
      </c>
    </row>
    <row r="2948" spans="1:17" ht="57.6" x14ac:dyDescent="0.3">
      <c r="A2948" s="22" t="s">
        <v>7866</v>
      </c>
      <c r="B2948" s="22" t="s">
        <v>7867</v>
      </c>
      <c r="C2948" s="22" t="s">
        <v>7742</v>
      </c>
      <c r="D2948" s="22" t="s">
        <v>7710</v>
      </c>
      <c r="E2948" s="22" t="s">
        <v>7288</v>
      </c>
      <c r="F2948" s="24" t="s">
        <v>7289</v>
      </c>
      <c r="G2948" s="23" t="s">
        <v>7423</v>
      </c>
      <c r="H2948" s="22"/>
      <c r="I2948" s="22"/>
      <c r="J2948" s="22"/>
      <c r="K2948" s="24"/>
      <c r="L2948" s="24"/>
      <c r="M2948" s="25" t="s">
        <v>7290</v>
      </c>
      <c r="N2948" s="22"/>
      <c r="O2948" s="22" t="s">
        <v>7291</v>
      </c>
      <c r="P2948" s="22" t="str">
        <f>HYPERLINK("https://ceds.ed.gov/cedselementdetails.aspx?termid=22638")</f>
        <v>https://ceds.ed.gov/cedselementdetails.aspx?termid=22638</v>
      </c>
      <c r="Q2948" s="22">
        <v>63252</v>
      </c>
    </row>
    <row r="2949" spans="1:17" ht="57.6" x14ac:dyDescent="0.3">
      <c r="A2949" s="22" t="s">
        <v>7866</v>
      </c>
      <c r="B2949" s="22" t="s">
        <v>7867</v>
      </c>
      <c r="C2949" s="22" t="s">
        <v>7742</v>
      </c>
      <c r="D2949" s="22" t="s">
        <v>7710</v>
      </c>
      <c r="E2949" s="22" t="s">
        <v>7528</v>
      </c>
      <c r="F2949" s="24" t="s">
        <v>7529</v>
      </c>
      <c r="G2949" s="26" t="s">
        <v>22</v>
      </c>
      <c r="H2949" s="22"/>
      <c r="I2949" s="22"/>
      <c r="J2949" s="22"/>
      <c r="K2949" s="24"/>
      <c r="L2949" s="24"/>
      <c r="M2949" s="25" t="s">
        <v>7530</v>
      </c>
      <c r="N2949" s="22"/>
      <c r="O2949" s="22" t="s">
        <v>7531</v>
      </c>
      <c r="P2949" s="22" t="str">
        <f>HYPERLINK("https://ceds.ed.gov/cedselementdetails.aspx?termid=22932")</f>
        <v>https://ceds.ed.gov/cedselementdetails.aspx?termid=22932</v>
      </c>
      <c r="Q2949" s="22">
        <v>63486</v>
      </c>
    </row>
    <row r="2950" spans="1:17" ht="115.2" x14ac:dyDescent="0.3">
      <c r="A2950" s="22" t="s">
        <v>7866</v>
      </c>
      <c r="B2950" s="22" t="s">
        <v>7867</v>
      </c>
      <c r="C2950" s="22" t="s">
        <v>7742</v>
      </c>
      <c r="D2950" s="22" t="s">
        <v>7710</v>
      </c>
      <c r="E2950" s="22" t="s">
        <v>7532</v>
      </c>
      <c r="F2950" s="24" t="s">
        <v>7533</v>
      </c>
      <c r="G2950" s="26" t="s">
        <v>3039</v>
      </c>
      <c r="H2950" s="22"/>
      <c r="I2950" s="22"/>
      <c r="J2950" s="22"/>
      <c r="K2950" s="24"/>
      <c r="L2950" s="24"/>
      <c r="M2950" s="25" t="s">
        <v>7534</v>
      </c>
      <c r="N2950" s="22"/>
      <c r="O2950" s="22" t="s">
        <v>7535</v>
      </c>
      <c r="P2950" s="22" t="str">
        <f>HYPERLINK("https://ceds.ed.gov/cedselementdetails.aspx?termid=22933")</f>
        <v>https://ceds.ed.gov/cedselementdetails.aspx?termid=22933</v>
      </c>
      <c r="Q2950" s="22">
        <v>63487</v>
      </c>
    </row>
    <row r="2951" spans="1:17" ht="144" x14ac:dyDescent="0.3">
      <c r="A2951" s="22" t="s">
        <v>7866</v>
      </c>
      <c r="B2951" s="22" t="s">
        <v>7867</v>
      </c>
      <c r="C2951" s="22" t="s">
        <v>7742</v>
      </c>
      <c r="D2951" s="22" t="s">
        <v>7710</v>
      </c>
      <c r="E2951" s="22" t="s">
        <v>7640</v>
      </c>
      <c r="F2951" s="24" t="s">
        <v>7641</v>
      </c>
      <c r="G2951" s="26" t="s">
        <v>9121</v>
      </c>
      <c r="H2951" s="22"/>
      <c r="I2951" s="22"/>
      <c r="J2951" s="22"/>
      <c r="K2951" s="24"/>
      <c r="L2951" s="24" t="s">
        <v>7642</v>
      </c>
      <c r="M2951" s="25" t="s">
        <v>7643</v>
      </c>
      <c r="N2951" s="22"/>
      <c r="O2951" s="22" t="s">
        <v>7640</v>
      </c>
      <c r="P2951" s="22" t="str">
        <f>HYPERLINK("https://ceds.ed.gov/cedselementdetails.aspx?termid=22955")</f>
        <v>https://ceds.ed.gov/cedselementdetails.aspx?termid=22955</v>
      </c>
      <c r="Q2951" s="22">
        <v>63488</v>
      </c>
    </row>
    <row r="2952" spans="1:17" ht="273.60000000000002" x14ac:dyDescent="0.3">
      <c r="A2952" s="22" t="s">
        <v>7866</v>
      </c>
      <c r="B2952" s="22" t="s">
        <v>7867</v>
      </c>
      <c r="C2952" s="22" t="s">
        <v>7797</v>
      </c>
      <c r="D2952" s="22" t="s">
        <v>7710</v>
      </c>
      <c r="E2952" s="22" t="s">
        <v>3086</v>
      </c>
      <c r="F2952" s="24" t="s">
        <v>3087</v>
      </c>
      <c r="G2952" s="26" t="s">
        <v>8785</v>
      </c>
      <c r="H2952" s="24" t="s">
        <v>3077</v>
      </c>
      <c r="I2952" s="22"/>
      <c r="J2952" s="22"/>
      <c r="K2952" s="24"/>
      <c r="L2952" s="24"/>
      <c r="M2952" s="25" t="s">
        <v>3088</v>
      </c>
      <c r="N2952" s="22"/>
      <c r="O2952" s="22" t="s">
        <v>3089</v>
      </c>
      <c r="P2952" s="22" t="str">
        <f>HYPERLINK("https://ceds.ed.gov/cedselementdetails.aspx?termid=21342")</f>
        <v>https://ceds.ed.gov/cedselementdetails.aspx?termid=21342</v>
      </c>
      <c r="Q2952" s="22">
        <v>60897</v>
      </c>
    </row>
    <row r="2953" spans="1:17" ht="43.2" x14ac:dyDescent="0.3">
      <c r="A2953" s="22" t="s">
        <v>7866</v>
      </c>
      <c r="B2953" s="22" t="s">
        <v>7867</v>
      </c>
      <c r="C2953" s="22" t="s">
        <v>7797</v>
      </c>
      <c r="D2953" s="22" t="s">
        <v>7710</v>
      </c>
      <c r="E2953" s="22" t="s">
        <v>3082</v>
      </c>
      <c r="F2953" s="24" t="s">
        <v>3083</v>
      </c>
      <c r="G2953" s="23" t="s">
        <v>32</v>
      </c>
      <c r="H2953" s="24" t="s">
        <v>3077</v>
      </c>
      <c r="I2953" s="22"/>
      <c r="J2953" s="22" t="s">
        <v>1339</v>
      </c>
      <c r="K2953" s="24"/>
      <c r="L2953" s="24"/>
      <c r="M2953" s="25" t="s">
        <v>3084</v>
      </c>
      <c r="N2953" s="22"/>
      <c r="O2953" s="22" t="s">
        <v>3085</v>
      </c>
      <c r="P2953" s="22" t="str">
        <f>HYPERLINK("https://ceds.ed.gov/cedselementdetails.aspx?termid=21341")</f>
        <v>https://ceds.ed.gov/cedselementdetails.aspx?termid=21341</v>
      </c>
      <c r="Q2953" s="22">
        <v>60898</v>
      </c>
    </row>
    <row r="2954" spans="1:17" ht="43.2" x14ac:dyDescent="0.3">
      <c r="A2954" s="22" t="s">
        <v>7866</v>
      </c>
      <c r="B2954" s="22" t="s">
        <v>7867</v>
      </c>
      <c r="C2954" s="22" t="s">
        <v>7797</v>
      </c>
      <c r="D2954" s="22" t="s">
        <v>7710</v>
      </c>
      <c r="E2954" s="22" t="s">
        <v>3073</v>
      </c>
      <c r="F2954" s="24" t="s">
        <v>3074</v>
      </c>
      <c r="G2954" s="23" t="s">
        <v>32</v>
      </c>
      <c r="H2954" s="24" t="s">
        <v>3077</v>
      </c>
      <c r="I2954" s="22"/>
      <c r="J2954" s="22" t="s">
        <v>118</v>
      </c>
      <c r="K2954" s="24"/>
      <c r="L2954" s="24"/>
      <c r="M2954" s="25" t="s">
        <v>3075</v>
      </c>
      <c r="N2954" s="22"/>
      <c r="O2954" s="22" t="s">
        <v>3076</v>
      </c>
      <c r="P2954" s="22" t="str">
        <f>HYPERLINK("https://ceds.ed.gov/cedselementdetails.aspx?termid=21343")</f>
        <v>https://ceds.ed.gov/cedselementdetails.aspx?termid=21343</v>
      </c>
      <c r="Q2954" s="22">
        <v>60899</v>
      </c>
    </row>
    <row r="2955" spans="1:17" ht="100.8" x14ac:dyDescent="0.3">
      <c r="A2955" s="22" t="s">
        <v>7866</v>
      </c>
      <c r="B2955" s="22" t="s">
        <v>7867</v>
      </c>
      <c r="C2955" s="22" t="s">
        <v>7797</v>
      </c>
      <c r="D2955" s="22" t="s">
        <v>7710</v>
      </c>
      <c r="E2955" s="22" t="s">
        <v>5599</v>
      </c>
      <c r="F2955" s="24" t="s">
        <v>5600</v>
      </c>
      <c r="G2955" s="23" t="s">
        <v>32</v>
      </c>
      <c r="H2955" s="24" t="s">
        <v>5342</v>
      </c>
      <c r="I2955" s="22"/>
      <c r="J2955" s="22" t="s">
        <v>1518</v>
      </c>
      <c r="K2955" s="24"/>
      <c r="L2955" s="24"/>
      <c r="M2955" s="25" t="s">
        <v>5601</v>
      </c>
      <c r="N2955" s="22"/>
      <c r="O2955" s="22" t="s">
        <v>5602</v>
      </c>
      <c r="P2955" s="22" t="str">
        <f>HYPERLINK("https://ceds.ed.gov/cedselementdetails.aspx?termid=21200")</f>
        <v>https://ceds.ed.gov/cedselementdetails.aspx?termid=21200</v>
      </c>
      <c r="Q2955" s="22">
        <v>61982</v>
      </c>
    </row>
    <row r="2956" spans="1:17" ht="72" x14ac:dyDescent="0.3">
      <c r="A2956" s="22" t="s">
        <v>7866</v>
      </c>
      <c r="B2956" s="22" t="s">
        <v>7867</v>
      </c>
      <c r="C2956" s="22" t="s">
        <v>7797</v>
      </c>
      <c r="D2956" s="22" t="s">
        <v>7710</v>
      </c>
      <c r="E2956" s="22" t="s">
        <v>1889</v>
      </c>
      <c r="F2956" s="24" t="s">
        <v>1890</v>
      </c>
      <c r="G2956" s="26" t="s">
        <v>22</v>
      </c>
      <c r="H2956" s="24" t="s">
        <v>64</v>
      </c>
      <c r="I2956" s="22"/>
      <c r="J2956" s="22"/>
      <c r="K2956" s="24"/>
      <c r="L2956" s="24"/>
      <c r="M2956" s="25" t="s">
        <v>1892</v>
      </c>
      <c r="N2956" s="22" t="s">
        <v>1893</v>
      </c>
      <c r="O2956" s="22" t="s">
        <v>1894</v>
      </c>
      <c r="P2956" s="22" t="str">
        <f>HYPERLINK("https://ceds.ed.gov/cedselementdetails.aspx?termid=21036")</f>
        <v>https://ceds.ed.gov/cedselementdetails.aspx?termid=21036</v>
      </c>
      <c r="Q2956" s="22">
        <v>60894</v>
      </c>
    </row>
    <row r="2957" spans="1:17" ht="86.4" x14ac:dyDescent="0.3">
      <c r="A2957" s="22" t="s">
        <v>7866</v>
      </c>
      <c r="B2957" s="22" t="s">
        <v>7867</v>
      </c>
      <c r="C2957" s="22" t="s">
        <v>7797</v>
      </c>
      <c r="D2957" s="22" t="s">
        <v>7710</v>
      </c>
      <c r="E2957" s="22" t="s">
        <v>1914</v>
      </c>
      <c r="F2957" s="24" t="s">
        <v>1915</v>
      </c>
      <c r="G2957" s="26" t="s">
        <v>22</v>
      </c>
      <c r="H2957" s="22" t="s">
        <v>226</v>
      </c>
      <c r="I2957" s="22"/>
      <c r="J2957" s="22"/>
      <c r="K2957" s="24"/>
      <c r="L2957" s="24"/>
      <c r="M2957" s="25" t="s">
        <v>1917</v>
      </c>
      <c r="N2957" s="22" t="s">
        <v>1918</v>
      </c>
      <c r="O2957" s="22" t="s">
        <v>1919</v>
      </c>
      <c r="P2957" s="22" t="str">
        <f>HYPERLINK("https://ceds.ed.gov/cedselementdetails.aspx?termid=21586")</f>
        <v>https://ceds.ed.gov/cedselementdetails.aspx?termid=21586</v>
      </c>
      <c r="Q2957" s="22">
        <v>60895</v>
      </c>
    </row>
    <row r="2958" spans="1:17" ht="172.8" x14ac:dyDescent="0.3">
      <c r="A2958" s="22" t="s">
        <v>7866</v>
      </c>
      <c r="B2958" s="22" t="s">
        <v>7867</v>
      </c>
      <c r="C2958" s="22" t="s">
        <v>7799</v>
      </c>
      <c r="D2958" s="22" t="s">
        <v>7710</v>
      </c>
      <c r="E2958" s="22" t="s">
        <v>6174</v>
      </c>
      <c r="F2958" s="24" t="s">
        <v>6175</v>
      </c>
      <c r="G2958" s="23" t="s">
        <v>32</v>
      </c>
      <c r="H2958" s="22" t="s">
        <v>2608</v>
      </c>
      <c r="I2958" s="22" t="s">
        <v>172</v>
      </c>
      <c r="J2958" s="22" t="s">
        <v>132</v>
      </c>
      <c r="K2958" s="24" t="s">
        <v>8282</v>
      </c>
      <c r="L2958" s="24" t="s">
        <v>7945</v>
      </c>
      <c r="M2958" s="25" t="s">
        <v>6176</v>
      </c>
      <c r="N2958" s="22"/>
      <c r="O2958" s="22" t="s">
        <v>6177</v>
      </c>
      <c r="P2958" s="22" t="str">
        <f>HYPERLINK("https://ceds.ed.gov/cedselementdetails.aspx?termid=21618")</f>
        <v>https://ceds.ed.gov/cedselementdetails.aspx?termid=21618</v>
      </c>
      <c r="Q2958" s="22">
        <v>62682</v>
      </c>
    </row>
    <row r="2959" spans="1:17" ht="72" x14ac:dyDescent="0.3">
      <c r="A2959" s="22" t="s">
        <v>7866</v>
      </c>
      <c r="B2959" s="22" t="s">
        <v>7867</v>
      </c>
      <c r="C2959" s="22" t="s">
        <v>7799</v>
      </c>
      <c r="D2959" s="22" t="s">
        <v>7710</v>
      </c>
      <c r="E2959" s="22" t="s">
        <v>2082</v>
      </c>
      <c r="F2959" s="24" t="s">
        <v>2083</v>
      </c>
      <c r="G2959" s="23" t="s">
        <v>7422</v>
      </c>
      <c r="H2959" s="24" t="s">
        <v>42</v>
      </c>
      <c r="I2959" s="22"/>
      <c r="J2959" s="22"/>
      <c r="K2959" s="24"/>
      <c r="L2959" s="24"/>
      <c r="M2959" s="25" t="s">
        <v>2085</v>
      </c>
      <c r="N2959" s="22" t="s">
        <v>2086</v>
      </c>
      <c r="O2959" s="22" t="s">
        <v>2087</v>
      </c>
      <c r="P2959" s="22" t="str">
        <f>HYPERLINK("https://ceds.ed.gov/cedselementdetails.aspx?termid=21043")</f>
        <v>https://ceds.ed.gov/cedselementdetails.aspx?termid=21043</v>
      </c>
      <c r="Q2959" s="22">
        <v>62679</v>
      </c>
    </row>
    <row r="2960" spans="1:17" ht="28.8" x14ac:dyDescent="0.3">
      <c r="A2960" s="22" t="s">
        <v>7866</v>
      </c>
      <c r="B2960" s="22" t="s">
        <v>7867</v>
      </c>
      <c r="C2960" s="22" t="s">
        <v>7799</v>
      </c>
      <c r="D2960" s="22" t="s">
        <v>7710</v>
      </c>
      <c r="E2960" s="22" t="s">
        <v>53</v>
      </c>
      <c r="F2960" s="24" t="s">
        <v>54</v>
      </c>
      <c r="G2960" s="23" t="s">
        <v>32</v>
      </c>
      <c r="H2960" s="22" t="s">
        <v>58</v>
      </c>
      <c r="I2960" s="22"/>
      <c r="J2960" s="22" t="s">
        <v>55</v>
      </c>
      <c r="K2960" s="24"/>
      <c r="L2960" s="24"/>
      <c r="M2960" s="25" t="s">
        <v>56</v>
      </c>
      <c r="N2960" s="22"/>
      <c r="O2960" s="22" t="s">
        <v>57</v>
      </c>
      <c r="P2960" s="22" t="str">
        <f>HYPERLINK("https://ceds.ed.gov/cedselementdetails.aspx?termid=21003")</f>
        <v>https://ceds.ed.gov/cedselementdetails.aspx?termid=21003</v>
      </c>
      <c r="Q2960" s="22">
        <v>62678</v>
      </c>
    </row>
    <row r="2961" spans="1:17" ht="57.6" x14ac:dyDescent="0.3">
      <c r="A2961" s="22" t="s">
        <v>7866</v>
      </c>
      <c r="B2961" s="22" t="s">
        <v>7867</v>
      </c>
      <c r="C2961" s="22" t="s">
        <v>7799</v>
      </c>
      <c r="D2961" s="22" t="s">
        <v>7710</v>
      </c>
      <c r="E2961" s="22" t="s">
        <v>30</v>
      </c>
      <c r="F2961" s="24" t="s">
        <v>31</v>
      </c>
      <c r="G2961" s="23" t="s">
        <v>32</v>
      </c>
      <c r="H2961" s="24" t="s">
        <v>37</v>
      </c>
      <c r="I2961" s="22"/>
      <c r="J2961" s="22" t="s">
        <v>34</v>
      </c>
      <c r="K2961" s="24"/>
      <c r="L2961" s="24"/>
      <c r="M2961" s="25" t="s">
        <v>35</v>
      </c>
      <c r="N2961" s="22"/>
      <c r="O2961" s="22" t="s">
        <v>36</v>
      </c>
      <c r="P2961" s="22" t="str">
        <f>HYPERLINK("https://ceds.ed.gov/cedselementdetails.aspx?termid=21001")</f>
        <v>https://ceds.ed.gov/cedselementdetails.aspx?termid=21001</v>
      </c>
      <c r="Q2961" s="22">
        <v>62685</v>
      </c>
    </row>
    <row r="2962" spans="1:17" ht="115.2" x14ac:dyDescent="0.3">
      <c r="A2962" s="22" t="s">
        <v>7866</v>
      </c>
      <c r="B2962" s="22" t="s">
        <v>7867</v>
      </c>
      <c r="C2962" s="22" t="s">
        <v>7799</v>
      </c>
      <c r="D2962" s="22" t="s">
        <v>7710</v>
      </c>
      <c r="E2962" s="22" t="s">
        <v>3142</v>
      </c>
      <c r="F2962" s="24" t="s">
        <v>3143</v>
      </c>
      <c r="G2962" s="23" t="s">
        <v>32</v>
      </c>
      <c r="H2962" s="24" t="s">
        <v>3148</v>
      </c>
      <c r="I2962" s="22"/>
      <c r="J2962" s="22" t="s">
        <v>3145</v>
      </c>
      <c r="K2962" s="24"/>
      <c r="L2962" s="24"/>
      <c r="M2962" s="25" t="s">
        <v>3146</v>
      </c>
      <c r="N2962" s="22"/>
      <c r="O2962" s="22" t="s">
        <v>3147</v>
      </c>
      <c r="P2962" s="22" t="str">
        <f>HYPERLINK("https://ceds.ed.gov/cedselementdetails.aspx?termid=21081")</f>
        <v>https://ceds.ed.gov/cedselementdetails.aspx?termid=21081</v>
      </c>
      <c r="Q2962" s="22">
        <v>61965</v>
      </c>
    </row>
    <row r="2963" spans="1:17" ht="201.6" x14ac:dyDescent="0.3">
      <c r="A2963" s="22" t="s">
        <v>7866</v>
      </c>
      <c r="B2963" s="22" t="s">
        <v>7867</v>
      </c>
      <c r="C2963" s="22" t="s">
        <v>7799</v>
      </c>
      <c r="D2963" s="22" t="s">
        <v>7710</v>
      </c>
      <c r="E2963" s="22" t="s">
        <v>4307</v>
      </c>
      <c r="F2963" s="24" t="s">
        <v>4308</v>
      </c>
      <c r="G2963" s="26" t="s">
        <v>8919</v>
      </c>
      <c r="H2963" s="24" t="s">
        <v>4313</v>
      </c>
      <c r="I2963" s="22"/>
      <c r="J2963" s="22"/>
      <c r="K2963" s="24"/>
      <c r="L2963" s="24" t="s">
        <v>4310</v>
      </c>
      <c r="M2963" s="25" t="s">
        <v>4311</v>
      </c>
      <c r="N2963" s="22"/>
      <c r="O2963" s="22" t="s">
        <v>4312</v>
      </c>
      <c r="P2963" s="22" t="str">
        <f>HYPERLINK("https://ceds.ed.gov/cedselementdetails.aspx?termid=21138")</f>
        <v>https://ceds.ed.gov/cedselementdetails.aspx?termid=21138</v>
      </c>
      <c r="Q2963" s="22">
        <v>62719</v>
      </c>
    </row>
    <row r="2964" spans="1:17" ht="100.8" x14ac:dyDescent="0.3">
      <c r="A2964" s="22" t="s">
        <v>7866</v>
      </c>
      <c r="B2964" s="22" t="s">
        <v>7867</v>
      </c>
      <c r="C2964" s="22" t="s">
        <v>7799</v>
      </c>
      <c r="D2964" s="22" t="s">
        <v>7710</v>
      </c>
      <c r="E2964" s="22" t="s">
        <v>4302</v>
      </c>
      <c r="F2964" s="24" t="s">
        <v>4303</v>
      </c>
      <c r="G2964" s="26" t="s">
        <v>8918</v>
      </c>
      <c r="H2964" s="22"/>
      <c r="I2964" s="22"/>
      <c r="J2964" s="22"/>
      <c r="K2964" s="24"/>
      <c r="L2964" s="24"/>
      <c r="M2964" s="25" t="s">
        <v>4305</v>
      </c>
      <c r="N2964" s="22"/>
      <c r="O2964" s="22" t="s">
        <v>4306</v>
      </c>
      <c r="P2964" s="22" t="str">
        <f>HYPERLINK("https://ceds.ed.gov/cedselementdetails.aspx?termid=21689")</f>
        <v>https://ceds.ed.gov/cedselementdetails.aspx?termid=21689</v>
      </c>
      <c r="Q2964" s="22">
        <v>62722</v>
      </c>
    </row>
    <row r="2965" spans="1:17" ht="72" x14ac:dyDescent="0.3">
      <c r="A2965" s="22" t="s">
        <v>7866</v>
      </c>
      <c r="B2965" s="22" t="s">
        <v>7867</v>
      </c>
      <c r="C2965" s="22" t="s">
        <v>7799</v>
      </c>
      <c r="D2965" s="22" t="s">
        <v>7710</v>
      </c>
      <c r="E2965" s="22" t="s">
        <v>5909</v>
      </c>
      <c r="F2965" s="24" t="s">
        <v>5910</v>
      </c>
      <c r="G2965" s="26" t="s">
        <v>9070</v>
      </c>
      <c r="H2965" s="24" t="s">
        <v>5913</v>
      </c>
      <c r="I2965" s="22"/>
      <c r="J2965" s="22"/>
      <c r="K2965" s="24"/>
      <c r="L2965" s="24"/>
      <c r="M2965" s="25" t="s">
        <v>5911</v>
      </c>
      <c r="N2965" s="22"/>
      <c r="O2965" s="22" t="s">
        <v>5912</v>
      </c>
      <c r="P2965" s="22" t="str">
        <f>HYPERLINK("https://ceds.ed.gov/cedselementdetails.aspx?termid=22595")</f>
        <v>https://ceds.ed.gov/cedselementdetails.aspx?termid=22595</v>
      </c>
      <c r="Q2965" s="22">
        <v>62683</v>
      </c>
    </row>
    <row r="2966" spans="1:17" ht="216" x14ac:dyDescent="0.3">
      <c r="A2966" s="22" t="s">
        <v>7866</v>
      </c>
      <c r="B2966" s="22" t="s">
        <v>7867</v>
      </c>
      <c r="C2966" s="22" t="s">
        <v>7799</v>
      </c>
      <c r="D2966" s="22" t="s">
        <v>7710</v>
      </c>
      <c r="E2966" s="22" t="s">
        <v>38</v>
      </c>
      <c r="F2966" s="24" t="s">
        <v>7941</v>
      </c>
      <c r="G2966" s="26" t="s">
        <v>8562</v>
      </c>
      <c r="H2966" s="24" t="s">
        <v>42</v>
      </c>
      <c r="I2966" s="22"/>
      <c r="J2966" s="22"/>
      <c r="K2966" s="24"/>
      <c r="L2966" s="24"/>
      <c r="M2966" s="25" t="s">
        <v>40</v>
      </c>
      <c r="N2966" s="22"/>
      <c r="O2966" s="22" t="s">
        <v>41</v>
      </c>
      <c r="P2966" s="22" t="str">
        <f>HYPERLINK("https://ceds.ed.gov/cedselementdetails.aspx?termid=21002")</f>
        <v>https://ceds.ed.gov/cedselementdetails.aspx?termid=21002</v>
      </c>
      <c r="Q2966" s="22">
        <v>62677</v>
      </c>
    </row>
    <row r="2967" spans="1:17" ht="72" x14ac:dyDescent="0.3">
      <c r="A2967" s="22" t="s">
        <v>7866</v>
      </c>
      <c r="B2967" s="22" t="s">
        <v>7867</v>
      </c>
      <c r="C2967" s="22" t="s">
        <v>7799</v>
      </c>
      <c r="D2967" s="22" t="s">
        <v>7710</v>
      </c>
      <c r="E2967" s="22" t="s">
        <v>2088</v>
      </c>
      <c r="F2967" s="24" t="s">
        <v>2089</v>
      </c>
      <c r="G2967" s="26" t="s">
        <v>8727</v>
      </c>
      <c r="H2967" s="24" t="s">
        <v>198</v>
      </c>
      <c r="I2967" s="22"/>
      <c r="J2967" s="22"/>
      <c r="K2967" s="24"/>
      <c r="L2967" s="24"/>
      <c r="M2967" s="25" t="s">
        <v>2091</v>
      </c>
      <c r="N2967" s="22" t="s">
        <v>2092</v>
      </c>
      <c r="O2967" s="22" t="s">
        <v>2093</v>
      </c>
      <c r="P2967" s="22" t="str">
        <f>HYPERLINK("https://ceds.ed.gov/cedselementdetails.aspx?termid=21044")</f>
        <v>https://ceds.ed.gov/cedselementdetails.aspx?termid=21044</v>
      </c>
      <c r="Q2967" s="22">
        <v>62680</v>
      </c>
    </row>
    <row r="2968" spans="1:17" ht="86.4" x14ac:dyDescent="0.3">
      <c r="A2968" s="22" t="s">
        <v>7866</v>
      </c>
      <c r="B2968" s="22" t="s">
        <v>7867</v>
      </c>
      <c r="C2968" s="22" t="s">
        <v>7799</v>
      </c>
      <c r="D2968" s="22" t="s">
        <v>7710</v>
      </c>
      <c r="E2968" s="22" t="s">
        <v>2094</v>
      </c>
      <c r="F2968" s="24" t="s">
        <v>2095</v>
      </c>
      <c r="G2968" s="26" t="s">
        <v>8728</v>
      </c>
      <c r="H2968" s="24" t="s">
        <v>198</v>
      </c>
      <c r="I2968" s="22"/>
      <c r="J2968" s="22"/>
      <c r="K2968" s="24"/>
      <c r="L2968" s="24"/>
      <c r="M2968" s="25" t="s">
        <v>2097</v>
      </c>
      <c r="N2968" s="22" t="s">
        <v>2098</v>
      </c>
      <c r="O2968" s="22" t="s">
        <v>2099</v>
      </c>
      <c r="P2968" s="22" t="str">
        <f>HYPERLINK("https://ceds.ed.gov/cedselementdetails.aspx?termid=21045")</f>
        <v>https://ceds.ed.gov/cedselementdetails.aspx?termid=21045</v>
      </c>
      <c r="Q2968" s="22">
        <v>62681</v>
      </c>
    </row>
    <row r="2969" spans="1:17" ht="115.2" x14ac:dyDescent="0.3">
      <c r="A2969" s="22" t="s">
        <v>7866</v>
      </c>
      <c r="B2969" s="22" t="s">
        <v>7867</v>
      </c>
      <c r="C2969" s="22" t="s">
        <v>7799</v>
      </c>
      <c r="D2969" s="22" t="s">
        <v>7710</v>
      </c>
      <c r="E2969" s="22" t="s">
        <v>6134</v>
      </c>
      <c r="F2969" s="24" t="s">
        <v>6135</v>
      </c>
      <c r="G2969" s="26" t="s">
        <v>9103</v>
      </c>
      <c r="H2969" s="22"/>
      <c r="I2969" s="22"/>
      <c r="J2969" s="22"/>
      <c r="K2969" s="24"/>
      <c r="L2969" s="24"/>
      <c r="M2969" s="25" t="s">
        <v>6137</v>
      </c>
      <c r="N2969" s="22"/>
      <c r="O2969" s="22" t="s">
        <v>6138</v>
      </c>
      <c r="P2969" s="22" t="str">
        <f>HYPERLINK("https://ceds.ed.gov/cedselementdetails.aspx?termid=21780")</f>
        <v>https://ceds.ed.gov/cedselementdetails.aspx?termid=21780</v>
      </c>
      <c r="Q2969" s="22">
        <v>60896</v>
      </c>
    </row>
    <row r="2970" spans="1:17" ht="172.8" x14ac:dyDescent="0.3">
      <c r="A2970" s="22" t="s">
        <v>7866</v>
      </c>
      <c r="B2970" s="22" t="s">
        <v>7867</v>
      </c>
      <c r="C2970" s="22" t="s">
        <v>7799</v>
      </c>
      <c r="D2970" s="22" t="s">
        <v>7710</v>
      </c>
      <c r="E2970" s="22" t="s">
        <v>2965</v>
      </c>
      <c r="F2970" s="24" t="s">
        <v>2966</v>
      </c>
      <c r="G2970" s="26" t="s">
        <v>8776</v>
      </c>
      <c r="H2970" s="22"/>
      <c r="I2970" s="22"/>
      <c r="J2970" s="22"/>
      <c r="K2970" s="24"/>
      <c r="L2970" s="24"/>
      <c r="M2970" s="25" t="s">
        <v>2968</v>
      </c>
      <c r="N2970" s="22"/>
      <c r="O2970" s="22" t="s">
        <v>2969</v>
      </c>
      <c r="P2970" s="22" t="str">
        <f>HYPERLINK("https://ceds.ed.gov/cedselementdetails.aspx?termid=22283")</f>
        <v>https://ceds.ed.gov/cedselementdetails.aspx?termid=22283</v>
      </c>
      <c r="Q2970" s="22">
        <v>62676</v>
      </c>
    </row>
    <row r="2971" spans="1:17" ht="129.6" x14ac:dyDescent="0.3">
      <c r="A2971" s="22" t="s">
        <v>7866</v>
      </c>
      <c r="B2971" s="22" t="s">
        <v>7867</v>
      </c>
      <c r="C2971" s="22" t="s">
        <v>7799</v>
      </c>
      <c r="D2971" s="22" t="s">
        <v>7710</v>
      </c>
      <c r="E2971" s="22" t="s">
        <v>3249</v>
      </c>
      <c r="F2971" s="24" t="s">
        <v>3250</v>
      </c>
      <c r="G2971" s="26" t="s">
        <v>8809</v>
      </c>
      <c r="H2971" s="22"/>
      <c r="I2971" s="22"/>
      <c r="J2971" s="22"/>
      <c r="K2971" s="24"/>
      <c r="L2971" s="24" t="s">
        <v>8081</v>
      </c>
      <c r="M2971" s="25" t="s">
        <v>3252</v>
      </c>
      <c r="N2971" s="22"/>
      <c r="O2971" s="22" t="s">
        <v>3253</v>
      </c>
      <c r="P2971" s="22" t="str">
        <f>HYPERLINK("https://ceds.ed.gov/cedselementdetails.aspx?termid=22622")</f>
        <v>https://ceds.ed.gov/cedselementdetails.aspx?termid=22622</v>
      </c>
      <c r="Q2971" s="22">
        <v>62684</v>
      </c>
    </row>
    <row r="2972" spans="1:17" ht="57.6" x14ac:dyDescent="0.3">
      <c r="A2972" s="22" t="s">
        <v>7866</v>
      </c>
      <c r="B2972" s="22" t="s">
        <v>7867</v>
      </c>
      <c r="C2972" s="22" t="s">
        <v>7756</v>
      </c>
      <c r="D2972" s="22" t="s">
        <v>7710</v>
      </c>
      <c r="E2972" s="22" t="s">
        <v>1531</v>
      </c>
      <c r="F2972" s="24" t="s">
        <v>8031</v>
      </c>
      <c r="G2972" s="26" t="s">
        <v>22</v>
      </c>
      <c r="H2972" s="22" t="s">
        <v>25</v>
      </c>
      <c r="I2972" s="22"/>
      <c r="J2972" s="22"/>
      <c r="K2972" s="24"/>
      <c r="L2972" s="24"/>
      <c r="M2972" s="25" t="s">
        <v>1532</v>
      </c>
      <c r="N2972" s="22"/>
      <c r="O2972" s="22" t="s">
        <v>1533</v>
      </c>
      <c r="P2972" s="22" t="str">
        <f>HYPERLINK("https://ceds.ed.gov/cedselementdetails.aspx?termid=21031")</f>
        <v>https://ceds.ed.gov/cedselementdetails.aspx?termid=21031</v>
      </c>
      <c r="Q2972" s="22">
        <v>62765</v>
      </c>
    </row>
    <row r="2973" spans="1:17" ht="230.4" x14ac:dyDescent="0.3">
      <c r="A2973" s="22" t="s">
        <v>7866</v>
      </c>
      <c r="B2973" s="22" t="s">
        <v>7867</v>
      </c>
      <c r="C2973" s="22" t="s">
        <v>7756</v>
      </c>
      <c r="D2973" s="22" t="s">
        <v>7710</v>
      </c>
      <c r="E2973" s="22" t="s">
        <v>4411</v>
      </c>
      <c r="F2973" s="24" t="s">
        <v>4412</v>
      </c>
      <c r="G2973" s="26" t="s">
        <v>22</v>
      </c>
      <c r="H2973" s="24" t="s">
        <v>4415</v>
      </c>
      <c r="I2973" s="22"/>
      <c r="J2973" s="22"/>
      <c r="K2973" s="24"/>
      <c r="L2973" s="24"/>
      <c r="M2973" s="25" t="s">
        <v>4413</v>
      </c>
      <c r="N2973" s="22"/>
      <c r="O2973" s="22" t="s">
        <v>4414</v>
      </c>
      <c r="P2973" s="22" t="str">
        <f>HYPERLINK("https://ceds.ed.gov/cedselementdetails.aspx?termid=21151")</f>
        <v>https://ceds.ed.gov/cedselementdetails.aspx?termid=21151</v>
      </c>
      <c r="Q2973" s="22">
        <v>62761</v>
      </c>
    </row>
    <row r="2974" spans="1:17" ht="43.2" x14ac:dyDescent="0.3">
      <c r="A2974" s="22" t="s">
        <v>7866</v>
      </c>
      <c r="B2974" s="22" t="s">
        <v>7867</v>
      </c>
      <c r="C2974" s="22" t="s">
        <v>7756</v>
      </c>
      <c r="D2974" s="22" t="s">
        <v>7710</v>
      </c>
      <c r="E2974" s="22" t="s">
        <v>3169</v>
      </c>
      <c r="F2974" s="24" t="s">
        <v>3170</v>
      </c>
      <c r="G2974" s="26" t="s">
        <v>22</v>
      </c>
      <c r="H2974" s="22" t="s">
        <v>226</v>
      </c>
      <c r="I2974" s="22"/>
      <c r="J2974" s="22"/>
      <c r="K2974" s="24"/>
      <c r="L2974" s="24"/>
      <c r="M2974" s="25" t="s">
        <v>3171</v>
      </c>
      <c r="N2974" s="22"/>
      <c r="O2974" s="22" t="s">
        <v>3172</v>
      </c>
      <c r="P2974" s="22" t="str">
        <f>HYPERLINK("https://ceds.ed.gov/cedselementdetails.aspx?termid=21569")</f>
        <v>https://ceds.ed.gov/cedselementdetails.aspx?termid=21569</v>
      </c>
      <c r="Q2974" s="22">
        <v>62762</v>
      </c>
    </row>
    <row r="2975" spans="1:17" ht="86.4" x14ac:dyDescent="0.3">
      <c r="A2975" s="22" t="s">
        <v>7866</v>
      </c>
      <c r="B2975" s="22" t="s">
        <v>7867</v>
      </c>
      <c r="C2975" s="22" t="s">
        <v>7756</v>
      </c>
      <c r="D2975" s="22" t="s">
        <v>7710</v>
      </c>
      <c r="E2975" s="22" t="s">
        <v>6676</v>
      </c>
      <c r="F2975" s="24" t="s">
        <v>6677</v>
      </c>
      <c r="G2975" s="26" t="s">
        <v>22</v>
      </c>
      <c r="H2975" s="24" t="s">
        <v>4415</v>
      </c>
      <c r="I2975" s="22"/>
      <c r="J2975" s="22"/>
      <c r="K2975" s="24"/>
      <c r="L2975" s="24"/>
      <c r="M2975" s="25" t="s">
        <v>6678</v>
      </c>
      <c r="N2975" s="22"/>
      <c r="O2975" s="22" t="s">
        <v>6679</v>
      </c>
      <c r="P2975" s="22" t="str">
        <f>HYPERLINK("https://ceds.ed.gov/cedselementdetails.aspx?termid=21249")</f>
        <v>https://ceds.ed.gov/cedselementdetails.aspx?termid=21249</v>
      </c>
      <c r="Q2975" s="22">
        <v>62763</v>
      </c>
    </row>
    <row r="2976" spans="1:17" ht="201.6" x14ac:dyDescent="0.3">
      <c r="A2976" s="22" t="s">
        <v>7866</v>
      </c>
      <c r="B2976" s="22" t="s">
        <v>7867</v>
      </c>
      <c r="C2976" s="22" t="s">
        <v>7756</v>
      </c>
      <c r="D2976" s="22" t="s">
        <v>7710</v>
      </c>
      <c r="E2976" s="22" t="s">
        <v>5959</v>
      </c>
      <c r="F2976" s="24" t="s">
        <v>5960</v>
      </c>
      <c r="G2976" s="26" t="s">
        <v>9076</v>
      </c>
      <c r="H2976" s="24" t="s">
        <v>5964</v>
      </c>
      <c r="I2976" s="22"/>
      <c r="J2976" s="22"/>
      <c r="K2976" s="24"/>
      <c r="L2976" s="24" t="s">
        <v>5961</v>
      </c>
      <c r="M2976" s="25" t="s">
        <v>5962</v>
      </c>
      <c r="N2976" s="22"/>
      <c r="O2976" s="22" t="s">
        <v>5963</v>
      </c>
      <c r="P2976" s="22" t="str">
        <f>HYPERLINK("https://ceds.ed.gov/cedselementdetails.aspx?termid=21218")</f>
        <v>https://ceds.ed.gov/cedselementdetails.aspx?termid=21218</v>
      </c>
      <c r="Q2976" s="22">
        <v>62764</v>
      </c>
    </row>
    <row r="2977" spans="1:17" ht="216" x14ac:dyDescent="0.3">
      <c r="A2977" s="22" t="s">
        <v>7866</v>
      </c>
      <c r="B2977" s="22" t="s">
        <v>7867</v>
      </c>
      <c r="C2977" s="22" t="s">
        <v>7756</v>
      </c>
      <c r="D2977" s="22" t="s">
        <v>7710</v>
      </c>
      <c r="E2977" s="22" t="s">
        <v>3160</v>
      </c>
      <c r="F2977" s="24" t="s">
        <v>3161</v>
      </c>
      <c r="G2977" s="26" t="s">
        <v>8796</v>
      </c>
      <c r="H2977" s="22"/>
      <c r="I2977" s="22"/>
      <c r="J2977" s="22"/>
      <c r="K2977" s="24"/>
      <c r="L2977" s="24" t="s">
        <v>3162</v>
      </c>
      <c r="M2977" s="25" t="s">
        <v>3163</v>
      </c>
      <c r="N2977" s="22"/>
      <c r="O2977" s="22" t="s">
        <v>3164</v>
      </c>
      <c r="P2977" s="22" t="str">
        <f>HYPERLINK("https://ceds.ed.gov/cedselementdetails.aspx?termid=22286")</f>
        <v>https://ceds.ed.gov/cedselementdetails.aspx?termid=22286</v>
      </c>
      <c r="Q2977" s="22">
        <v>62767</v>
      </c>
    </row>
    <row r="2978" spans="1:17" ht="144" x14ac:dyDescent="0.3">
      <c r="A2978" s="22" t="s">
        <v>7866</v>
      </c>
      <c r="B2978" s="22" t="s">
        <v>7867</v>
      </c>
      <c r="C2978" s="22" t="s">
        <v>7756</v>
      </c>
      <c r="D2978" s="22" t="s">
        <v>7710</v>
      </c>
      <c r="E2978" s="22" t="s">
        <v>3165</v>
      </c>
      <c r="F2978" s="24" t="s">
        <v>3166</v>
      </c>
      <c r="G2978" s="26" t="s">
        <v>8798</v>
      </c>
      <c r="H2978" s="22"/>
      <c r="I2978" s="22"/>
      <c r="J2978" s="22"/>
      <c r="K2978" s="24"/>
      <c r="L2978" s="24" t="s">
        <v>3162</v>
      </c>
      <c r="M2978" s="25" t="s">
        <v>3167</v>
      </c>
      <c r="N2978" s="22"/>
      <c r="O2978" s="22" t="s">
        <v>3168</v>
      </c>
      <c r="P2978" s="22" t="str">
        <f>HYPERLINK("https://ceds.ed.gov/cedselementdetails.aspx?termid=22287")</f>
        <v>https://ceds.ed.gov/cedselementdetails.aspx?termid=22287</v>
      </c>
      <c r="Q2978" s="22">
        <v>62768</v>
      </c>
    </row>
    <row r="2979" spans="1:17" ht="129.6" x14ac:dyDescent="0.3">
      <c r="A2979" s="22" t="s">
        <v>7866</v>
      </c>
      <c r="B2979" s="22" t="s">
        <v>7867</v>
      </c>
      <c r="C2979" s="22" t="s">
        <v>7756</v>
      </c>
      <c r="D2979" s="22" t="s">
        <v>7710</v>
      </c>
      <c r="E2979" s="22" t="s">
        <v>4398</v>
      </c>
      <c r="F2979" s="24" t="s">
        <v>4399</v>
      </c>
      <c r="G2979" s="26" t="s">
        <v>8933</v>
      </c>
      <c r="H2979" s="22" t="s">
        <v>226</v>
      </c>
      <c r="I2979" s="22"/>
      <c r="J2979" s="22"/>
      <c r="K2979" s="24"/>
      <c r="L2979" s="24"/>
      <c r="M2979" s="25" t="s">
        <v>4401</v>
      </c>
      <c r="N2979" s="22"/>
      <c r="O2979" s="22" t="s">
        <v>4402</v>
      </c>
      <c r="P2979" s="22" t="str">
        <f>HYPERLINK("https://ceds.ed.gov/cedselementdetails.aspx?termid=21526")</f>
        <v>https://ceds.ed.gov/cedselementdetails.aspx?termid=21526</v>
      </c>
      <c r="Q2979" s="22">
        <v>62766</v>
      </c>
    </row>
    <row r="2980" spans="1:17" ht="72" x14ac:dyDescent="0.3">
      <c r="A2980" s="22" t="s">
        <v>7866</v>
      </c>
      <c r="B2980" s="22" t="s">
        <v>7867</v>
      </c>
      <c r="C2980" s="22" t="s">
        <v>7862</v>
      </c>
      <c r="D2980" s="22" t="s">
        <v>7710</v>
      </c>
      <c r="E2980" s="22" t="s">
        <v>2082</v>
      </c>
      <c r="F2980" s="24" t="s">
        <v>2083</v>
      </c>
      <c r="G2980" s="23" t="s">
        <v>7422</v>
      </c>
      <c r="H2980" s="24" t="s">
        <v>42</v>
      </c>
      <c r="I2980" s="22"/>
      <c r="J2980" s="22"/>
      <c r="K2980" s="24"/>
      <c r="L2980" s="24"/>
      <c r="M2980" s="25" t="s">
        <v>2085</v>
      </c>
      <c r="N2980" s="22" t="s">
        <v>2086</v>
      </c>
      <c r="O2980" s="22" t="s">
        <v>2087</v>
      </c>
      <c r="P2980" s="22" t="str">
        <f>HYPERLINK("https://ceds.ed.gov/cedselementdetails.aspx?termid=21043")</f>
        <v>https://ceds.ed.gov/cedselementdetails.aspx?termid=21043</v>
      </c>
      <c r="Q2980" s="22">
        <v>61089</v>
      </c>
    </row>
    <row r="2981" spans="1:17" ht="244.8" x14ac:dyDescent="0.3">
      <c r="A2981" s="22" t="s">
        <v>7866</v>
      </c>
      <c r="B2981" s="22" t="s">
        <v>7867</v>
      </c>
      <c r="C2981" s="22" t="s">
        <v>7862</v>
      </c>
      <c r="D2981" s="22" t="s">
        <v>7710</v>
      </c>
      <c r="E2981" s="22" t="s">
        <v>1925</v>
      </c>
      <c r="F2981" s="24" t="s">
        <v>1926</v>
      </c>
      <c r="G2981" s="26" t="s">
        <v>8710</v>
      </c>
      <c r="H2981" s="22"/>
      <c r="I2981" s="22"/>
      <c r="J2981" s="22"/>
      <c r="K2981" s="24"/>
      <c r="L2981" s="24" t="s">
        <v>8034</v>
      </c>
      <c r="M2981" s="25" t="s">
        <v>1927</v>
      </c>
      <c r="N2981" s="22"/>
      <c r="O2981" s="22" t="s">
        <v>1928</v>
      </c>
      <c r="P2981" s="22" t="str">
        <f>HYPERLINK("https://ceds.ed.gov/cedselementdetails.aspx?termid=22254")</f>
        <v>https://ceds.ed.gov/cedselementdetails.aspx?termid=22254</v>
      </c>
      <c r="Q2981" s="22">
        <v>61563</v>
      </c>
    </row>
    <row r="2982" spans="1:17" ht="57.6" x14ac:dyDescent="0.3">
      <c r="A2982" s="22" t="s">
        <v>7866</v>
      </c>
      <c r="B2982" s="22" t="s">
        <v>7867</v>
      </c>
      <c r="C2982" s="22" t="s">
        <v>7862</v>
      </c>
      <c r="D2982" s="22" t="s">
        <v>7710</v>
      </c>
      <c r="E2982" s="22" t="s">
        <v>6197</v>
      </c>
      <c r="F2982" s="24" t="s">
        <v>6198</v>
      </c>
      <c r="G2982" s="23" t="s">
        <v>32</v>
      </c>
      <c r="H2982" s="24" t="s">
        <v>6201</v>
      </c>
      <c r="I2982" s="22"/>
      <c r="J2982" s="22" t="s">
        <v>118</v>
      </c>
      <c r="K2982" s="24"/>
      <c r="L2982" s="24"/>
      <c r="M2982" s="25" t="s">
        <v>6199</v>
      </c>
      <c r="N2982" s="22"/>
      <c r="O2982" s="22" t="s">
        <v>6200</v>
      </c>
      <c r="P2982" s="22" t="str">
        <f>HYPERLINK("https://ceds.ed.gov/cedselementdetails.aspx?termid=21583")</f>
        <v>https://ceds.ed.gov/cedselementdetails.aspx?termid=21583</v>
      </c>
      <c r="Q2982" s="22">
        <v>60905</v>
      </c>
    </row>
    <row r="2983" spans="1:17" ht="57.6" x14ac:dyDescent="0.3">
      <c r="A2983" s="22" t="s">
        <v>7866</v>
      </c>
      <c r="B2983" s="22" t="s">
        <v>7867</v>
      </c>
      <c r="C2983" s="22" t="s">
        <v>7862</v>
      </c>
      <c r="D2983" s="22" t="s">
        <v>7710</v>
      </c>
      <c r="E2983" s="22" t="s">
        <v>6193</v>
      </c>
      <c r="F2983" s="24" t="s">
        <v>1938</v>
      </c>
      <c r="G2983" s="23" t="s">
        <v>32</v>
      </c>
      <c r="H2983" s="24" t="s">
        <v>6196</v>
      </c>
      <c r="I2983" s="22"/>
      <c r="J2983" s="22" t="s">
        <v>118</v>
      </c>
      <c r="K2983" s="24"/>
      <c r="L2983" s="24" t="s">
        <v>143</v>
      </c>
      <c r="M2983" s="25" t="s">
        <v>6194</v>
      </c>
      <c r="N2983" s="22"/>
      <c r="O2983" s="22" t="s">
        <v>6195</v>
      </c>
      <c r="P2983" s="22" t="str">
        <f>HYPERLINK("https://ceds.ed.gov/cedselementdetails.aspx?termid=21584")</f>
        <v>https://ceds.ed.gov/cedselementdetails.aspx?termid=21584</v>
      </c>
      <c r="Q2983" s="22">
        <v>60906</v>
      </c>
    </row>
    <row r="2984" spans="1:17" ht="43.2" x14ac:dyDescent="0.3">
      <c r="A2984" s="22" t="s">
        <v>7866</v>
      </c>
      <c r="B2984" s="22" t="s">
        <v>7867</v>
      </c>
      <c r="C2984" s="22" t="s">
        <v>7862</v>
      </c>
      <c r="D2984" s="22" t="s">
        <v>7710</v>
      </c>
      <c r="E2984" s="22" t="s">
        <v>1946</v>
      </c>
      <c r="F2984" s="24" t="s">
        <v>1947</v>
      </c>
      <c r="G2984" s="23" t="s">
        <v>32</v>
      </c>
      <c r="H2984" s="22"/>
      <c r="I2984" s="22"/>
      <c r="J2984" s="22" t="s">
        <v>118</v>
      </c>
      <c r="K2984" s="24"/>
      <c r="L2984" s="24"/>
      <c r="M2984" s="25" t="s">
        <v>1948</v>
      </c>
      <c r="N2984" s="22"/>
      <c r="O2984" s="22" t="s">
        <v>1949</v>
      </c>
      <c r="P2984" s="22" t="str">
        <f>HYPERLINK("https://ceds.ed.gov/cedselementdetails.aspx?termid=22563")</f>
        <v>https://ceds.ed.gov/cedselementdetails.aspx?termid=22563</v>
      </c>
      <c r="Q2984" s="22">
        <v>62047</v>
      </c>
    </row>
    <row r="2985" spans="1:17" ht="57.6" x14ac:dyDescent="0.3">
      <c r="A2985" s="22" t="s">
        <v>7866</v>
      </c>
      <c r="B2985" s="22" t="s">
        <v>7867</v>
      </c>
      <c r="C2985" s="22" t="s">
        <v>7862</v>
      </c>
      <c r="D2985" s="22" t="s">
        <v>7710</v>
      </c>
      <c r="E2985" s="22" t="s">
        <v>1937</v>
      </c>
      <c r="F2985" s="24" t="s">
        <v>1938</v>
      </c>
      <c r="G2985" s="23" t="s">
        <v>32</v>
      </c>
      <c r="H2985" s="22"/>
      <c r="I2985" s="22"/>
      <c r="J2985" s="22" t="s">
        <v>118</v>
      </c>
      <c r="K2985" s="24"/>
      <c r="L2985" s="24" t="s">
        <v>143</v>
      </c>
      <c r="M2985" s="25" t="s">
        <v>1940</v>
      </c>
      <c r="N2985" s="22"/>
      <c r="O2985" s="22" t="s">
        <v>1941</v>
      </c>
      <c r="P2985" s="22" t="str">
        <f>HYPERLINK("https://ceds.ed.gov/cedselementdetails.aspx?termid=22562")</f>
        <v>https://ceds.ed.gov/cedselementdetails.aspx?termid=22562</v>
      </c>
      <c r="Q2985" s="22">
        <v>62040</v>
      </c>
    </row>
    <row r="2986" spans="1:17" ht="57.6" x14ac:dyDescent="0.3">
      <c r="A2986" s="22" t="s">
        <v>7866</v>
      </c>
      <c r="B2986" s="22" t="s">
        <v>7867</v>
      </c>
      <c r="C2986" s="22" t="s">
        <v>7862</v>
      </c>
      <c r="D2986" s="22" t="s">
        <v>7710</v>
      </c>
      <c r="E2986" s="22" t="s">
        <v>1920</v>
      </c>
      <c r="F2986" s="24" t="s">
        <v>1921</v>
      </c>
      <c r="G2986" s="26" t="s">
        <v>22</v>
      </c>
      <c r="H2986" s="22" t="s">
        <v>226</v>
      </c>
      <c r="I2986" s="22"/>
      <c r="J2986" s="22"/>
      <c r="K2986" s="24"/>
      <c r="L2986" s="24"/>
      <c r="M2986" s="25" t="s">
        <v>1922</v>
      </c>
      <c r="N2986" s="22" t="s">
        <v>1923</v>
      </c>
      <c r="O2986" s="22" t="s">
        <v>1924</v>
      </c>
      <c r="P2986" s="22" t="str">
        <f>HYPERLINK("https://ceds.ed.gov/cedselementdetails.aspx?termid=21585")</f>
        <v>https://ceds.ed.gov/cedselementdetails.aspx?termid=21585</v>
      </c>
      <c r="Q2986" s="22">
        <v>60908</v>
      </c>
    </row>
    <row r="2987" spans="1:17" ht="86.4" x14ac:dyDescent="0.3">
      <c r="A2987" s="22" t="s">
        <v>7866</v>
      </c>
      <c r="B2987" s="22" t="s">
        <v>7867</v>
      </c>
      <c r="C2987" s="22" t="s">
        <v>7862</v>
      </c>
      <c r="D2987" s="22" t="s">
        <v>7710</v>
      </c>
      <c r="E2987" s="22" t="s">
        <v>1895</v>
      </c>
      <c r="F2987" s="24" t="s">
        <v>1896</v>
      </c>
      <c r="G2987" s="26" t="s">
        <v>22</v>
      </c>
      <c r="H2987" s="24" t="s">
        <v>1901</v>
      </c>
      <c r="I2987" s="22"/>
      <c r="J2987" s="22"/>
      <c r="K2987" s="24"/>
      <c r="L2987" s="24"/>
      <c r="M2987" s="25" t="s">
        <v>1898</v>
      </c>
      <c r="N2987" s="22" t="s">
        <v>1899</v>
      </c>
      <c r="O2987" s="22" t="s">
        <v>1900</v>
      </c>
      <c r="P2987" s="22" t="str">
        <f>HYPERLINK("https://ceds.ed.gov/cedselementdetails.aspx?termid=21037")</f>
        <v>https://ceds.ed.gov/cedselementdetails.aspx?termid=21037</v>
      </c>
      <c r="Q2987" s="22">
        <v>60907</v>
      </c>
    </row>
    <row r="2988" spans="1:17" ht="230.4" x14ac:dyDescent="0.3">
      <c r="A2988" s="22" t="s">
        <v>7866</v>
      </c>
      <c r="B2988" s="22" t="s">
        <v>7867</v>
      </c>
      <c r="C2988" s="22" t="s">
        <v>7862</v>
      </c>
      <c r="D2988" s="22" t="s">
        <v>7710</v>
      </c>
      <c r="E2988" s="22" t="s">
        <v>1955</v>
      </c>
      <c r="F2988" s="24" t="s">
        <v>8035</v>
      </c>
      <c r="G2988" s="26" t="s">
        <v>22</v>
      </c>
      <c r="H2988" s="22" t="s">
        <v>226</v>
      </c>
      <c r="I2988" s="22"/>
      <c r="J2988" s="22"/>
      <c r="K2988" s="24"/>
      <c r="L2988" s="24"/>
      <c r="M2988" s="25" t="s">
        <v>1957</v>
      </c>
      <c r="N2988" s="22" t="s">
        <v>1958</v>
      </c>
      <c r="O2988" s="22" t="s">
        <v>1959</v>
      </c>
      <c r="P2988" s="22" t="str">
        <f>HYPERLINK("https://ceds.ed.gov/cedselementdetails.aspx?termid=21084")</f>
        <v>https://ceds.ed.gov/cedselementdetails.aspx?termid=21084</v>
      </c>
      <c r="Q2988" s="22">
        <v>60909</v>
      </c>
    </row>
    <row r="2989" spans="1:17" ht="72" x14ac:dyDescent="0.3">
      <c r="A2989" s="22" t="s">
        <v>7866</v>
      </c>
      <c r="B2989" s="22" t="s">
        <v>7867</v>
      </c>
      <c r="C2989" s="22" t="s">
        <v>7862</v>
      </c>
      <c r="D2989" s="22" t="s">
        <v>7710</v>
      </c>
      <c r="E2989" s="22" t="s">
        <v>1942</v>
      </c>
      <c r="F2989" s="24" t="s">
        <v>1943</v>
      </c>
      <c r="G2989" s="26" t="s">
        <v>22</v>
      </c>
      <c r="H2989" s="22"/>
      <c r="I2989" s="22"/>
      <c r="J2989" s="22"/>
      <c r="K2989" s="24"/>
      <c r="L2989" s="24"/>
      <c r="M2989" s="25" t="s">
        <v>1944</v>
      </c>
      <c r="N2989" s="22"/>
      <c r="O2989" s="22" t="s">
        <v>1945</v>
      </c>
      <c r="P2989" s="22" t="str">
        <f>HYPERLINK("https://ceds.ed.gov/cedselementdetails.aspx?termid=22257")</f>
        <v>https://ceds.ed.gov/cedselementdetails.aspx?termid=22257</v>
      </c>
      <c r="Q2989" s="22">
        <v>62029</v>
      </c>
    </row>
    <row r="2990" spans="1:17" ht="86.4" x14ac:dyDescent="0.3">
      <c r="A2990" s="22" t="s">
        <v>7866</v>
      </c>
      <c r="B2990" s="22" t="s">
        <v>7867</v>
      </c>
      <c r="C2990" s="22" t="s">
        <v>7862</v>
      </c>
      <c r="D2990" s="22" t="s">
        <v>7710</v>
      </c>
      <c r="E2990" s="22" t="s">
        <v>6782</v>
      </c>
      <c r="F2990" s="24" t="s">
        <v>6783</v>
      </c>
      <c r="G2990" s="26" t="s">
        <v>22</v>
      </c>
      <c r="H2990" s="24" t="s">
        <v>2121</v>
      </c>
      <c r="I2990" s="22"/>
      <c r="J2990" s="22"/>
      <c r="K2990" s="24"/>
      <c r="L2990" s="24"/>
      <c r="M2990" s="25" t="s">
        <v>6785</v>
      </c>
      <c r="N2990" s="22"/>
      <c r="O2990" s="22" t="s">
        <v>6786</v>
      </c>
      <c r="P2990" s="22" t="str">
        <f>HYPERLINK("https://ceds.ed.gov/cedselementdetails.aspx?termid=21573")</f>
        <v>https://ceds.ed.gov/cedselementdetails.aspx?termid=21573</v>
      </c>
      <c r="Q2990" s="22">
        <v>60910</v>
      </c>
    </row>
    <row r="2991" spans="1:17" ht="187.2" x14ac:dyDescent="0.3">
      <c r="A2991" s="22" t="s">
        <v>7866</v>
      </c>
      <c r="B2991" s="22" t="s">
        <v>7867</v>
      </c>
      <c r="C2991" s="22" t="s">
        <v>7862</v>
      </c>
      <c r="D2991" s="22" t="s">
        <v>7710</v>
      </c>
      <c r="E2991" s="22" t="s">
        <v>7394</v>
      </c>
      <c r="F2991" s="24" t="s">
        <v>7395</v>
      </c>
      <c r="G2991" s="26" t="s">
        <v>9190</v>
      </c>
      <c r="H2991" s="22"/>
      <c r="I2991" s="22"/>
      <c r="J2991" s="22"/>
      <c r="K2991" s="24"/>
      <c r="L2991" s="24"/>
      <c r="M2991" s="25" t="s">
        <v>7397</v>
      </c>
      <c r="N2991" s="22"/>
      <c r="O2991" s="22" t="s">
        <v>7398</v>
      </c>
      <c r="P2991" s="22" t="str">
        <f>HYPERLINK("https://ceds.ed.gov/cedselementdetails.aspx?termid=22471")</f>
        <v>https://ceds.ed.gov/cedselementdetails.aspx?termid=22471</v>
      </c>
      <c r="Q2991" s="22">
        <v>61454</v>
      </c>
    </row>
    <row r="2992" spans="1:17" ht="244.8" x14ac:dyDescent="0.3">
      <c r="A2992" s="22" t="s">
        <v>7866</v>
      </c>
      <c r="B2992" s="22" t="s">
        <v>7867</v>
      </c>
      <c r="C2992" s="22" t="s">
        <v>7862</v>
      </c>
      <c r="D2992" s="22" t="s">
        <v>7710</v>
      </c>
      <c r="E2992" s="22" t="s">
        <v>5761</v>
      </c>
      <c r="F2992" s="24" t="s">
        <v>5762</v>
      </c>
      <c r="G2992" s="26" t="s">
        <v>3039</v>
      </c>
      <c r="H2992" s="22"/>
      <c r="I2992" s="22"/>
      <c r="J2992" s="22"/>
      <c r="K2992" s="24"/>
      <c r="L2992" s="24"/>
      <c r="M2992" s="25" t="s">
        <v>5763</v>
      </c>
      <c r="N2992" s="22"/>
      <c r="O2992" s="22" t="s">
        <v>5764</v>
      </c>
      <c r="P2992" s="22" t="str">
        <f>HYPERLINK("https://ceds.ed.gov/cedselementdetails.aspx?termid=22908")</f>
        <v>https://ceds.ed.gov/cedselementdetails.aspx?termid=22908</v>
      </c>
      <c r="Q2992" s="22">
        <v>63257</v>
      </c>
    </row>
    <row r="2993" spans="1:17" ht="28.8" x14ac:dyDescent="0.3">
      <c r="A2993" s="22" t="s">
        <v>7866</v>
      </c>
      <c r="B2993" s="22" t="s">
        <v>7867</v>
      </c>
      <c r="C2993" s="22" t="s">
        <v>7862</v>
      </c>
      <c r="D2993" s="22" t="s">
        <v>7710</v>
      </c>
      <c r="E2993" s="22" t="s">
        <v>6157</v>
      </c>
      <c r="F2993" s="24" t="s">
        <v>6158</v>
      </c>
      <c r="G2993" s="23" t="s">
        <v>32</v>
      </c>
      <c r="H2993" s="22"/>
      <c r="I2993" s="22"/>
      <c r="J2993" s="22" t="s">
        <v>113</v>
      </c>
      <c r="K2993" s="24"/>
      <c r="L2993" s="24"/>
      <c r="M2993" s="25" t="s">
        <v>6159</v>
      </c>
      <c r="N2993" s="22"/>
      <c r="O2993" s="22" t="s">
        <v>6160</v>
      </c>
      <c r="P2993" s="22" t="str">
        <f>HYPERLINK("https://ceds.ed.gov/cedselementdetails.aspx?termid=22909")</f>
        <v>https://ceds.ed.gov/cedselementdetails.aspx?termid=22909</v>
      </c>
      <c r="Q2993" s="22">
        <v>63258</v>
      </c>
    </row>
    <row r="2994" spans="1:17" ht="43.2" x14ac:dyDescent="0.3">
      <c r="A2994" s="22" t="s">
        <v>7866</v>
      </c>
      <c r="B2994" s="22" t="s">
        <v>7867</v>
      </c>
      <c r="C2994" s="22" t="s">
        <v>7862</v>
      </c>
      <c r="D2994" s="22" t="s">
        <v>7710</v>
      </c>
      <c r="E2994" s="22" t="s">
        <v>396</v>
      </c>
      <c r="F2994" s="24" t="s">
        <v>7963</v>
      </c>
      <c r="G2994" s="23" t="s">
        <v>32</v>
      </c>
      <c r="H2994" s="24" t="s">
        <v>399</v>
      </c>
      <c r="I2994" s="22"/>
      <c r="J2994" s="22" t="s">
        <v>118</v>
      </c>
      <c r="K2994" s="24"/>
      <c r="L2994" s="24"/>
      <c r="M2994" s="25" t="s">
        <v>397</v>
      </c>
      <c r="N2994" s="22"/>
      <c r="O2994" s="22" t="s">
        <v>398</v>
      </c>
      <c r="P2994" s="22" t="str">
        <f>HYPERLINK("https://ceds.ed.gov/cedselementdetails.aspx?termid=21323")</f>
        <v>https://ceds.ed.gov/cedselementdetails.aspx?termid=21323</v>
      </c>
      <c r="Q2994" s="22">
        <v>63493</v>
      </c>
    </row>
    <row r="2995" spans="1:17" ht="216" x14ac:dyDescent="0.3">
      <c r="A2995" s="22" t="s">
        <v>7866</v>
      </c>
      <c r="B2995" s="22" t="s">
        <v>7867</v>
      </c>
      <c r="C2995" s="22" t="s">
        <v>7862</v>
      </c>
      <c r="D2995" s="22" t="s">
        <v>7710</v>
      </c>
      <c r="E2995" s="22" t="s">
        <v>7656</v>
      </c>
      <c r="F2995" s="24" t="s">
        <v>7657</v>
      </c>
      <c r="G2995" s="26" t="s">
        <v>8514</v>
      </c>
      <c r="H2995" s="22"/>
      <c r="I2995" s="22" t="s">
        <v>172</v>
      </c>
      <c r="J2995" s="22"/>
      <c r="K2995" s="24" t="s">
        <v>7995</v>
      </c>
      <c r="L2995" s="24"/>
      <c r="M2995" s="25" t="s">
        <v>7658</v>
      </c>
      <c r="N2995" s="22"/>
      <c r="O2995" s="22" t="s">
        <v>7656</v>
      </c>
      <c r="P2995" s="22" t="str">
        <f>HYPERLINK("https://ceds.ed.gov/cedselementdetails.aspx?termid=22959")</f>
        <v>https://ceds.ed.gov/cedselementdetails.aspx?termid=22959</v>
      </c>
      <c r="Q2995" s="22">
        <v>63494</v>
      </c>
    </row>
    <row r="2996" spans="1:17" ht="43.2" x14ac:dyDescent="0.3">
      <c r="A2996" s="22" t="s">
        <v>7866</v>
      </c>
      <c r="B2996" s="22" t="s">
        <v>7867</v>
      </c>
      <c r="C2996" s="22" t="s">
        <v>7868</v>
      </c>
      <c r="D2996" s="22" t="s">
        <v>7710</v>
      </c>
      <c r="E2996" s="22" t="s">
        <v>1929</v>
      </c>
      <c r="F2996" s="24" t="s">
        <v>1930</v>
      </c>
      <c r="G2996" s="23" t="s">
        <v>32</v>
      </c>
      <c r="H2996" s="22"/>
      <c r="I2996" s="22"/>
      <c r="J2996" s="22" t="s">
        <v>118</v>
      </c>
      <c r="K2996" s="24"/>
      <c r="L2996" s="24"/>
      <c r="M2996" s="25" t="s">
        <v>1931</v>
      </c>
      <c r="N2996" s="22"/>
      <c r="O2996" s="22" t="s">
        <v>1932</v>
      </c>
      <c r="P2996" s="22" t="str">
        <f>HYPERLINK("https://ceds.ed.gov/cedselementdetails.aspx?termid=22255")</f>
        <v>https://ceds.ed.gov/cedselementdetails.aspx?termid=22255</v>
      </c>
      <c r="Q2996" s="22">
        <v>61531</v>
      </c>
    </row>
    <row r="2997" spans="1:17" ht="72" x14ac:dyDescent="0.3">
      <c r="A2997" s="22" t="s">
        <v>7866</v>
      </c>
      <c r="B2997" s="22" t="s">
        <v>7867</v>
      </c>
      <c r="C2997" s="22" t="s">
        <v>7868</v>
      </c>
      <c r="D2997" s="22" t="s">
        <v>7710</v>
      </c>
      <c r="E2997" s="22" t="s">
        <v>1933</v>
      </c>
      <c r="F2997" s="24" t="s">
        <v>1934</v>
      </c>
      <c r="G2997" s="26" t="s">
        <v>8713</v>
      </c>
      <c r="H2997" s="22"/>
      <c r="I2997" s="22"/>
      <c r="J2997" s="22"/>
      <c r="K2997" s="24"/>
      <c r="L2997" s="24"/>
      <c r="M2997" s="25" t="s">
        <v>1935</v>
      </c>
      <c r="N2997" s="22"/>
      <c r="O2997" s="22" t="s">
        <v>1936</v>
      </c>
      <c r="P2997" s="22" t="str">
        <f>HYPERLINK("https://ceds.ed.gov/cedselementdetails.aspx?termid=22256")</f>
        <v>https://ceds.ed.gov/cedselementdetails.aspx?termid=22256</v>
      </c>
      <c r="Q2997" s="22">
        <v>61532</v>
      </c>
    </row>
    <row r="2998" spans="1:17" ht="115.2" x14ac:dyDescent="0.3">
      <c r="A2998" s="22" t="s">
        <v>7866</v>
      </c>
      <c r="B2998" s="22" t="s">
        <v>7867</v>
      </c>
      <c r="C2998" s="22" t="s">
        <v>7754</v>
      </c>
      <c r="D2998" s="22" t="s">
        <v>7710</v>
      </c>
      <c r="E2998" s="22" t="s">
        <v>4923</v>
      </c>
      <c r="F2998" s="24" t="s">
        <v>4924</v>
      </c>
      <c r="G2998" s="23" t="s">
        <v>7423</v>
      </c>
      <c r="H2998" s="24" t="s">
        <v>4927</v>
      </c>
      <c r="I2998" s="22"/>
      <c r="J2998" s="22"/>
      <c r="K2998" s="24"/>
      <c r="L2998" s="24" t="s">
        <v>7994</v>
      </c>
      <c r="M2998" s="25" t="s">
        <v>4925</v>
      </c>
      <c r="N2998" s="22"/>
      <c r="O2998" s="22" t="s">
        <v>4926</v>
      </c>
      <c r="P2998" s="22" t="str">
        <f>HYPERLINK("https://ceds.ed.gov/cedselementdetails.aspx?termid=21317")</f>
        <v>https://ceds.ed.gov/cedselementdetails.aspx?termid=21317</v>
      </c>
      <c r="Q2998" s="22">
        <v>63253</v>
      </c>
    </row>
    <row r="2999" spans="1:17" ht="115.2" x14ac:dyDescent="0.3">
      <c r="A2999" s="22" t="s">
        <v>7866</v>
      </c>
      <c r="B2999" s="22" t="s">
        <v>7867</v>
      </c>
      <c r="C2999" s="22" t="s">
        <v>7754</v>
      </c>
      <c r="D2999" s="22" t="s">
        <v>7710</v>
      </c>
      <c r="E2999" s="22" t="s">
        <v>4928</v>
      </c>
      <c r="F2999" s="24" t="s">
        <v>4924</v>
      </c>
      <c r="G2999" s="23" t="s">
        <v>7423</v>
      </c>
      <c r="H2999" s="22"/>
      <c r="I2999" s="22" t="s">
        <v>172</v>
      </c>
      <c r="J2999" s="22"/>
      <c r="K2999" s="24" t="s">
        <v>8231</v>
      </c>
      <c r="L2999" s="24" t="s">
        <v>8232</v>
      </c>
      <c r="M2999" s="25" t="s">
        <v>4929</v>
      </c>
      <c r="N2999" s="22"/>
      <c r="O2999" s="22" t="s">
        <v>4930</v>
      </c>
      <c r="P2999" s="22" t="str">
        <f>HYPERLINK("https://ceds.ed.gov/cedselementdetails.aspx?termid=22618")</f>
        <v>https://ceds.ed.gov/cedselementdetails.aspx?termid=22618</v>
      </c>
      <c r="Q2999" s="22">
        <v>63254</v>
      </c>
    </row>
    <row r="3000" spans="1:17" ht="409.6" x14ac:dyDescent="0.3">
      <c r="A3000" s="22" t="s">
        <v>7866</v>
      </c>
      <c r="B3000" s="22" t="s">
        <v>7867</v>
      </c>
      <c r="C3000" s="22" t="s">
        <v>7754</v>
      </c>
      <c r="D3000" s="22" t="s">
        <v>7710</v>
      </c>
      <c r="E3000" s="22" t="s">
        <v>4931</v>
      </c>
      <c r="F3000" s="24" t="s">
        <v>4932</v>
      </c>
      <c r="G3000" s="26" t="s">
        <v>8988</v>
      </c>
      <c r="H3000" s="22"/>
      <c r="I3000" s="22"/>
      <c r="J3000" s="22"/>
      <c r="K3000" s="24"/>
      <c r="L3000" s="24" t="s">
        <v>8233</v>
      </c>
      <c r="M3000" s="25" t="s">
        <v>4933</v>
      </c>
      <c r="N3000" s="22"/>
      <c r="O3000" s="22" t="s">
        <v>4934</v>
      </c>
      <c r="P3000" s="22" t="str">
        <f>HYPERLINK("https://ceds.ed.gov/cedselementdetails.aspx?termid=22619")</f>
        <v>https://ceds.ed.gov/cedselementdetails.aspx?termid=22619</v>
      </c>
      <c r="Q3000" s="22">
        <v>63255</v>
      </c>
    </row>
    <row r="3001" spans="1:17" ht="129.6" x14ac:dyDescent="0.3">
      <c r="A3001" s="22" t="s">
        <v>7866</v>
      </c>
      <c r="B3001" s="22" t="s">
        <v>7867</v>
      </c>
      <c r="C3001" s="22" t="s">
        <v>7754</v>
      </c>
      <c r="D3001" s="22" t="s">
        <v>7710</v>
      </c>
      <c r="E3001" s="22" t="s">
        <v>4965</v>
      </c>
      <c r="F3001" s="24" t="s">
        <v>4966</v>
      </c>
      <c r="G3001" s="26" t="s">
        <v>8993</v>
      </c>
      <c r="H3001" s="24" t="s">
        <v>4927</v>
      </c>
      <c r="I3001" s="22"/>
      <c r="J3001" s="22"/>
      <c r="K3001" s="24"/>
      <c r="L3001" s="24"/>
      <c r="M3001" s="25" t="s">
        <v>4967</v>
      </c>
      <c r="N3001" s="22"/>
      <c r="O3001" s="22" t="s">
        <v>4968</v>
      </c>
      <c r="P3001" s="22" t="str">
        <f>HYPERLINK("https://ceds.ed.gov/cedselementdetails.aspx?termid=21316")</f>
        <v>https://ceds.ed.gov/cedselementdetails.aspx?termid=21316</v>
      </c>
      <c r="Q3001" s="22">
        <v>63256</v>
      </c>
    </row>
    <row r="3002" spans="1:17" ht="409.6" x14ac:dyDescent="0.3">
      <c r="A3002" s="22" t="s">
        <v>7866</v>
      </c>
      <c r="B3002" s="22" t="s">
        <v>7867</v>
      </c>
      <c r="C3002" s="22" t="s">
        <v>7766</v>
      </c>
      <c r="D3002" s="22" t="s">
        <v>7710</v>
      </c>
      <c r="E3002" s="22" t="s">
        <v>5851</v>
      </c>
      <c r="F3002" s="24" t="s">
        <v>5852</v>
      </c>
      <c r="G3002" s="26" t="s">
        <v>9062</v>
      </c>
      <c r="H3002" s="22" t="s">
        <v>1553</v>
      </c>
      <c r="I3002" s="22"/>
      <c r="J3002" s="22"/>
      <c r="K3002" s="24"/>
      <c r="L3002" s="24" t="s">
        <v>5853</v>
      </c>
      <c r="M3002" s="25" t="s">
        <v>5854</v>
      </c>
      <c r="N3002" s="22"/>
      <c r="O3002" s="22" t="s">
        <v>5855</v>
      </c>
      <c r="P3002" s="22" t="str">
        <f>HYPERLINK("https://ceds.ed.gov/cedselementdetails.aspx?termid=21415")</f>
        <v>https://ceds.ed.gov/cedselementdetails.aspx?termid=21415</v>
      </c>
      <c r="Q3002" s="22">
        <v>63259</v>
      </c>
    </row>
    <row r="3003" spans="1:17" ht="43.2" x14ac:dyDescent="0.3">
      <c r="A3003" s="22" t="s">
        <v>7866</v>
      </c>
      <c r="B3003" s="22" t="s">
        <v>7867</v>
      </c>
      <c r="C3003" s="22" t="s">
        <v>4</v>
      </c>
      <c r="D3003" s="22" t="s">
        <v>7710</v>
      </c>
      <c r="E3003" s="22" t="s">
        <v>1527</v>
      </c>
      <c r="F3003" s="24" t="s">
        <v>1528</v>
      </c>
      <c r="G3003" s="26" t="s">
        <v>22</v>
      </c>
      <c r="H3003" s="22"/>
      <c r="I3003" s="22"/>
      <c r="J3003" s="22"/>
      <c r="K3003" s="24"/>
      <c r="L3003" s="24"/>
      <c r="M3003" s="25" t="s">
        <v>1529</v>
      </c>
      <c r="N3003" s="22"/>
      <c r="O3003" s="22" t="s">
        <v>1530</v>
      </c>
      <c r="P3003" s="22" t="str">
        <f>HYPERLINK("https://ceds.ed.gov/cedselementdetails.aspx?termid=22903")</f>
        <v>https://ceds.ed.gov/cedselementdetails.aspx?termid=22903</v>
      </c>
      <c r="Q3003" s="22">
        <v>63260</v>
      </c>
    </row>
    <row r="3004" spans="1:17" ht="57.6" x14ac:dyDescent="0.3">
      <c r="A3004" s="22" t="s">
        <v>7866</v>
      </c>
      <c r="B3004" s="22" t="s">
        <v>7867</v>
      </c>
      <c r="C3004" s="22" t="s">
        <v>4</v>
      </c>
      <c r="D3004" s="22" t="s">
        <v>7710</v>
      </c>
      <c r="E3004" s="22" t="s">
        <v>6262</v>
      </c>
      <c r="F3004" s="24" t="s">
        <v>6263</v>
      </c>
      <c r="G3004" s="26" t="s">
        <v>22</v>
      </c>
      <c r="H3004" s="22"/>
      <c r="I3004" s="22"/>
      <c r="J3004" s="22"/>
      <c r="K3004" s="24"/>
      <c r="L3004" s="24"/>
      <c r="M3004" s="25" t="s">
        <v>6264</v>
      </c>
      <c r="N3004" s="22"/>
      <c r="O3004" s="22" t="s">
        <v>6265</v>
      </c>
      <c r="P3004" s="22" t="str">
        <f>HYPERLINK("https://ceds.ed.gov/cedselementdetails.aspx?termid=21760")</f>
        <v>https://ceds.ed.gov/cedselementdetails.aspx?termid=21760</v>
      </c>
      <c r="Q3004" s="22">
        <v>63261</v>
      </c>
    </row>
    <row r="3005" spans="1:17" ht="86.4" x14ac:dyDescent="0.3">
      <c r="A3005" s="22" t="s">
        <v>7866</v>
      </c>
      <c r="B3005" s="22" t="s">
        <v>7867</v>
      </c>
      <c r="C3005" s="22" t="s">
        <v>4</v>
      </c>
      <c r="D3005" s="22" t="s">
        <v>7710</v>
      </c>
      <c r="E3005" s="22" t="s">
        <v>1950</v>
      </c>
      <c r="F3005" s="24" t="s">
        <v>1951</v>
      </c>
      <c r="G3005" s="26" t="s">
        <v>8714</v>
      </c>
      <c r="H3005" s="22" t="s">
        <v>226</v>
      </c>
      <c r="I3005" s="22"/>
      <c r="J3005" s="22"/>
      <c r="K3005" s="24"/>
      <c r="L3005" s="24"/>
      <c r="M3005" s="25" t="s">
        <v>1952</v>
      </c>
      <c r="N3005" s="22" t="s">
        <v>1953</v>
      </c>
      <c r="O3005" s="22" t="s">
        <v>1954</v>
      </c>
      <c r="P3005" s="22" t="str">
        <f>HYPERLINK("https://ceds.ed.gov/cedselementdetails.aspx?termid=21581")</f>
        <v>https://ceds.ed.gov/cedselementdetails.aspx?termid=21581</v>
      </c>
      <c r="Q3005" s="22">
        <v>63495</v>
      </c>
    </row>
    <row r="3006" spans="1:17" ht="57.6" x14ac:dyDescent="0.3">
      <c r="A3006" s="22" t="s">
        <v>7866</v>
      </c>
      <c r="B3006" s="22" t="s">
        <v>7867</v>
      </c>
      <c r="C3006" s="22" t="s">
        <v>7767</v>
      </c>
      <c r="D3006" s="22" t="s">
        <v>7710</v>
      </c>
      <c r="E3006" s="22" t="s">
        <v>7559</v>
      </c>
      <c r="F3006" s="24" t="s">
        <v>7560</v>
      </c>
      <c r="G3006" s="23" t="s">
        <v>32</v>
      </c>
      <c r="H3006" s="22"/>
      <c r="I3006" s="22"/>
      <c r="J3006" s="22" t="s">
        <v>148</v>
      </c>
      <c r="K3006" s="24"/>
      <c r="L3006" s="24" t="s">
        <v>7561</v>
      </c>
      <c r="M3006" s="25" t="s">
        <v>7562</v>
      </c>
      <c r="N3006" s="22"/>
      <c r="O3006" s="22" t="s">
        <v>7563</v>
      </c>
      <c r="P3006" s="22" t="str">
        <f>HYPERLINK("https://ceds.ed.gov/cedselementdetails.aspx?termid=22938")</f>
        <v>https://ceds.ed.gov/cedselementdetails.aspx?termid=22938</v>
      </c>
      <c r="Q3006" s="22">
        <v>63489</v>
      </c>
    </row>
    <row r="3007" spans="1:17" ht="43.2" x14ac:dyDescent="0.3">
      <c r="A3007" s="22" t="s">
        <v>7866</v>
      </c>
      <c r="B3007" s="22" t="s">
        <v>7867</v>
      </c>
      <c r="C3007" s="22" t="s">
        <v>7767</v>
      </c>
      <c r="D3007" s="22" t="s">
        <v>7710</v>
      </c>
      <c r="E3007" s="22" t="s">
        <v>7569</v>
      </c>
      <c r="F3007" s="24" t="s">
        <v>7570</v>
      </c>
      <c r="G3007" s="23" t="s">
        <v>32</v>
      </c>
      <c r="H3007" s="22"/>
      <c r="I3007" s="22"/>
      <c r="J3007" s="22" t="s">
        <v>845</v>
      </c>
      <c r="K3007" s="24"/>
      <c r="L3007" s="24" t="s">
        <v>7571</v>
      </c>
      <c r="M3007" s="25" t="s">
        <v>7572</v>
      </c>
      <c r="N3007" s="22"/>
      <c r="O3007" s="22" t="s">
        <v>7573</v>
      </c>
      <c r="P3007" s="22" t="str">
        <f>HYPERLINK("https://ceds.ed.gov/cedselementdetails.aspx?termid=22940")</f>
        <v>https://ceds.ed.gov/cedselementdetails.aspx?termid=22940</v>
      </c>
      <c r="Q3007" s="22">
        <v>63490</v>
      </c>
    </row>
    <row r="3008" spans="1:17" ht="57.6" x14ac:dyDescent="0.3">
      <c r="A3008" s="22" t="s">
        <v>7866</v>
      </c>
      <c r="B3008" s="22" t="s">
        <v>7867</v>
      </c>
      <c r="C3008" s="22" t="s">
        <v>7767</v>
      </c>
      <c r="D3008" s="22" t="s">
        <v>7710</v>
      </c>
      <c r="E3008" s="22" t="s">
        <v>7574</v>
      </c>
      <c r="F3008" s="24" t="s">
        <v>7575</v>
      </c>
      <c r="G3008" s="23" t="s">
        <v>32</v>
      </c>
      <c r="H3008" s="22"/>
      <c r="I3008" s="22"/>
      <c r="J3008" s="22" t="s">
        <v>148</v>
      </c>
      <c r="K3008" s="24"/>
      <c r="L3008" s="24" t="s">
        <v>7576</v>
      </c>
      <c r="M3008" s="25" t="s">
        <v>7577</v>
      </c>
      <c r="N3008" s="22"/>
      <c r="O3008" s="22" t="s">
        <v>7578</v>
      </c>
      <c r="P3008" s="22" t="str">
        <f>HYPERLINK("https://ceds.ed.gov/cedselementdetails.aspx?termid=22941")</f>
        <v>https://ceds.ed.gov/cedselementdetails.aspx?termid=22941</v>
      </c>
      <c r="Q3008" s="22">
        <v>63491</v>
      </c>
    </row>
    <row r="3009" spans="1:17" ht="158.4" x14ac:dyDescent="0.3">
      <c r="A3009" s="22" t="s">
        <v>7866</v>
      </c>
      <c r="B3009" s="22" t="s">
        <v>7869</v>
      </c>
      <c r="C3009" s="22" t="s">
        <v>7738</v>
      </c>
      <c r="D3009" s="22" t="s">
        <v>7710</v>
      </c>
      <c r="E3009" s="22" t="s">
        <v>4050</v>
      </c>
      <c r="F3009" s="24" t="s">
        <v>4051</v>
      </c>
      <c r="G3009" s="23" t="s">
        <v>32</v>
      </c>
      <c r="H3009" s="24" t="s">
        <v>4054</v>
      </c>
      <c r="I3009" s="22"/>
      <c r="J3009" s="22" t="s">
        <v>7536</v>
      </c>
      <c r="K3009" s="24"/>
      <c r="L3009" s="24" t="s">
        <v>8200</v>
      </c>
      <c r="M3009" s="25" t="s">
        <v>4052</v>
      </c>
      <c r="N3009" s="22"/>
      <c r="O3009" s="22" t="s">
        <v>4053</v>
      </c>
      <c r="P3009" s="22" t="str">
        <f>HYPERLINK("https://ceds.ed.gov/cedselementdetails.aspx?termid=21115")</f>
        <v>https://ceds.ed.gov/cedselementdetails.aspx?termid=21115</v>
      </c>
      <c r="Q3009" s="22">
        <v>61550</v>
      </c>
    </row>
    <row r="3010" spans="1:17" ht="158.4" x14ac:dyDescent="0.3">
      <c r="A3010" s="22" t="s">
        <v>7866</v>
      </c>
      <c r="B3010" s="22" t="s">
        <v>7869</v>
      </c>
      <c r="C3010" s="22" t="s">
        <v>7738</v>
      </c>
      <c r="D3010" s="22" t="s">
        <v>7710</v>
      </c>
      <c r="E3010" s="22" t="s">
        <v>5415</v>
      </c>
      <c r="F3010" s="24" t="s">
        <v>5416</v>
      </c>
      <c r="G3010" s="23" t="s">
        <v>32</v>
      </c>
      <c r="H3010" s="24" t="s">
        <v>4054</v>
      </c>
      <c r="I3010" s="22"/>
      <c r="J3010" s="22" t="s">
        <v>7536</v>
      </c>
      <c r="K3010" s="24"/>
      <c r="L3010" s="24" t="s">
        <v>8207</v>
      </c>
      <c r="M3010" s="25" t="s">
        <v>5417</v>
      </c>
      <c r="N3010" s="22"/>
      <c r="O3010" s="22" t="s">
        <v>5418</v>
      </c>
      <c r="P3010" s="22" t="str">
        <f>HYPERLINK("https://ceds.ed.gov/cedselementdetails.aspx?termid=21184")</f>
        <v>https://ceds.ed.gov/cedselementdetails.aspx?termid=21184</v>
      </c>
      <c r="Q3010" s="22">
        <v>61551</v>
      </c>
    </row>
    <row r="3011" spans="1:17" ht="158.4" x14ac:dyDescent="0.3">
      <c r="A3011" s="22" t="s">
        <v>7866</v>
      </c>
      <c r="B3011" s="22" t="s">
        <v>7869</v>
      </c>
      <c r="C3011" s="22" t="s">
        <v>7738</v>
      </c>
      <c r="D3011" s="22" t="s">
        <v>7710</v>
      </c>
      <c r="E3011" s="22" t="s">
        <v>4973</v>
      </c>
      <c r="F3011" s="24" t="s">
        <v>4974</v>
      </c>
      <c r="G3011" s="23" t="s">
        <v>32</v>
      </c>
      <c r="H3011" s="24" t="s">
        <v>4054</v>
      </c>
      <c r="I3011" s="22"/>
      <c r="J3011" s="22" t="s">
        <v>7536</v>
      </c>
      <c r="K3011" s="24"/>
      <c r="L3011" s="24" t="s">
        <v>8207</v>
      </c>
      <c r="M3011" s="25" t="s">
        <v>4975</v>
      </c>
      <c r="N3011" s="22" t="s">
        <v>4976</v>
      </c>
      <c r="O3011" s="22" t="s">
        <v>4977</v>
      </c>
      <c r="P3011" s="22" t="str">
        <f>HYPERLINK("https://ceds.ed.gov/cedselementdetails.aspx?termid=21172")</f>
        <v>https://ceds.ed.gov/cedselementdetails.aspx?termid=21172</v>
      </c>
      <c r="Q3011" s="22">
        <v>61552</v>
      </c>
    </row>
    <row r="3012" spans="1:17" ht="129.6" x14ac:dyDescent="0.3">
      <c r="A3012" s="22" t="s">
        <v>7866</v>
      </c>
      <c r="B3012" s="22" t="s">
        <v>7869</v>
      </c>
      <c r="C3012" s="22" t="s">
        <v>7738</v>
      </c>
      <c r="D3012" s="22" t="s">
        <v>7710</v>
      </c>
      <c r="E3012" s="22" t="s">
        <v>4114</v>
      </c>
      <c r="F3012" s="24" t="s">
        <v>4115</v>
      </c>
      <c r="G3012" s="23" t="s">
        <v>32</v>
      </c>
      <c r="H3012" s="24" t="s">
        <v>4119</v>
      </c>
      <c r="I3012" s="22"/>
      <c r="J3012" s="22" t="s">
        <v>2743</v>
      </c>
      <c r="K3012" s="24"/>
      <c r="L3012" s="24" t="s">
        <v>8207</v>
      </c>
      <c r="M3012" s="25" t="s">
        <v>4117</v>
      </c>
      <c r="N3012" s="22"/>
      <c r="O3012" s="22" t="s">
        <v>4118</v>
      </c>
      <c r="P3012" s="22" t="str">
        <f>HYPERLINK("https://ceds.ed.gov/cedselementdetails.aspx?termid=21121")</f>
        <v>https://ceds.ed.gov/cedselementdetails.aspx?termid=21121</v>
      </c>
      <c r="Q3012" s="22">
        <v>61553</v>
      </c>
    </row>
    <row r="3013" spans="1:17" ht="86.4" x14ac:dyDescent="0.3">
      <c r="A3013" s="22" t="s">
        <v>7866</v>
      </c>
      <c r="B3013" s="22" t="s">
        <v>7869</v>
      </c>
      <c r="C3013" s="22" t="s">
        <v>7738</v>
      </c>
      <c r="D3013" s="22" t="s">
        <v>7710</v>
      </c>
      <c r="E3013" s="22" t="s">
        <v>5860</v>
      </c>
      <c r="F3013" s="24" t="s">
        <v>5861</v>
      </c>
      <c r="G3013" s="23" t="s">
        <v>32</v>
      </c>
      <c r="H3013" s="24" t="s">
        <v>5865</v>
      </c>
      <c r="I3013" s="22"/>
      <c r="J3013" s="22" t="s">
        <v>85</v>
      </c>
      <c r="K3013" s="24"/>
      <c r="L3013" s="24"/>
      <c r="M3013" s="25" t="s">
        <v>5862</v>
      </c>
      <c r="N3013" s="22" t="s">
        <v>5863</v>
      </c>
      <c r="O3013" s="22" t="s">
        <v>5864</v>
      </c>
      <c r="P3013" s="22" t="str">
        <f>HYPERLINK("https://ceds.ed.gov/cedselementdetails.aspx?termid=21212")</f>
        <v>https://ceds.ed.gov/cedselementdetails.aspx?termid=21212</v>
      </c>
      <c r="Q3013" s="22">
        <v>61554</v>
      </c>
    </row>
    <row r="3014" spans="1:17" ht="28.8" x14ac:dyDescent="0.3">
      <c r="A3014" s="22" t="s">
        <v>7866</v>
      </c>
      <c r="B3014" s="22" t="s">
        <v>7869</v>
      </c>
      <c r="C3014" s="22" t="s">
        <v>7739</v>
      </c>
      <c r="D3014" s="22" t="s">
        <v>7710</v>
      </c>
      <c r="E3014" s="22" t="s">
        <v>5728</v>
      </c>
      <c r="F3014" s="24" t="s">
        <v>5729</v>
      </c>
      <c r="G3014" s="23" t="s">
        <v>32</v>
      </c>
      <c r="H3014" s="22"/>
      <c r="I3014" s="22"/>
      <c r="J3014" s="22" t="s">
        <v>1301</v>
      </c>
      <c r="K3014" s="24"/>
      <c r="L3014" s="24" t="s">
        <v>5730</v>
      </c>
      <c r="M3014" s="25" t="s">
        <v>5731</v>
      </c>
      <c r="N3014" s="22"/>
      <c r="O3014" s="22" t="s">
        <v>5732</v>
      </c>
      <c r="P3014" s="22" t="str">
        <f>HYPERLINK("https://ceds.ed.gov/cedselementdetails.aspx?termid=22486")</f>
        <v>https://ceds.ed.gov/cedselementdetails.aspx?termid=22486</v>
      </c>
      <c r="Q3014" s="22">
        <v>61642</v>
      </c>
    </row>
    <row r="3015" spans="1:17" ht="28.8" x14ac:dyDescent="0.3">
      <c r="A3015" s="22" t="s">
        <v>7866</v>
      </c>
      <c r="B3015" s="22" t="s">
        <v>7869</v>
      </c>
      <c r="C3015" s="22" t="s">
        <v>7739</v>
      </c>
      <c r="D3015" s="22" t="s">
        <v>7710</v>
      </c>
      <c r="E3015" s="22" t="s">
        <v>5733</v>
      </c>
      <c r="F3015" s="24" t="s">
        <v>5734</v>
      </c>
      <c r="G3015" s="23" t="s">
        <v>32</v>
      </c>
      <c r="H3015" s="22"/>
      <c r="I3015" s="22"/>
      <c r="J3015" s="22" t="s">
        <v>1301</v>
      </c>
      <c r="K3015" s="24"/>
      <c r="L3015" s="24" t="s">
        <v>5735</v>
      </c>
      <c r="M3015" s="25" t="s">
        <v>5736</v>
      </c>
      <c r="N3015" s="22"/>
      <c r="O3015" s="22" t="s">
        <v>5737</v>
      </c>
      <c r="P3015" s="22" t="str">
        <f>HYPERLINK("https://ceds.ed.gov/cedselementdetails.aspx?termid=22485")</f>
        <v>https://ceds.ed.gov/cedselementdetails.aspx?termid=22485</v>
      </c>
      <c r="Q3015" s="22">
        <v>61626</v>
      </c>
    </row>
    <row r="3016" spans="1:17" ht="28.8" x14ac:dyDescent="0.3">
      <c r="A3016" s="22" t="s">
        <v>7866</v>
      </c>
      <c r="B3016" s="22" t="s">
        <v>7869</v>
      </c>
      <c r="C3016" s="22" t="s">
        <v>7739</v>
      </c>
      <c r="D3016" s="22" t="s">
        <v>7710</v>
      </c>
      <c r="E3016" s="22" t="s">
        <v>5738</v>
      </c>
      <c r="F3016" s="24" t="s">
        <v>5739</v>
      </c>
      <c r="G3016" s="23" t="s">
        <v>32</v>
      </c>
      <c r="H3016" s="22"/>
      <c r="I3016" s="22"/>
      <c r="J3016" s="22" t="s">
        <v>1301</v>
      </c>
      <c r="K3016" s="24"/>
      <c r="L3016" s="24" t="s">
        <v>5740</v>
      </c>
      <c r="M3016" s="25" t="s">
        <v>5741</v>
      </c>
      <c r="N3016" s="22"/>
      <c r="O3016" s="22" t="s">
        <v>5742</v>
      </c>
      <c r="P3016" s="22" t="str">
        <f>HYPERLINK("https://ceds.ed.gov/cedselementdetails.aspx?termid=22487")</f>
        <v>https://ceds.ed.gov/cedselementdetails.aspx?termid=22487</v>
      </c>
      <c r="Q3016" s="22">
        <v>61658</v>
      </c>
    </row>
    <row r="3017" spans="1:17" ht="129.6" x14ac:dyDescent="0.3">
      <c r="A3017" s="22" t="s">
        <v>7866</v>
      </c>
      <c r="B3017" s="22" t="s">
        <v>7869</v>
      </c>
      <c r="C3017" s="22" t="s">
        <v>7739</v>
      </c>
      <c r="D3017" s="22" t="s">
        <v>7710</v>
      </c>
      <c r="E3017" s="22" t="s">
        <v>5743</v>
      </c>
      <c r="F3017" s="24" t="s">
        <v>5744</v>
      </c>
      <c r="G3017" s="23" t="s">
        <v>32</v>
      </c>
      <c r="H3017" s="24" t="s">
        <v>4119</v>
      </c>
      <c r="I3017" s="22"/>
      <c r="J3017" s="22" t="s">
        <v>132</v>
      </c>
      <c r="K3017" s="24"/>
      <c r="L3017" s="24"/>
      <c r="M3017" s="25" t="s">
        <v>5745</v>
      </c>
      <c r="N3017" s="22"/>
      <c r="O3017" s="22" t="s">
        <v>5746</v>
      </c>
      <c r="P3017" s="22" t="str">
        <f>HYPERLINK("https://ceds.ed.gov/cedselementdetails.aspx?termid=21206")</f>
        <v>https://ceds.ed.gov/cedselementdetails.aspx?termid=21206</v>
      </c>
      <c r="Q3017" s="22">
        <v>61555</v>
      </c>
    </row>
    <row r="3018" spans="1:17" ht="115.2" x14ac:dyDescent="0.3">
      <c r="A3018" s="22" t="s">
        <v>7866</v>
      </c>
      <c r="B3018" s="22" t="s">
        <v>7869</v>
      </c>
      <c r="C3018" s="22" t="s">
        <v>7739</v>
      </c>
      <c r="D3018" s="22" t="s">
        <v>7710</v>
      </c>
      <c r="E3018" s="22" t="s">
        <v>5747</v>
      </c>
      <c r="F3018" s="24" t="s">
        <v>5748</v>
      </c>
      <c r="G3018" s="26" t="s">
        <v>9055</v>
      </c>
      <c r="H3018" s="24" t="s">
        <v>5751</v>
      </c>
      <c r="I3018" s="22"/>
      <c r="J3018" s="22" t="s">
        <v>85</v>
      </c>
      <c r="K3018" s="24"/>
      <c r="L3018" s="24"/>
      <c r="M3018" s="25" t="s">
        <v>5749</v>
      </c>
      <c r="N3018" s="22"/>
      <c r="O3018" s="22" t="s">
        <v>5750</v>
      </c>
      <c r="P3018" s="22" t="str">
        <f>HYPERLINK("https://ceds.ed.gov/cedselementdetails.aspx?termid=21627")</f>
        <v>https://ceds.ed.gov/cedselementdetails.aspx?termid=21627</v>
      </c>
      <c r="Q3018" s="22">
        <v>61556</v>
      </c>
    </row>
    <row r="3019" spans="1:17" ht="172.8" x14ac:dyDescent="0.3">
      <c r="A3019" s="22" t="s">
        <v>7866</v>
      </c>
      <c r="B3019" s="22" t="s">
        <v>7869</v>
      </c>
      <c r="C3019" s="22" t="s">
        <v>7740</v>
      </c>
      <c r="D3019" s="22" t="s">
        <v>7710</v>
      </c>
      <c r="E3019" s="22" t="s">
        <v>6911</v>
      </c>
      <c r="F3019" s="24" t="s">
        <v>6912</v>
      </c>
      <c r="G3019" s="23" t="s">
        <v>32</v>
      </c>
      <c r="H3019" s="24" t="s">
        <v>6915</v>
      </c>
      <c r="I3019" s="22" t="s">
        <v>172</v>
      </c>
      <c r="J3019" s="22" t="s">
        <v>132</v>
      </c>
      <c r="K3019" s="24" t="s">
        <v>7946</v>
      </c>
      <c r="L3019" s="24" t="s">
        <v>7945</v>
      </c>
      <c r="M3019" s="25" t="s">
        <v>6913</v>
      </c>
      <c r="N3019" s="22"/>
      <c r="O3019" s="22" t="s">
        <v>6914</v>
      </c>
      <c r="P3019" s="22" t="str">
        <f>HYPERLINK("https://ceds.ed.gov/cedselementdetails.aspx?termid=21156")</f>
        <v>https://ceds.ed.gov/cedselementdetails.aspx?termid=21156</v>
      </c>
      <c r="Q3019" s="22">
        <v>61546</v>
      </c>
    </row>
    <row r="3020" spans="1:17" ht="244.8" x14ac:dyDescent="0.3">
      <c r="A3020" s="22" t="s">
        <v>7866</v>
      </c>
      <c r="B3020" s="22" t="s">
        <v>7869</v>
      </c>
      <c r="C3020" s="22" t="s">
        <v>7740</v>
      </c>
      <c r="D3020" s="22" t="s">
        <v>7710</v>
      </c>
      <c r="E3020" s="22" t="s">
        <v>6906</v>
      </c>
      <c r="F3020" s="24" t="s">
        <v>6907</v>
      </c>
      <c r="G3020" s="26" t="s">
        <v>8531</v>
      </c>
      <c r="H3020" s="24" t="s">
        <v>6910</v>
      </c>
      <c r="I3020" s="22" t="s">
        <v>172</v>
      </c>
      <c r="J3020" s="22"/>
      <c r="K3020" s="24" t="s">
        <v>7946</v>
      </c>
      <c r="L3020" s="24"/>
      <c r="M3020" s="25" t="s">
        <v>6908</v>
      </c>
      <c r="N3020" s="22"/>
      <c r="O3020" s="22" t="s">
        <v>6909</v>
      </c>
      <c r="P3020" s="22" t="str">
        <f>HYPERLINK("https://ceds.ed.gov/cedselementdetails.aspx?termid=21162")</f>
        <v>https://ceds.ed.gov/cedselementdetails.aspx?termid=21162</v>
      </c>
      <c r="Q3020" s="22">
        <v>61547</v>
      </c>
    </row>
    <row r="3021" spans="1:17" ht="403.2" x14ac:dyDescent="0.3">
      <c r="A3021" s="22" t="s">
        <v>7866</v>
      </c>
      <c r="B3021" s="22" t="s">
        <v>7869</v>
      </c>
      <c r="C3021" s="22" t="s">
        <v>7740</v>
      </c>
      <c r="D3021" s="22" t="s">
        <v>7710</v>
      </c>
      <c r="E3021" s="22" t="s">
        <v>5856</v>
      </c>
      <c r="F3021" s="24" t="s">
        <v>5857</v>
      </c>
      <c r="G3021" s="26" t="s">
        <v>8498</v>
      </c>
      <c r="H3021" s="22"/>
      <c r="I3021" s="22" t="s">
        <v>172</v>
      </c>
      <c r="J3021" s="22"/>
      <c r="K3021" s="24" t="s">
        <v>7946</v>
      </c>
      <c r="L3021" s="24"/>
      <c r="M3021" s="25" t="s">
        <v>5858</v>
      </c>
      <c r="N3021" s="22"/>
      <c r="O3021" s="22" t="s">
        <v>5859</v>
      </c>
      <c r="P3021" s="22" t="str">
        <f>HYPERLINK("https://ceds.ed.gov/cedselementdetails.aspx?termid=21611")</f>
        <v>https://ceds.ed.gov/cedselementdetails.aspx?termid=21611</v>
      </c>
      <c r="Q3021" s="22">
        <v>61549</v>
      </c>
    </row>
    <row r="3022" spans="1:17" ht="72" x14ac:dyDescent="0.3">
      <c r="A3022" s="22" t="s">
        <v>7866</v>
      </c>
      <c r="B3022" s="22" t="s">
        <v>7869</v>
      </c>
      <c r="C3022" s="22" t="s">
        <v>7740</v>
      </c>
      <c r="D3022" s="22" t="s">
        <v>7710</v>
      </c>
      <c r="E3022" s="22" t="s">
        <v>7621</v>
      </c>
      <c r="F3022" s="24" t="s">
        <v>7622</v>
      </c>
      <c r="G3022" s="26" t="s">
        <v>8496</v>
      </c>
      <c r="H3022" s="22"/>
      <c r="I3022" s="22" t="s">
        <v>172</v>
      </c>
      <c r="J3022" s="22"/>
      <c r="K3022" s="24" t="s">
        <v>7946</v>
      </c>
      <c r="L3022" s="24"/>
      <c r="M3022" s="25" t="s">
        <v>7623</v>
      </c>
      <c r="N3022" s="22"/>
      <c r="O3022" s="22" t="s">
        <v>7624</v>
      </c>
      <c r="P3022" s="22" t="str">
        <f>HYPERLINK("https://ceds.ed.gov/cedselementdetails.aspx?termid=22951")</f>
        <v>https://ceds.ed.gov/cedselementdetails.aspx?termid=22951</v>
      </c>
      <c r="Q3022" s="22">
        <v>63485</v>
      </c>
    </row>
    <row r="3023" spans="1:17" ht="100.8" x14ac:dyDescent="0.3">
      <c r="A3023" s="22" t="s">
        <v>7866</v>
      </c>
      <c r="B3023" s="22" t="s">
        <v>7869</v>
      </c>
      <c r="C3023" s="22" t="s">
        <v>7716</v>
      </c>
      <c r="D3023" s="22" t="s">
        <v>7710</v>
      </c>
      <c r="E3023" s="22" t="s">
        <v>203</v>
      </c>
      <c r="F3023" s="24" t="s">
        <v>204</v>
      </c>
      <c r="G3023" s="26" t="s">
        <v>8577</v>
      </c>
      <c r="H3023" s="22" t="s">
        <v>207</v>
      </c>
      <c r="I3023" s="22"/>
      <c r="J3023" s="22" t="s">
        <v>85</v>
      </c>
      <c r="K3023" s="24"/>
      <c r="L3023" s="24"/>
      <c r="M3023" s="25" t="s">
        <v>205</v>
      </c>
      <c r="N3023" s="22"/>
      <c r="O3023" s="22" t="s">
        <v>206</v>
      </c>
      <c r="P3023" s="22" t="str">
        <f>HYPERLINK("https://ceds.ed.gov/cedselementdetails.aspx?termid=21698")</f>
        <v>https://ceds.ed.gov/cedselementdetails.aspx?termid=21698</v>
      </c>
      <c r="Q3023" s="22">
        <v>61539</v>
      </c>
    </row>
    <row r="3024" spans="1:17" ht="187.2" x14ac:dyDescent="0.3">
      <c r="A3024" s="22" t="s">
        <v>7866</v>
      </c>
      <c r="B3024" s="22" t="s">
        <v>7869</v>
      </c>
      <c r="C3024" s="22" t="s">
        <v>7716</v>
      </c>
      <c r="D3024" s="22" t="s">
        <v>7710</v>
      </c>
      <c r="E3024" s="22" t="s">
        <v>189</v>
      </c>
      <c r="F3024" s="24" t="s">
        <v>190</v>
      </c>
      <c r="G3024" s="23" t="s">
        <v>32</v>
      </c>
      <c r="H3024" s="24" t="s">
        <v>175</v>
      </c>
      <c r="I3024" s="22" t="s">
        <v>172</v>
      </c>
      <c r="J3024" s="22" t="s">
        <v>191</v>
      </c>
      <c r="K3024" s="24" t="s">
        <v>7946</v>
      </c>
      <c r="L3024" s="24"/>
      <c r="M3024" s="25" t="s">
        <v>192</v>
      </c>
      <c r="N3024" s="22"/>
      <c r="O3024" s="22" t="s">
        <v>193</v>
      </c>
      <c r="P3024" s="22" t="str">
        <f>HYPERLINK("https://ceds.ed.gov/cedselementdetails.aspx?termid=21269")</f>
        <v>https://ceds.ed.gov/cedselementdetails.aspx?termid=21269</v>
      </c>
      <c r="Q3024" s="22">
        <v>61533</v>
      </c>
    </row>
    <row r="3025" spans="1:17" ht="187.2" x14ac:dyDescent="0.3">
      <c r="A3025" s="22" t="s">
        <v>7866</v>
      </c>
      <c r="B3025" s="22" t="s">
        <v>7869</v>
      </c>
      <c r="C3025" s="22" t="s">
        <v>7716</v>
      </c>
      <c r="D3025" s="22" t="s">
        <v>7710</v>
      </c>
      <c r="E3025" s="22" t="s">
        <v>170</v>
      </c>
      <c r="F3025" s="24" t="s">
        <v>171</v>
      </c>
      <c r="G3025" s="23" t="s">
        <v>32</v>
      </c>
      <c r="H3025" s="24" t="s">
        <v>175</v>
      </c>
      <c r="I3025" s="22" t="s">
        <v>172</v>
      </c>
      <c r="J3025" s="22" t="s">
        <v>157</v>
      </c>
      <c r="K3025" s="24" t="s">
        <v>7946</v>
      </c>
      <c r="L3025" s="24"/>
      <c r="M3025" s="25" t="s">
        <v>173</v>
      </c>
      <c r="N3025" s="22"/>
      <c r="O3025" s="22" t="s">
        <v>174</v>
      </c>
      <c r="P3025" s="22" t="str">
        <f>HYPERLINK("https://ceds.ed.gov/cedselementdetails.aspx?termid=21019")</f>
        <v>https://ceds.ed.gov/cedselementdetails.aspx?termid=21019</v>
      </c>
      <c r="Q3025" s="22">
        <v>61534</v>
      </c>
    </row>
    <row r="3026" spans="1:17" ht="187.2" x14ac:dyDescent="0.3">
      <c r="A3026" s="22" t="s">
        <v>7866</v>
      </c>
      <c r="B3026" s="22" t="s">
        <v>7869</v>
      </c>
      <c r="C3026" s="22" t="s">
        <v>7716</v>
      </c>
      <c r="D3026" s="22" t="s">
        <v>7710</v>
      </c>
      <c r="E3026" s="22" t="s">
        <v>176</v>
      </c>
      <c r="F3026" s="24" t="s">
        <v>177</v>
      </c>
      <c r="G3026" s="23" t="s">
        <v>32</v>
      </c>
      <c r="H3026" s="24" t="s">
        <v>175</v>
      </c>
      <c r="I3026" s="22" t="s">
        <v>172</v>
      </c>
      <c r="J3026" s="22" t="s">
        <v>85</v>
      </c>
      <c r="K3026" s="24" t="s">
        <v>7946</v>
      </c>
      <c r="L3026" s="24"/>
      <c r="M3026" s="25" t="s">
        <v>178</v>
      </c>
      <c r="N3026" s="22"/>
      <c r="O3026" s="22" t="s">
        <v>179</v>
      </c>
      <c r="P3026" s="22" t="str">
        <f>HYPERLINK("https://ceds.ed.gov/cedselementdetails.aspx?termid=21040")</f>
        <v>https://ceds.ed.gov/cedselementdetails.aspx?termid=21040</v>
      </c>
      <c r="Q3026" s="22">
        <v>61535</v>
      </c>
    </row>
    <row r="3027" spans="1:17" ht="409.6" x14ac:dyDescent="0.3">
      <c r="A3027" s="22" t="s">
        <v>7866</v>
      </c>
      <c r="B3027" s="22" t="s">
        <v>7869</v>
      </c>
      <c r="C3027" s="22" t="s">
        <v>7716</v>
      </c>
      <c r="D3027" s="22" t="s">
        <v>7710</v>
      </c>
      <c r="E3027" s="22" t="s">
        <v>6941</v>
      </c>
      <c r="F3027" s="24" t="s">
        <v>6942</v>
      </c>
      <c r="G3027" s="26" t="s">
        <v>8533</v>
      </c>
      <c r="H3027" s="24" t="s">
        <v>6945</v>
      </c>
      <c r="I3027" s="22" t="s">
        <v>172</v>
      </c>
      <c r="J3027" s="22"/>
      <c r="K3027" s="24" t="s">
        <v>8327</v>
      </c>
      <c r="L3027" s="24"/>
      <c r="M3027" s="25" t="s">
        <v>6943</v>
      </c>
      <c r="N3027" s="22"/>
      <c r="O3027" s="22" t="s">
        <v>6944</v>
      </c>
      <c r="P3027" s="22" t="str">
        <f>HYPERLINK("https://ceds.ed.gov/cedselementdetails.aspx?termid=21267")</f>
        <v>https://ceds.ed.gov/cedselementdetails.aspx?termid=21267</v>
      </c>
      <c r="Q3027" s="22">
        <v>61537</v>
      </c>
    </row>
    <row r="3028" spans="1:17" ht="187.2" x14ac:dyDescent="0.3">
      <c r="A3028" s="22" t="s">
        <v>7866</v>
      </c>
      <c r="B3028" s="22" t="s">
        <v>7869</v>
      </c>
      <c r="C3028" s="22" t="s">
        <v>7716</v>
      </c>
      <c r="D3028" s="22" t="s">
        <v>7710</v>
      </c>
      <c r="E3028" s="22" t="s">
        <v>184</v>
      </c>
      <c r="F3028" s="24" t="s">
        <v>185</v>
      </c>
      <c r="G3028" s="23" t="s">
        <v>32</v>
      </c>
      <c r="H3028" s="24" t="s">
        <v>175</v>
      </c>
      <c r="I3028" s="22" t="s">
        <v>172</v>
      </c>
      <c r="J3028" s="22" t="s">
        <v>186</v>
      </c>
      <c r="K3028" s="24" t="s">
        <v>7946</v>
      </c>
      <c r="L3028" s="24"/>
      <c r="M3028" s="25" t="s">
        <v>187</v>
      </c>
      <c r="N3028" s="22"/>
      <c r="O3028" s="22" t="s">
        <v>188</v>
      </c>
      <c r="P3028" s="22" t="str">
        <f>HYPERLINK("https://ceds.ed.gov/cedselementdetails.aspx?termid=21214")</f>
        <v>https://ceds.ed.gov/cedselementdetails.aspx?termid=21214</v>
      </c>
      <c r="Q3028" s="22">
        <v>61538</v>
      </c>
    </row>
    <row r="3029" spans="1:17" ht="187.2" x14ac:dyDescent="0.3">
      <c r="A3029" s="22" t="s">
        <v>7866</v>
      </c>
      <c r="B3029" s="22" t="s">
        <v>7869</v>
      </c>
      <c r="C3029" s="22" t="s">
        <v>7716</v>
      </c>
      <c r="D3029" s="22" t="s">
        <v>7710</v>
      </c>
      <c r="E3029" s="22" t="s">
        <v>180</v>
      </c>
      <c r="F3029" s="24" t="s">
        <v>181</v>
      </c>
      <c r="G3029" s="23" t="s">
        <v>32</v>
      </c>
      <c r="H3029" s="24" t="s">
        <v>175</v>
      </c>
      <c r="I3029" s="22" t="s">
        <v>172</v>
      </c>
      <c r="J3029" s="22" t="s">
        <v>85</v>
      </c>
      <c r="K3029" s="24" t="s">
        <v>7946</v>
      </c>
      <c r="L3029" s="24"/>
      <c r="M3029" s="25" t="s">
        <v>182</v>
      </c>
      <c r="N3029" s="22"/>
      <c r="O3029" s="22" t="s">
        <v>183</v>
      </c>
      <c r="P3029" s="22" t="str">
        <f>HYPERLINK("https://ceds.ed.gov/cedselementdetails.aspx?termid=21190")</f>
        <v>https://ceds.ed.gov/cedselementdetails.aspx?termid=21190</v>
      </c>
      <c r="Q3029" s="22">
        <v>61536</v>
      </c>
    </row>
    <row r="3030" spans="1:17" ht="409.6" x14ac:dyDescent="0.3">
      <c r="A3030" s="22" t="s">
        <v>7866</v>
      </c>
      <c r="B3030" s="22" t="s">
        <v>7869</v>
      </c>
      <c r="C3030" s="22" t="s">
        <v>7716</v>
      </c>
      <c r="D3030" s="22" t="s">
        <v>7710</v>
      </c>
      <c r="E3030" s="22" t="s">
        <v>2526</v>
      </c>
      <c r="F3030" s="24" t="s">
        <v>2527</v>
      </c>
      <c r="G3030" s="26" t="s">
        <v>8743</v>
      </c>
      <c r="H3030" s="24" t="s">
        <v>2530</v>
      </c>
      <c r="I3030" s="22"/>
      <c r="J3030" s="22"/>
      <c r="K3030" s="24"/>
      <c r="L3030" s="24" t="s">
        <v>8055</v>
      </c>
      <c r="M3030" s="25" t="s">
        <v>2528</v>
      </c>
      <c r="N3030" s="22"/>
      <c r="O3030" s="22" t="s">
        <v>2529</v>
      </c>
      <c r="P3030" s="22" t="str">
        <f>HYPERLINK("https://ceds.ed.gov/cedselementdetails.aspx?termid=21050")</f>
        <v>https://ceds.ed.gov/cedselementdetails.aspx?termid=21050</v>
      </c>
      <c r="Q3030" s="22">
        <v>61540</v>
      </c>
    </row>
    <row r="3031" spans="1:17" ht="57.6" x14ac:dyDescent="0.3">
      <c r="A3031" s="22" t="s">
        <v>7866</v>
      </c>
      <c r="B3031" s="22" t="s">
        <v>7869</v>
      </c>
      <c r="C3031" s="22" t="s">
        <v>7716</v>
      </c>
      <c r="D3031" s="22" t="s">
        <v>7710</v>
      </c>
      <c r="E3031" s="22" t="s">
        <v>4982</v>
      </c>
      <c r="F3031" s="24" t="s">
        <v>4983</v>
      </c>
      <c r="G3031" s="23" t="s">
        <v>32</v>
      </c>
      <c r="H3031" s="22"/>
      <c r="I3031" s="22"/>
      <c r="J3031" s="22" t="s">
        <v>1165</v>
      </c>
      <c r="K3031" s="24"/>
      <c r="L3031" s="24"/>
      <c r="M3031" s="25" t="s">
        <v>4984</v>
      </c>
      <c r="N3031" s="22"/>
      <c r="O3031" s="22" t="s">
        <v>4982</v>
      </c>
      <c r="P3031" s="22" t="str">
        <f>HYPERLINK("https://ceds.ed.gov/cedselementdetails.aspx?termid=21599")</f>
        <v>https://ceds.ed.gov/cedselementdetails.aspx?termid=21599</v>
      </c>
      <c r="Q3031" s="22">
        <v>62270</v>
      </c>
    </row>
    <row r="3032" spans="1:17" ht="57.6" x14ac:dyDescent="0.3">
      <c r="A3032" s="22" t="s">
        <v>7866</v>
      </c>
      <c r="B3032" s="22" t="s">
        <v>7869</v>
      </c>
      <c r="C3032" s="22" t="s">
        <v>7716</v>
      </c>
      <c r="D3032" s="22" t="s">
        <v>7710</v>
      </c>
      <c r="E3032" s="22" t="s">
        <v>5372</v>
      </c>
      <c r="F3032" s="24" t="s">
        <v>5373</v>
      </c>
      <c r="G3032" s="23" t="s">
        <v>32</v>
      </c>
      <c r="H3032" s="22"/>
      <c r="I3032" s="22"/>
      <c r="J3032" s="22" t="s">
        <v>1165</v>
      </c>
      <c r="K3032" s="24"/>
      <c r="L3032" s="24"/>
      <c r="M3032" s="25" t="s">
        <v>5374</v>
      </c>
      <c r="N3032" s="22"/>
      <c r="O3032" s="22" t="s">
        <v>5372</v>
      </c>
      <c r="P3032" s="22" t="str">
        <f>HYPERLINK("https://ceds.ed.gov/cedselementdetails.aspx?termid=21600")</f>
        <v>https://ceds.ed.gov/cedselementdetails.aspx?termid=21600</v>
      </c>
      <c r="Q3032" s="22">
        <v>62293</v>
      </c>
    </row>
    <row r="3033" spans="1:17" ht="158.4" x14ac:dyDescent="0.3">
      <c r="A3033" s="22" t="s">
        <v>7866</v>
      </c>
      <c r="B3033" s="22" t="s">
        <v>7869</v>
      </c>
      <c r="C3033" s="22" t="s">
        <v>7716</v>
      </c>
      <c r="D3033" s="22" t="s">
        <v>7710</v>
      </c>
      <c r="E3033" s="22" t="s">
        <v>2536</v>
      </c>
      <c r="F3033" s="24" t="s">
        <v>2537</v>
      </c>
      <c r="G3033" s="23" t="s">
        <v>32</v>
      </c>
      <c r="H3033" s="22"/>
      <c r="I3033" s="22"/>
      <c r="J3033" s="22" t="s">
        <v>2538</v>
      </c>
      <c r="K3033" s="24"/>
      <c r="L3033" s="24"/>
      <c r="M3033" s="25" t="s">
        <v>2539</v>
      </c>
      <c r="N3033" s="22"/>
      <c r="O3033" s="22" t="s">
        <v>2540</v>
      </c>
      <c r="P3033" s="22" t="str">
        <f>HYPERLINK("https://ceds.ed.gov/cedselementdetails.aspx?termid=22176")</f>
        <v>https://ceds.ed.gov/cedselementdetails.aspx?termid=22176</v>
      </c>
      <c r="Q3033" s="22">
        <v>63230</v>
      </c>
    </row>
    <row r="3034" spans="1:17" ht="57.6" x14ac:dyDescent="0.3">
      <c r="A3034" s="22" t="s">
        <v>7866</v>
      </c>
      <c r="B3034" s="22" t="s">
        <v>7869</v>
      </c>
      <c r="C3034" s="22" t="s">
        <v>7716</v>
      </c>
      <c r="D3034" s="22" t="s">
        <v>7710</v>
      </c>
      <c r="E3034" s="22" t="s">
        <v>3228</v>
      </c>
      <c r="F3034" s="24" t="s">
        <v>3229</v>
      </c>
      <c r="G3034" s="26" t="s">
        <v>3039</v>
      </c>
      <c r="H3034" s="22"/>
      <c r="I3034" s="22" t="s">
        <v>172</v>
      </c>
      <c r="J3034" s="22"/>
      <c r="K3034" s="24" t="s">
        <v>7946</v>
      </c>
      <c r="L3034" s="24"/>
      <c r="M3034" s="25" t="s">
        <v>3230</v>
      </c>
      <c r="N3034" s="22"/>
      <c r="O3034" s="22" t="s">
        <v>3231</v>
      </c>
      <c r="P3034" s="22" t="str">
        <f>HYPERLINK("https://ceds.ed.gov/cedselementdetails.aspx?termid=22905")</f>
        <v>https://ceds.ed.gov/cedselementdetails.aspx?termid=22905</v>
      </c>
      <c r="Q3034" s="22">
        <v>63231</v>
      </c>
    </row>
    <row r="3035" spans="1:17" ht="72" x14ac:dyDescent="0.3">
      <c r="A3035" s="22" t="s">
        <v>7866</v>
      </c>
      <c r="B3035" s="22" t="s">
        <v>7869</v>
      </c>
      <c r="C3035" s="22" t="s">
        <v>7718</v>
      </c>
      <c r="D3035" s="22" t="s">
        <v>7710</v>
      </c>
      <c r="E3035" s="22" t="s">
        <v>3461</v>
      </c>
      <c r="F3035" s="24" t="s">
        <v>3462</v>
      </c>
      <c r="G3035" s="23" t="s">
        <v>32</v>
      </c>
      <c r="H3035" s="24" t="s">
        <v>64</v>
      </c>
      <c r="I3035" s="22" t="s">
        <v>172</v>
      </c>
      <c r="J3035" s="22" t="s">
        <v>3463</v>
      </c>
      <c r="K3035" s="24" t="s">
        <v>7946</v>
      </c>
      <c r="L3035" s="24"/>
      <c r="M3035" s="25" t="s">
        <v>3464</v>
      </c>
      <c r="N3035" s="22" t="s">
        <v>3465</v>
      </c>
      <c r="O3035" s="22" t="s">
        <v>3466</v>
      </c>
      <c r="P3035" s="22" t="str">
        <f>HYPERLINK("https://ceds.ed.gov/cedselementdetails.aspx?termid=21088")</f>
        <v>https://ceds.ed.gov/cedselementdetails.aspx?termid=21088</v>
      </c>
      <c r="Q3035" s="22">
        <v>61541</v>
      </c>
    </row>
    <row r="3036" spans="1:17" ht="72" x14ac:dyDescent="0.3">
      <c r="A3036" s="22" t="s">
        <v>7866</v>
      </c>
      <c r="B3036" s="22" t="s">
        <v>7869</v>
      </c>
      <c r="C3036" s="22" t="s">
        <v>7718</v>
      </c>
      <c r="D3036" s="22" t="s">
        <v>7710</v>
      </c>
      <c r="E3036" s="22" t="s">
        <v>3467</v>
      </c>
      <c r="F3036" s="24" t="s">
        <v>3468</v>
      </c>
      <c r="G3036" s="26" t="s">
        <v>8430</v>
      </c>
      <c r="H3036" s="24" t="s">
        <v>64</v>
      </c>
      <c r="I3036" s="22" t="s">
        <v>172</v>
      </c>
      <c r="J3036" s="22"/>
      <c r="K3036" s="24" t="s">
        <v>7946</v>
      </c>
      <c r="L3036" s="24"/>
      <c r="M3036" s="25" t="s">
        <v>3469</v>
      </c>
      <c r="N3036" s="22" t="s">
        <v>3470</v>
      </c>
      <c r="O3036" s="22" t="s">
        <v>3471</v>
      </c>
      <c r="P3036" s="22" t="str">
        <f>HYPERLINK("https://ceds.ed.gov/cedselementdetails.aspx?termid=21089")</f>
        <v>https://ceds.ed.gov/cedselementdetails.aspx?termid=21089</v>
      </c>
      <c r="Q3036" s="22">
        <v>61542</v>
      </c>
    </row>
    <row r="3037" spans="1:17" ht="57.6" x14ac:dyDescent="0.3">
      <c r="A3037" s="22" t="s">
        <v>7866</v>
      </c>
      <c r="B3037" s="22" t="s">
        <v>7869</v>
      </c>
      <c r="C3037" s="22" t="s">
        <v>7718</v>
      </c>
      <c r="D3037" s="22" t="s">
        <v>7710</v>
      </c>
      <c r="E3037" s="22" t="s">
        <v>3228</v>
      </c>
      <c r="F3037" s="24" t="s">
        <v>3229</v>
      </c>
      <c r="G3037" s="26" t="s">
        <v>3039</v>
      </c>
      <c r="H3037" s="22"/>
      <c r="I3037" s="22" t="s">
        <v>172</v>
      </c>
      <c r="J3037" s="22"/>
      <c r="K3037" s="24" t="s">
        <v>7946</v>
      </c>
      <c r="L3037" s="24"/>
      <c r="M3037" s="25" t="s">
        <v>3230</v>
      </c>
      <c r="N3037" s="22"/>
      <c r="O3037" s="22" t="s">
        <v>3231</v>
      </c>
      <c r="P3037" s="22" t="str">
        <f>HYPERLINK("https://ceds.ed.gov/cedselementdetails.aspx?termid=22905")</f>
        <v>https://ceds.ed.gov/cedselementdetails.aspx?termid=22905</v>
      </c>
      <c r="Q3037" s="22">
        <v>63232</v>
      </c>
    </row>
    <row r="3038" spans="1:17" ht="72" x14ac:dyDescent="0.3">
      <c r="A3038" s="22" t="s">
        <v>7866</v>
      </c>
      <c r="B3038" s="22" t="s">
        <v>7869</v>
      </c>
      <c r="C3038" s="22" t="s">
        <v>7717</v>
      </c>
      <c r="D3038" s="22" t="s">
        <v>7710</v>
      </c>
      <c r="E3038" s="22" t="s">
        <v>7159</v>
      </c>
      <c r="F3038" s="24" t="s">
        <v>7160</v>
      </c>
      <c r="G3038" s="23" t="s">
        <v>32</v>
      </c>
      <c r="H3038" s="24" t="s">
        <v>64</v>
      </c>
      <c r="I3038" s="22"/>
      <c r="J3038" s="22" t="s">
        <v>7161</v>
      </c>
      <c r="K3038" s="24"/>
      <c r="L3038" s="24"/>
      <c r="M3038" s="25" t="s">
        <v>7162</v>
      </c>
      <c r="N3038" s="22"/>
      <c r="O3038" s="22" t="s">
        <v>7163</v>
      </c>
      <c r="P3038" s="22" t="str">
        <f>HYPERLINK("https://ceds.ed.gov/cedselementdetails.aspx?termid=21279")</f>
        <v>https://ceds.ed.gov/cedselementdetails.aspx?termid=21279</v>
      </c>
      <c r="Q3038" s="22">
        <v>61545</v>
      </c>
    </row>
    <row r="3039" spans="1:17" ht="86.4" x14ac:dyDescent="0.3">
      <c r="A3039" s="22" t="s">
        <v>7866</v>
      </c>
      <c r="B3039" s="22" t="s">
        <v>7869</v>
      </c>
      <c r="C3039" s="22" t="s">
        <v>7717</v>
      </c>
      <c r="D3039" s="22" t="s">
        <v>7710</v>
      </c>
      <c r="E3039" s="22" t="s">
        <v>7168</v>
      </c>
      <c r="F3039" s="24" t="s">
        <v>7169</v>
      </c>
      <c r="G3039" s="26" t="s">
        <v>9168</v>
      </c>
      <c r="H3039" s="24" t="s">
        <v>64</v>
      </c>
      <c r="I3039" s="22"/>
      <c r="J3039" s="22" t="s">
        <v>2543</v>
      </c>
      <c r="K3039" s="24"/>
      <c r="L3039" s="24"/>
      <c r="M3039" s="25" t="s">
        <v>7170</v>
      </c>
      <c r="N3039" s="22"/>
      <c r="O3039" s="22" t="s">
        <v>7171</v>
      </c>
      <c r="P3039" s="22" t="str">
        <f>HYPERLINK("https://ceds.ed.gov/cedselementdetails.aspx?termid=21280")</f>
        <v>https://ceds.ed.gov/cedselementdetails.aspx?termid=21280</v>
      </c>
      <c r="Q3039" s="22">
        <v>61543</v>
      </c>
    </row>
    <row r="3040" spans="1:17" ht="72" x14ac:dyDescent="0.3">
      <c r="A3040" s="22" t="s">
        <v>7866</v>
      </c>
      <c r="B3040" s="22" t="s">
        <v>7869</v>
      </c>
      <c r="C3040" s="22" t="s">
        <v>7717</v>
      </c>
      <c r="D3040" s="22" t="s">
        <v>7710</v>
      </c>
      <c r="E3040" s="22" t="s">
        <v>5965</v>
      </c>
      <c r="F3040" s="24" t="s">
        <v>5966</v>
      </c>
      <c r="G3040" s="26" t="s">
        <v>22</v>
      </c>
      <c r="H3040" s="24" t="s">
        <v>64</v>
      </c>
      <c r="I3040" s="22"/>
      <c r="J3040" s="22"/>
      <c r="K3040" s="24"/>
      <c r="L3040" s="24"/>
      <c r="M3040" s="25" t="s">
        <v>5967</v>
      </c>
      <c r="N3040" s="22"/>
      <c r="O3040" s="22" t="s">
        <v>5968</v>
      </c>
      <c r="P3040" s="22" t="str">
        <f>HYPERLINK("https://ceds.ed.gov/cedselementdetails.aspx?termid=21219")</f>
        <v>https://ceds.ed.gov/cedselementdetails.aspx?termid=21219</v>
      </c>
      <c r="Q3040" s="22">
        <v>61544</v>
      </c>
    </row>
    <row r="3041" spans="1:17" ht="57.6" x14ac:dyDescent="0.3">
      <c r="A3041" s="22" t="s">
        <v>7866</v>
      </c>
      <c r="B3041" s="22" t="s">
        <v>7869</v>
      </c>
      <c r="C3041" s="22" t="s">
        <v>7717</v>
      </c>
      <c r="D3041" s="22" t="s">
        <v>7710</v>
      </c>
      <c r="E3041" s="22" t="s">
        <v>3228</v>
      </c>
      <c r="F3041" s="24" t="s">
        <v>3229</v>
      </c>
      <c r="G3041" s="26" t="s">
        <v>3039</v>
      </c>
      <c r="H3041" s="22"/>
      <c r="I3041" s="22" t="s">
        <v>172</v>
      </c>
      <c r="J3041" s="22"/>
      <c r="K3041" s="24" t="s">
        <v>7946</v>
      </c>
      <c r="L3041" s="24"/>
      <c r="M3041" s="25" t="s">
        <v>3230</v>
      </c>
      <c r="N3041" s="22"/>
      <c r="O3041" s="22" t="s">
        <v>3231</v>
      </c>
      <c r="P3041" s="22" t="str">
        <f>HYPERLINK("https://ceds.ed.gov/cedselementdetails.aspx?termid=22905")</f>
        <v>https://ceds.ed.gov/cedselementdetails.aspx?termid=22905</v>
      </c>
      <c r="Q3041" s="22">
        <v>63233</v>
      </c>
    </row>
    <row r="3042" spans="1:17" ht="57.6" x14ac:dyDescent="0.3">
      <c r="A3042" s="22" t="s">
        <v>7866</v>
      </c>
      <c r="B3042" s="22" t="s">
        <v>7869</v>
      </c>
      <c r="C3042" s="22" t="s">
        <v>7717</v>
      </c>
      <c r="D3042" s="22" t="s">
        <v>7710</v>
      </c>
      <c r="E3042" s="22" t="s">
        <v>7164</v>
      </c>
      <c r="F3042" s="24" t="s">
        <v>7165</v>
      </c>
      <c r="G3042" s="26" t="s">
        <v>9167</v>
      </c>
      <c r="H3042" s="22"/>
      <c r="I3042" s="22"/>
      <c r="J3042" s="22"/>
      <c r="K3042" s="24"/>
      <c r="L3042" s="24"/>
      <c r="M3042" s="25" t="s">
        <v>7166</v>
      </c>
      <c r="N3042" s="22"/>
      <c r="O3042" s="22" t="s">
        <v>7167</v>
      </c>
      <c r="P3042" s="22" t="str">
        <f>HYPERLINK("https://ceds.ed.gov/cedselementdetails.aspx?termid=22911")</f>
        <v>https://ceds.ed.gov/cedselementdetails.aspx?termid=22911</v>
      </c>
      <c r="Q3042" s="22">
        <v>63234</v>
      </c>
    </row>
    <row r="3043" spans="1:17" ht="86.4" x14ac:dyDescent="0.3">
      <c r="A3043" s="22" t="s">
        <v>7866</v>
      </c>
      <c r="B3043" s="22" t="s">
        <v>7869</v>
      </c>
      <c r="C3043" s="22" t="s">
        <v>7773</v>
      </c>
      <c r="D3043" s="22" t="s">
        <v>7710</v>
      </c>
      <c r="E3043" s="22" t="s">
        <v>2961</v>
      </c>
      <c r="F3043" s="24" t="s">
        <v>2962</v>
      </c>
      <c r="G3043" s="26" t="s">
        <v>8774</v>
      </c>
      <c r="H3043" s="22"/>
      <c r="I3043" s="22"/>
      <c r="J3043" s="22"/>
      <c r="K3043" s="24"/>
      <c r="L3043" s="24"/>
      <c r="M3043" s="25" t="s">
        <v>2963</v>
      </c>
      <c r="N3043" s="22"/>
      <c r="O3043" s="22" t="s">
        <v>2964</v>
      </c>
      <c r="P3043" s="22" t="str">
        <f>HYPERLINK("https://ceds.ed.gov/cedselementdetails.aspx?termid=21071")</f>
        <v>https://ceds.ed.gov/cedselementdetails.aspx?termid=21071</v>
      </c>
      <c r="Q3043" s="22">
        <v>61557</v>
      </c>
    </row>
    <row r="3044" spans="1:17" ht="187.2" x14ac:dyDescent="0.3">
      <c r="A3044" s="22" t="s">
        <v>7866</v>
      </c>
      <c r="B3044" s="22" t="s">
        <v>7869</v>
      </c>
      <c r="C3044" s="22" t="s">
        <v>7773</v>
      </c>
      <c r="D3044" s="22" t="s">
        <v>7710</v>
      </c>
      <c r="E3044" s="22" t="s">
        <v>7130</v>
      </c>
      <c r="F3044" s="24" t="s">
        <v>7131</v>
      </c>
      <c r="G3044" s="26" t="s">
        <v>9159</v>
      </c>
      <c r="H3044" s="22" t="s">
        <v>355</v>
      </c>
      <c r="I3044" s="22"/>
      <c r="J3044" s="22"/>
      <c r="K3044" s="24"/>
      <c r="L3044" s="24"/>
      <c r="M3044" s="25" t="s">
        <v>7133</v>
      </c>
      <c r="N3044" s="22"/>
      <c r="O3044" s="22" t="s">
        <v>7134</v>
      </c>
      <c r="P3044" s="22" t="str">
        <f>HYPERLINK("https://ceds.ed.gov/cedselementdetails.aspx?termid=21277")</f>
        <v>https://ceds.ed.gov/cedselementdetails.aspx?termid=21277</v>
      </c>
      <c r="Q3044" s="22">
        <v>61559</v>
      </c>
    </row>
    <row r="3045" spans="1:17" ht="57.6" x14ac:dyDescent="0.3">
      <c r="A3045" s="22" t="s">
        <v>7866</v>
      </c>
      <c r="B3045" s="22" t="s">
        <v>7869</v>
      </c>
      <c r="C3045" s="22" t="s">
        <v>7773</v>
      </c>
      <c r="D3045" s="22" t="s">
        <v>7710</v>
      </c>
      <c r="E3045" s="22" t="s">
        <v>1908</v>
      </c>
      <c r="F3045" s="24" t="s">
        <v>1909</v>
      </c>
      <c r="G3045" s="26" t="s">
        <v>22</v>
      </c>
      <c r="H3045" s="22"/>
      <c r="I3045" s="22"/>
      <c r="J3045" s="22"/>
      <c r="K3045" s="24"/>
      <c r="L3045" s="24"/>
      <c r="M3045" s="25" t="s">
        <v>1911</v>
      </c>
      <c r="N3045" s="22" t="s">
        <v>1912</v>
      </c>
      <c r="O3045" s="22" t="s">
        <v>1913</v>
      </c>
      <c r="P3045" s="22" t="str">
        <f>HYPERLINK("https://ceds.ed.gov/cedselementdetails.aspx?termid=22284")</f>
        <v>https://ceds.ed.gov/cedselementdetails.aspx?termid=22284</v>
      </c>
      <c r="Q3045" s="22">
        <v>61558</v>
      </c>
    </row>
    <row r="3046" spans="1:17" ht="43.2" x14ac:dyDescent="0.3">
      <c r="A3046" s="22" t="s">
        <v>7866</v>
      </c>
      <c r="B3046" s="22" t="s">
        <v>7869</v>
      </c>
      <c r="C3046" s="22" t="s">
        <v>7773</v>
      </c>
      <c r="D3046" s="22" t="s">
        <v>7710</v>
      </c>
      <c r="E3046" s="22" t="s">
        <v>2920</v>
      </c>
      <c r="F3046" s="24" t="s">
        <v>2921</v>
      </c>
      <c r="G3046" s="23" t="s">
        <v>32</v>
      </c>
      <c r="H3046" s="22" t="s">
        <v>207</v>
      </c>
      <c r="I3046" s="22"/>
      <c r="J3046" s="22" t="s">
        <v>118</v>
      </c>
      <c r="K3046" s="24"/>
      <c r="L3046" s="24"/>
      <c r="M3046" s="25" t="s">
        <v>2922</v>
      </c>
      <c r="N3046" s="22"/>
      <c r="O3046" s="22" t="s">
        <v>2923</v>
      </c>
      <c r="P3046" s="22" t="str">
        <f>HYPERLINK("https://ceds.ed.gov/cedselementdetails.aspx?termid=21069")</f>
        <v>https://ceds.ed.gov/cedselementdetails.aspx?termid=21069</v>
      </c>
      <c r="Q3046" s="22">
        <v>63480</v>
      </c>
    </row>
    <row r="3047" spans="1:17" ht="409.6" x14ac:dyDescent="0.3">
      <c r="A3047" s="22" t="s">
        <v>7866</v>
      </c>
      <c r="B3047" s="22" t="s">
        <v>7869</v>
      </c>
      <c r="C3047" s="22" t="s">
        <v>7742</v>
      </c>
      <c r="D3047" s="22" t="s">
        <v>7710</v>
      </c>
      <c r="E3047" s="22" t="s">
        <v>2531</v>
      </c>
      <c r="F3047" s="24" t="s">
        <v>2532</v>
      </c>
      <c r="G3047" s="26" t="s">
        <v>8743</v>
      </c>
      <c r="H3047" s="24" t="s">
        <v>2535</v>
      </c>
      <c r="I3047" s="22"/>
      <c r="J3047" s="22"/>
      <c r="K3047" s="24"/>
      <c r="L3047" s="24" t="s">
        <v>8055</v>
      </c>
      <c r="M3047" s="25" t="s">
        <v>2533</v>
      </c>
      <c r="N3047" s="22"/>
      <c r="O3047" s="22" t="s">
        <v>2534</v>
      </c>
      <c r="P3047" s="22" t="str">
        <f>HYPERLINK("https://ceds.ed.gov/cedselementdetails.aspx?termid=21051")</f>
        <v>https://ceds.ed.gov/cedselementdetails.aspx?termid=21051</v>
      </c>
      <c r="Q3047" s="22">
        <v>63235</v>
      </c>
    </row>
    <row r="3048" spans="1:17" ht="57.6" x14ac:dyDescent="0.3">
      <c r="A3048" s="22" t="s">
        <v>7866</v>
      </c>
      <c r="B3048" s="22" t="s">
        <v>7869</v>
      </c>
      <c r="C3048" s="22" t="s">
        <v>7742</v>
      </c>
      <c r="D3048" s="22" t="s">
        <v>7710</v>
      </c>
      <c r="E3048" s="22" t="s">
        <v>7288</v>
      </c>
      <c r="F3048" s="24" t="s">
        <v>7289</v>
      </c>
      <c r="G3048" s="23" t="s">
        <v>7423</v>
      </c>
      <c r="H3048" s="22"/>
      <c r="I3048" s="22"/>
      <c r="J3048" s="22"/>
      <c r="K3048" s="24"/>
      <c r="L3048" s="24"/>
      <c r="M3048" s="25" t="s">
        <v>7290</v>
      </c>
      <c r="N3048" s="22"/>
      <c r="O3048" s="22" t="s">
        <v>7291</v>
      </c>
      <c r="P3048" s="22" t="str">
        <f>HYPERLINK("https://ceds.ed.gov/cedselementdetails.aspx?termid=22638")</f>
        <v>https://ceds.ed.gov/cedselementdetails.aspx?termid=22638</v>
      </c>
      <c r="Q3048" s="22">
        <v>63236</v>
      </c>
    </row>
    <row r="3049" spans="1:17" ht="201.6" x14ac:dyDescent="0.3">
      <c r="A3049" s="22" t="s">
        <v>7866</v>
      </c>
      <c r="B3049" s="22" t="s">
        <v>7869</v>
      </c>
      <c r="C3049" s="22" t="s">
        <v>7742</v>
      </c>
      <c r="D3049" s="22" t="s">
        <v>7710</v>
      </c>
      <c r="E3049" s="22" t="s">
        <v>1544</v>
      </c>
      <c r="F3049" s="24" t="s">
        <v>1545</v>
      </c>
      <c r="G3049" s="23" t="s">
        <v>32</v>
      </c>
      <c r="H3049" s="24" t="s">
        <v>1547</v>
      </c>
      <c r="I3049" s="22"/>
      <c r="J3049" s="22" t="s">
        <v>118</v>
      </c>
      <c r="K3049" s="24"/>
      <c r="L3049" s="24"/>
      <c r="M3049" s="25" t="s">
        <v>1546</v>
      </c>
      <c r="N3049" s="22"/>
      <c r="O3049" s="22" t="s">
        <v>1544</v>
      </c>
      <c r="P3049" s="22" t="str">
        <f>HYPERLINK("https://ceds.ed.gov/cedselementdetails.aspx?termid=21033")</f>
        <v>https://ceds.ed.gov/cedselementdetails.aspx?termid=21033</v>
      </c>
      <c r="Q3049" s="22">
        <v>63481</v>
      </c>
    </row>
    <row r="3050" spans="1:17" ht="115.2" x14ac:dyDescent="0.3">
      <c r="A3050" s="22" t="s">
        <v>7866</v>
      </c>
      <c r="B3050" s="22" t="s">
        <v>7869</v>
      </c>
      <c r="C3050" s="22" t="s">
        <v>7742</v>
      </c>
      <c r="D3050" s="22" t="s">
        <v>7710</v>
      </c>
      <c r="E3050" s="22" t="s">
        <v>7532</v>
      </c>
      <c r="F3050" s="24" t="s">
        <v>7533</v>
      </c>
      <c r="G3050" s="26" t="s">
        <v>3039</v>
      </c>
      <c r="H3050" s="22"/>
      <c r="I3050" s="22"/>
      <c r="J3050" s="22"/>
      <c r="K3050" s="24"/>
      <c r="L3050" s="24"/>
      <c r="M3050" s="25" t="s">
        <v>7534</v>
      </c>
      <c r="N3050" s="22"/>
      <c r="O3050" s="22" t="s">
        <v>7535</v>
      </c>
      <c r="P3050" s="22" t="str">
        <f>HYPERLINK("https://ceds.ed.gov/cedselementdetails.aspx?termid=22933")</f>
        <v>https://ceds.ed.gov/cedselementdetails.aspx?termid=22933</v>
      </c>
      <c r="Q3050" s="22">
        <v>63482</v>
      </c>
    </row>
    <row r="3051" spans="1:17" ht="144" x14ac:dyDescent="0.3">
      <c r="A3051" s="22" t="s">
        <v>7866</v>
      </c>
      <c r="B3051" s="22" t="s">
        <v>7869</v>
      </c>
      <c r="C3051" s="22" t="s">
        <v>7742</v>
      </c>
      <c r="D3051" s="22" t="s">
        <v>7710</v>
      </c>
      <c r="E3051" s="22" t="s">
        <v>7640</v>
      </c>
      <c r="F3051" s="24" t="s">
        <v>7641</v>
      </c>
      <c r="G3051" s="26" t="s">
        <v>9121</v>
      </c>
      <c r="H3051" s="22"/>
      <c r="I3051" s="22"/>
      <c r="J3051" s="22"/>
      <c r="K3051" s="24"/>
      <c r="L3051" s="24" t="s">
        <v>7642</v>
      </c>
      <c r="M3051" s="25" t="s">
        <v>7643</v>
      </c>
      <c r="N3051" s="22"/>
      <c r="O3051" s="22" t="s">
        <v>7640</v>
      </c>
      <c r="P3051" s="22" t="str">
        <f>HYPERLINK("https://ceds.ed.gov/cedselementdetails.aspx?termid=22955")</f>
        <v>https://ceds.ed.gov/cedselementdetails.aspx?termid=22955</v>
      </c>
      <c r="Q3051" s="22">
        <v>63483</v>
      </c>
    </row>
    <row r="3052" spans="1:17" ht="409.6" x14ac:dyDescent="0.3">
      <c r="A3052" s="22" t="s">
        <v>7866</v>
      </c>
      <c r="B3052" s="22" t="s">
        <v>7869</v>
      </c>
      <c r="C3052" s="22" t="s">
        <v>7772</v>
      </c>
      <c r="D3052" s="22" t="s">
        <v>7710</v>
      </c>
      <c r="E3052" s="22" t="s">
        <v>3548</v>
      </c>
      <c r="F3052" s="24" t="s">
        <v>3321</v>
      </c>
      <c r="G3052" s="26" t="s">
        <v>8846</v>
      </c>
      <c r="H3052" s="22"/>
      <c r="I3052" s="22"/>
      <c r="J3052" s="22"/>
      <c r="K3052" s="24"/>
      <c r="L3052" s="24"/>
      <c r="M3052" s="25" t="s">
        <v>3549</v>
      </c>
      <c r="N3052" s="22"/>
      <c r="O3052" s="22" t="s">
        <v>3550</v>
      </c>
      <c r="P3052" s="22" t="str">
        <f>HYPERLINK("https://ceds.ed.gov/cedselementdetails.aspx?termid=21613")</f>
        <v>https://ceds.ed.gov/cedselementdetails.aspx?termid=21613</v>
      </c>
      <c r="Q3052" s="22">
        <v>63237</v>
      </c>
    </row>
    <row r="3053" spans="1:17" ht="115.2" x14ac:dyDescent="0.3">
      <c r="A3053" s="22" t="s">
        <v>7866</v>
      </c>
      <c r="B3053" s="22" t="s">
        <v>7869</v>
      </c>
      <c r="C3053" s="22" t="s">
        <v>7772</v>
      </c>
      <c r="D3053" s="22" t="s">
        <v>7710</v>
      </c>
      <c r="E3053" s="22" t="s">
        <v>6924</v>
      </c>
      <c r="F3053" s="24" t="s">
        <v>8326</v>
      </c>
      <c r="G3053" s="23" t="s">
        <v>32</v>
      </c>
      <c r="H3053" s="22" t="s">
        <v>69</v>
      </c>
      <c r="I3053" s="22"/>
      <c r="J3053" s="22" t="s">
        <v>6925</v>
      </c>
      <c r="K3053" s="24"/>
      <c r="L3053" s="24"/>
      <c r="M3053" s="25" t="s">
        <v>6926</v>
      </c>
      <c r="N3053" s="22"/>
      <c r="O3053" s="22" t="s">
        <v>6927</v>
      </c>
      <c r="P3053" s="22" t="str">
        <f>HYPERLINK("https://ceds.ed.gov/cedselementdetails.aspx?termid=21707")</f>
        <v>https://ceds.ed.gov/cedselementdetails.aspx?termid=21707</v>
      </c>
      <c r="Q3053" s="22">
        <v>63238</v>
      </c>
    </row>
    <row r="3054" spans="1:17" ht="216" x14ac:dyDescent="0.3">
      <c r="A3054" s="22" t="s">
        <v>7866</v>
      </c>
      <c r="B3054" s="22" t="s">
        <v>7869</v>
      </c>
      <c r="C3054" s="22" t="s">
        <v>7772</v>
      </c>
      <c r="D3054" s="22" t="s">
        <v>7710</v>
      </c>
      <c r="E3054" s="22" t="s">
        <v>7656</v>
      </c>
      <c r="F3054" s="24" t="s">
        <v>7657</v>
      </c>
      <c r="G3054" s="26" t="s">
        <v>8514</v>
      </c>
      <c r="H3054" s="22"/>
      <c r="I3054" s="22" t="s">
        <v>172</v>
      </c>
      <c r="J3054" s="22"/>
      <c r="K3054" s="24" t="s">
        <v>7995</v>
      </c>
      <c r="L3054" s="24"/>
      <c r="M3054" s="25" t="s">
        <v>7658</v>
      </c>
      <c r="N3054" s="22"/>
      <c r="O3054" s="22" t="s">
        <v>7656</v>
      </c>
      <c r="P3054" s="22" t="str">
        <f>HYPERLINK("https://ceds.ed.gov/cedselementdetails.aspx?termid=22959")</f>
        <v>https://ceds.ed.gov/cedselementdetails.aspx?termid=22959</v>
      </c>
      <c r="Q3054" s="22">
        <v>63484</v>
      </c>
    </row>
    <row r="3055" spans="1:17" ht="115.2" x14ac:dyDescent="0.3">
      <c r="A3055" s="22" t="s">
        <v>7866</v>
      </c>
      <c r="B3055" s="22" t="s">
        <v>7869</v>
      </c>
      <c r="C3055" s="22" t="s">
        <v>7754</v>
      </c>
      <c r="D3055" s="22" t="s">
        <v>7710</v>
      </c>
      <c r="E3055" s="22" t="s">
        <v>4923</v>
      </c>
      <c r="F3055" s="24" t="s">
        <v>4924</v>
      </c>
      <c r="G3055" s="23" t="s">
        <v>7423</v>
      </c>
      <c r="H3055" s="24" t="s">
        <v>4927</v>
      </c>
      <c r="I3055" s="22"/>
      <c r="J3055" s="22"/>
      <c r="K3055" s="24"/>
      <c r="L3055" s="24" t="s">
        <v>7994</v>
      </c>
      <c r="M3055" s="25" t="s">
        <v>4925</v>
      </c>
      <c r="N3055" s="22"/>
      <c r="O3055" s="22" t="s">
        <v>4926</v>
      </c>
      <c r="P3055" s="22" t="str">
        <f>HYPERLINK("https://ceds.ed.gov/cedselementdetails.aspx?termid=21317")</f>
        <v>https://ceds.ed.gov/cedselementdetails.aspx?termid=21317</v>
      </c>
      <c r="Q3055" s="22">
        <v>63239</v>
      </c>
    </row>
    <row r="3056" spans="1:17" ht="115.2" x14ac:dyDescent="0.3">
      <c r="A3056" s="22" t="s">
        <v>7866</v>
      </c>
      <c r="B3056" s="22" t="s">
        <v>7869</v>
      </c>
      <c r="C3056" s="22" t="s">
        <v>7754</v>
      </c>
      <c r="D3056" s="22" t="s">
        <v>7710</v>
      </c>
      <c r="E3056" s="22" t="s">
        <v>4928</v>
      </c>
      <c r="F3056" s="24" t="s">
        <v>4924</v>
      </c>
      <c r="G3056" s="23" t="s">
        <v>7423</v>
      </c>
      <c r="H3056" s="22"/>
      <c r="I3056" s="22" t="s">
        <v>172</v>
      </c>
      <c r="J3056" s="22"/>
      <c r="K3056" s="24" t="s">
        <v>8231</v>
      </c>
      <c r="L3056" s="24" t="s">
        <v>8232</v>
      </c>
      <c r="M3056" s="25" t="s">
        <v>4929</v>
      </c>
      <c r="N3056" s="22"/>
      <c r="O3056" s="22" t="s">
        <v>4930</v>
      </c>
      <c r="P3056" s="22" t="str">
        <f>HYPERLINK("https://ceds.ed.gov/cedselementdetails.aspx?termid=22618")</f>
        <v>https://ceds.ed.gov/cedselementdetails.aspx?termid=22618</v>
      </c>
      <c r="Q3056" s="22">
        <v>63240</v>
      </c>
    </row>
    <row r="3057" spans="1:17" ht="409.6" x14ac:dyDescent="0.3">
      <c r="A3057" s="22" t="s">
        <v>7866</v>
      </c>
      <c r="B3057" s="22" t="s">
        <v>7869</v>
      </c>
      <c r="C3057" s="22" t="s">
        <v>7754</v>
      </c>
      <c r="D3057" s="22" t="s">
        <v>7710</v>
      </c>
      <c r="E3057" s="22" t="s">
        <v>4931</v>
      </c>
      <c r="F3057" s="24" t="s">
        <v>4932</v>
      </c>
      <c r="G3057" s="26" t="s">
        <v>8988</v>
      </c>
      <c r="H3057" s="22"/>
      <c r="I3057" s="22"/>
      <c r="J3057" s="22"/>
      <c r="K3057" s="24"/>
      <c r="L3057" s="24" t="s">
        <v>8233</v>
      </c>
      <c r="M3057" s="25" t="s">
        <v>4933</v>
      </c>
      <c r="N3057" s="22"/>
      <c r="O3057" s="22" t="s">
        <v>4934</v>
      </c>
      <c r="P3057" s="22" t="str">
        <f>HYPERLINK("https://ceds.ed.gov/cedselementdetails.aspx?termid=22619")</f>
        <v>https://ceds.ed.gov/cedselementdetails.aspx?termid=22619</v>
      </c>
      <c r="Q3057" s="22">
        <v>63241</v>
      </c>
    </row>
    <row r="3058" spans="1:17" ht="129.6" x14ac:dyDescent="0.3">
      <c r="A3058" s="22" t="s">
        <v>7866</v>
      </c>
      <c r="B3058" s="22" t="s">
        <v>7869</v>
      </c>
      <c r="C3058" s="22" t="s">
        <v>7754</v>
      </c>
      <c r="D3058" s="22" t="s">
        <v>7710</v>
      </c>
      <c r="E3058" s="22" t="s">
        <v>4965</v>
      </c>
      <c r="F3058" s="24" t="s">
        <v>4966</v>
      </c>
      <c r="G3058" s="26" t="s">
        <v>8993</v>
      </c>
      <c r="H3058" s="24" t="s">
        <v>4927</v>
      </c>
      <c r="I3058" s="22"/>
      <c r="J3058" s="22"/>
      <c r="K3058" s="24"/>
      <c r="L3058" s="24"/>
      <c r="M3058" s="25" t="s">
        <v>4967</v>
      </c>
      <c r="N3058" s="22"/>
      <c r="O3058" s="22" t="s">
        <v>4968</v>
      </c>
      <c r="P3058" s="22" t="str">
        <f>HYPERLINK("https://ceds.ed.gov/cedselementdetails.aspx?termid=21316")</f>
        <v>https://ceds.ed.gov/cedselementdetails.aspx?termid=21316</v>
      </c>
      <c r="Q3058" s="22">
        <v>63242</v>
      </c>
    </row>
    <row r="3059" spans="1:17" ht="409.6" x14ac:dyDescent="0.3">
      <c r="A3059" s="22" t="s">
        <v>7866</v>
      </c>
      <c r="B3059" s="22" t="s">
        <v>7869</v>
      </c>
      <c r="C3059" s="22" t="s">
        <v>7766</v>
      </c>
      <c r="D3059" s="22" t="s">
        <v>7710</v>
      </c>
      <c r="E3059" s="22" t="s">
        <v>5851</v>
      </c>
      <c r="F3059" s="24" t="s">
        <v>5852</v>
      </c>
      <c r="G3059" s="26" t="s">
        <v>9062</v>
      </c>
      <c r="H3059" s="22" t="s">
        <v>1553</v>
      </c>
      <c r="I3059" s="22"/>
      <c r="J3059" s="22"/>
      <c r="K3059" s="24"/>
      <c r="L3059" s="24" t="s">
        <v>5853</v>
      </c>
      <c r="M3059" s="25" t="s">
        <v>5854</v>
      </c>
      <c r="N3059" s="22"/>
      <c r="O3059" s="22" t="s">
        <v>5855</v>
      </c>
      <c r="P3059" s="22" t="str">
        <f>HYPERLINK("https://ceds.ed.gov/cedselementdetails.aspx?termid=21415")</f>
        <v>https://ceds.ed.gov/cedselementdetails.aspx?termid=21415</v>
      </c>
      <c r="Q3059" s="22">
        <v>63243</v>
      </c>
    </row>
    <row r="3060" spans="1:17" ht="57.6" x14ac:dyDescent="0.3">
      <c r="A3060" s="22" t="s">
        <v>7866</v>
      </c>
      <c r="B3060" s="22" t="s">
        <v>7869</v>
      </c>
      <c r="C3060" s="22" t="s">
        <v>4</v>
      </c>
      <c r="D3060" s="22" t="s">
        <v>7710</v>
      </c>
      <c r="E3060" s="22" t="s">
        <v>6262</v>
      </c>
      <c r="F3060" s="24" t="s">
        <v>6263</v>
      </c>
      <c r="G3060" s="26" t="s">
        <v>22</v>
      </c>
      <c r="H3060" s="22"/>
      <c r="I3060" s="22"/>
      <c r="J3060" s="22"/>
      <c r="K3060" s="24"/>
      <c r="L3060" s="24"/>
      <c r="M3060" s="25" t="s">
        <v>6264</v>
      </c>
      <c r="N3060" s="22"/>
      <c r="O3060" s="22" t="s">
        <v>6265</v>
      </c>
      <c r="P3060" s="22" t="str">
        <f>HYPERLINK("https://ceds.ed.gov/cedselementdetails.aspx?termid=21760")</f>
        <v>https://ceds.ed.gov/cedselementdetails.aspx?termid=21760</v>
      </c>
      <c r="Q3060" s="22">
        <v>63244</v>
      </c>
    </row>
    <row r="3061" spans="1:17" ht="172.8" x14ac:dyDescent="0.3">
      <c r="A3061" s="22" t="s">
        <v>7866</v>
      </c>
      <c r="B3061" s="22" t="s">
        <v>7831</v>
      </c>
      <c r="C3061" s="22"/>
      <c r="D3061" s="22" t="s">
        <v>7710</v>
      </c>
      <c r="E3061" s="22" t="s">
        <v>2628</v>
      </c>
      <c r="F3061" s="24" t="s">
        <v>2629</v>
      </c>
      <c r="G3061" s="23" t="s">
        <v>32</v>
      </c>
      <c r="H3061" s="24" t="s">
        <v>2632</v>
      </c>
      <c r="I3061" s="22"/>
      <c r="J3061" s="22" t="s">
        <v>132</v>
      </c>
      <c r="K3061" s="24"/>
      <c r="L3061" s="24" t="s">
        <v>7945</v>
      </c>
      <c r="M3061" s="25" t="s">
        <v>2630</v>
      </c>
      <c r="N3061" s="22"/>
      <c r="O3061" s="22" t="s">
        <v>2631</v>
      </c>
      <c r="P3061" s="22" t="str">
        <f>HYPERLINK("https://ceds.ed.gov/cedselementdetails.aspx?termid=21055")</f>
        <v>https://ceds.ed.gov/cedselementdetails.aspx?termid=21055</v>
      </c>
      <c r="Q3061" s="22">
        <v>60784</v>
      </c>
    </row>
    <row r="3062" spans="1:17" ht="144" x14ac:dyDescent="0.3">
      <c r="A3062" s="22" t="s">
        <v>7866</v>
      </c>
      <c r="B3062" s="22" t="s">
        <v>7831</v>
      </c>
      <c r="C3062" s="22"/>
      <c r="D3062" s="22" t="s">
        <v>7710</v>
      </c>
      <c r="E3062" s="22" t="s">
        <v>2579</v>
      </c>
      <c r="F3062" s="24" t="s">
        <v>2580</v>
      </c>
      <c r="G3062" s="26" t="s">
        <v>8420</v>
      </c>
      <c r="H3062" s="24" t="s">
        <v>1521</v>
      </c>
      <c r="I3062" s="22" t="s">
        <v>172</v>
      </c>
      <c r="J3062" s="22"/>
      <c r="K3062" s="24" t="s">
        <v>7946</v>
      </c>
      <c r="L3062" s="24"/>
      <c r="M3062" s="25" t="s">
        <v>2582</v>
      </c>
      <c r="N3062" s="22"/>
      <c r="O3062" s="22" t="s">
        <v>2583</v>
      </c>
      <c r="P3062" s="22" t="str">
        <f>HYPERLINK("https://ceds.ed.gov/cedselementdetails.aspx?termid=21056")</f>
        <v>https://ceds.ed.gov/cedselementdetails.aspx?termid=21056</v>
      </c>
      <c r="Q3062" s="22">
        <v>60785</v>
      </c>
    </row>
    <row r="3063" spans="1:17" ht="201.6" x14ac:dyDescent="0.3">
      <c r="A3063" s="22" t="s">
        <v>7866</v>
      </c>
      <c r="B3063" s="22" t="s">
        <v>7831</v>
      </c>
      <c r="C3063" s="22"/>
      <c r="D3063" s="22" t="s">
        <v>7710</v>
      </c>
      <c r="E3063" s="22" t="s">
        <v>2746</v>
      </c>
      <c r="F3063" s="24" t="s">
        <v>2747</v>
      </c>
      <c r="G3063" s="23" t="s">
        <v>32</v>
      </c>
      <c r="H3063" s="24" t="s">
        <v>1521</v>
      </c>
      <c r="I3063" s="22"/>
      <c r="J3063" s="22" t="s">
        <v>157</v>
      </c>
      <c r="K3063" s="24"/>
      <c r="L3063" s="24"/>
      <c r="M3063" s="25" t="s">
        <v>2748</v>
      </c>
      <c r="N3063" s="22"/>
      <c r="O3063" s="22" t="s">
        <v>2749</v>
      </c>
      <c r="P3063" s="22" t="str">
        <f>HYPERLINK("https://ceds.ed.gov/cedselementdetails.aspx?termid=21067")</f>
        <v>https://ceds.ed.gov/cedselementdetails.aspx?termid=21067</v>
      </c>
      <c r="Q3063" s="22">
        <v>60788</v>
      </c>
    </row>
    <row r="3064" spans="1:17" ht="43.2" x14ac:dyDescent="0.3">
      <c r="A3064" s="22" t="s">
        <v>7866</v>
      </c>
      <c r="B3064" s="22" t="s">
        <v>7831</v>
      </c>
      <c r="C3064" s="22"/>
      <c r="D3064" s="22" t="s">
        <v>7710</v>
      </c>
      <c r="E3064" s="22" t="s">
        <v>2600</v>
      </c>
      <c r="F3064" s="24" t="s">
        <v>2601</v>
      </c>
      <c r="G3064" s="23" t="s">
        <v>32</v>
      </c>
      <c r="H3064" s="22"/>
      <c r="I3064" s="22"/>
      <c r="J3064" s="22" t="s">
        <v>157</v>
      </c>
      <c r="K3064" s="24"/>
      <c r="L3064" s="24"/>
      <c r="M3064" s="25" t="s">
        <v>2602</v>
      </c>
      <c r="N3064" s="22"/>
      <c r="O3064" s="22" t="s">
        <v>2603</v>
      </c>
      <c r="P3064" s="22" t="str">
        <f>HYPERLINK("https://ceds.ed.gov/cedselementdetails.aspx?termid=21508")</f>
        <v>https://ceds.ed.gov/cedselementdetails.aspx?termid=21508</v>
      </c>
      <c r="Q3064" s="22">
        <v>60796</v>
      </c>
    </row>
    <row r="3065" spans="1:17" ht="28.8" x14ac:dyDescent="0.3">
      <c r="A3065" s="22" t="s">
        <v>7866</v>
      </c>
      <c r="B3065" s="22" t="s">
        <v>7831</v>
      </c>
      <c r="C3065" s="22"/>
      <c r="D3065" s="22" t="s">
        <v>7710</v>
      </c>
      <c r="E3065" s="22" t="s">
        <v>2595</v>
      </c>
      <c r="F3065" s="24" t="s">
        <v>2596</v>
      </c>
      <c r="G3065" s="23" t="s">
        <v>32</v>
      </c>
      <c r="H3065" s="22"/>
      <c r="I3065" s="22"/>
      <c r="J3065" s="22" t="s">
        <v>157</v>
      </c>
      <c r="K3065" s="24"/>
      <c r="L3065" s="24"/>
      <c r="M3065" s="25" t="s">
        <v>2598</v>
      </c>
      <c r="N3065" s="22"/>
      <c r="O3065" s="22" t="s">
        <v>2599</v>
      </c>
      <c r="P3065" s="22" t="str">
        <f>HYPERLINK("https://ceds.ed.gov/cedselementdetails.aspx?termid=22525")</f>
        <v>https://ceds.ed.gov/cedselementdetails.aspx?termid=22525</v>
      </c>
      <c r="Q3065" s="22">
        <v>61832</v>
      </c>
    </row>
    <row r="3066" spans="1:17" ht="144" x14ac:dyDescent="0.3">
      <c r="A3066" s="22" t="s">
        <v>7866</v>
      </c>
      <c r="B3066" s="22" t="s">
        <v>7831</v>
      </c>
      <c r="C3066" s="22"/>
      <c r="D3066" s="22" t="s">
        <v>7710</v>
      </c>
      <c r="E3066" s="22" t="s">
        <v>2592</v>
      </c>
      <c r="F3066" s="24" t="s">
        <v>8058</v>
      </c>
      <c r="G3066" s="26" t="s">
        <v>8750</v>
      </c>
      <c r="H3066" s="22" t="s">
        <v>58</v>
      </c>
      <c r="I3066" s="22"/>
      <c r="J3066" s="22"/>
      <c r="K3066" s="24"/>
      <c r="L3066" s="24"/>
      <c r="M3066" s="25" t="s">
        <v>2593</v>
      </c>
      <c r="N3066" s="22"/>
      <c r="O3066" s="22" t="s">
        <v>2594</v>
      </c>
      <c r="P3066" s="22" t="str">
        <f>HYPERLINK("https://ceds.ed.gov/cedselementdetails.aspx?termid=21057")</f>
        <v>https://ceds.ed.gov/cedselementdetails.aspx?termid=21057</v>
      </c>
      <c r="Q3066" s="22">
        <v>60780</v>
      </c>
    </row>
    <row r="3067" spans="1:17" ht="302.39999999999998" x14ac:dyDescent="0.3">
      <c r="A3067" s="22" t="s">
        <v>7866</v>
      </c>
      <c r="B3067" s="22" t="s">
        <v>7831</v>
      </c>
      <c r="C3067" s="22"/>
      <c r="D3067" s="22" t="s">
        <v>7710</v>
      </c>
      <c r="E3067" s="22" t="s">
        <v>2970</v>
      </c>
      <c r="F3067" s="24" t="s">
        <v>2971</v>
      </c>
      <c r="G3067" s="26" t="s">
        <v>8777</v>
      </c>
      <c r="H3067" s="24" t="s">
        <v>64</v>
      </c>
      <c r="I3067" s="22"/>
      <c r="J3067" s="22"/>
      <c r="K3067" s="24"/>
      <c r="L3067" s="24"/>
      <c r="M3067" s="25" t="s">
        <v>2973</v>
      </c>
      <c r="N3067" s="22"/>
      <c r="O3067" s="22" t="s">
        <v>2974</v>
      </c>
      <c r="P3067" s="22" t="str">
        <f>HYPERLINK("https://ceds.ed.gov/cedselementdetails.aspx?termid=21072")</f>
        <v>https://ceds.ed.gov/cedselementdetails.aspx?termid=21072</v>
      </c>
      <c r="Q3067" s="22">
        <v>60919</v>
      </c>
    </row>
    <row r="3068" spans="1:17" ht="100.8" x14ac:dyDescent="0.3">
      <c r="A3068" s="22" t="s">
        <v>7866</v>
      </c>
      <c r="B3068" s="22" t="s">
        <v>7831</v>
      </c>
      <c r="C3068" s="22"/>
      <c r="D3068" s="22" t="s">
        <v>7710</v>
      </c>
      <c r="E3068" s="22" t="s">
        <v>2975</v>
      </c>
      <c r="F3068" s="24" t="s">
        <v>2976</v>
      </c>
      <c r="G3068" s="23" t="s">
        <v>32</v>
      </c>
      <c r="H3068" s="22" t="s">
        <v>58</v>
      </c>
      <c r="I3068" s="22"/>
      <c r="J3068" s="22" t="s">
        <v>1518</v>
      </c>
      <c r="K3068" s="24"/>
      <c r="L3068" s="24" t="s">
        <v>8072</v>
      </c>
      <c r="M3068" s="25" t="s">
        <v>2978</v>
      </c>
      <c r="N3068" s="22"/>
      <c r="O3068" s="22" t="s">
        <v>2979</v>
      </c>
      <c r="P3068" s="22" t="str">
        <f>HYPERLINK("https://ceds.ed.gov/cedselementdetails.aspx?termid=21058")</f>
        <v>https://ceds.ed.gov/cedselementdetails.aspx?termid=21058</v>
      </c>
      <c r="Q3068" s="22">
        <v>60781</v>
      </c>
    </row>
    <row r="3069" spans="1:17" ht="158.4" x14ac:dyDescent="0.3">
      <c r="A3069" s="22" t="s">
        <v>7866</v>
      </c>
      <c r="B3069" s="22" t="s">
        <v>7831</v>
      </c>
      <c r="C3069" s="22"/>
      <c r="D3069" s="22" t="s">
        <v>7710</v>
      </c>
      <c r="E3069" s="22" t="s">
        <v>160</v>
      </c>
      <c r="F3069" s="24" t="s">
        <v>161</v>
      </c>
      <c r="G3069" s="26" t="s">
        <v>8573</v>
      </c>
      <c r="H3069" s="22"/>
      <c r="I3069" s="22"/>
      <c r="J3069" s="22"/>
      <c r="K3069" s="24"/>
      <c r="L3069" s="24"/>
      <c r="M3069" s="25" t="s">
        <v>163</v>
      </c>
      <c r="N3069" s="22"/>
      <c r="O3069" s="22" t="s">
        <v>164</v>
      </c>
      <c r="P3069" s="22" t="str">
        <f>HYPERLINK("https://ceds.ed.gov/cedselementdetails.aspx?termid=21589")</f>
        <v>https://ceds.ed.gov/cedselementdetails.aspx?termid=21589</v>
      </c>
      <c r="Q3069" s="22">
        <v>60798</v>
      </c>
    </row>
    <row r="3070" spans="1:17" ht="129.6" x14ac:dyDescent="0.3">
      <c r="A3070" s="22" t="s">
        <v>7866</v>
      </c>
      <c r="B3070" s="22" t="s">
        <v>7831</v>
      </c>
      <c r="C3070" s="22"/>
      <c r="D3070" s="22" t="s">
        <v>7710</v>
      </c>
      <c r="E3070" s="22" t="s">
        <v>1515</v>
      </c>
      <c r="F3070" s="24" t="s">
        <v>1516</v>
      </c>
      <c r="G3070" s="23" t="s">
        <v>32</v>
      </c>
      <c r="H3070" s="24" t="s">
        <v>1521</v>
      </c>
      <c r="I3070" s="22"/>
      <c r="J3070" s="22" t="s">
        <v>1518</v>
      </c>
      <c r="K3070" s="24"/>
      <c r="L3070" s="24"/>
      <c r="M3070" s="25" t="s">
        <v>1519</v>
      </c>
      <c r="N3070" s="22"/>
      <c r="O3070" s="22" t="s">
        <v>1520</v>
      </c>
      <c r="P3070" s="22" t="str">
        <f>HYPERLINK("https://ceds.ed.gov/cedselementdetails.aspx?termid=21030")</f>
        <v>https://ceds.ed.gov/cedselementdetails.aspx?termid=21030</v>
      </c>
      <c r="Q3070" s="22">
        <v>60783</v>
      </c>
    </row>
    <row r="3071" spans="1:17" ht="100.8" x14ac:dyDescent="0.3">
      <c r="A3071" s="22" t="s">
        <v>7866</v>
      </c>
      <c r="B3071" s="22" t="s">
        <v>7831</v>
      </c>
      <c r="C3071" s="22"/>
      <c r="D3071" s="22" t="s">
        <v>7710</v>
      </c>
      <c r="E3071" s="22" t="s">
        <v>2618</v>
      </c>
      <c r="F3071" s="24" t="s">
        <v>2619</v>
      </c>
      <c r="G3071" s="26" t="s">
        <v>8752</v>
      </c>
      <c r="H3071" s="24" t="s">
        <v>1521</v>
      </c>
      <c r="I3071" s="22"/>
      <c r="J3071" s="22"/>
      <c r="K3071" s="24"/>
      <c r="L3071" s="24"/>
      <c r="M3071" s="25" t="s">
        <v>2621</v>
      </c>
      <c r="N3071" s="22" t="s">
        <v>2622</v>
      </c>
      <c r="O3071" s="22" t="s">
        <v>2623</v>
      </c>
      <c r="P3071" s="22" t="str">
        <f>HYPERLINK("https://ceds.ed.gov/cedselementdetails.aspx?termid=21060")</f>
        <v>https://ceds.ed.gov/cedselementdetails.aspx?termid=21060</v>
      </c>
      <c r="Q3071" s="22">
        <v>60786</v>
      </c>
    </row>
    <row r="3072" spans="1:17" ht="302.39999999999998" x14ac:dyDescent="0.3">
      <c r="A3072" s="22" t="s">
        <v>7866</v>
      </c>
      <c r="B3072" s="22" t="s">
        <v>7831</v>
      </c>
      <c r="C3072" s="22"/>
      <c r="D3072" s="22" t="s">
        <v>7710</v>
      </c>
      <c r="E3072" s="22" t="s">
        <v>2650</v>
      </c>
      <c r="F3072" s="24" t="s">
        <v>2651</v>
      </c>
      <c r="G3072" s="26" t="s">
        <v>8757</v>
      </c>
      <c r="H3072" s="24" t="s">
        <v>2632</v>
      </c>
      <c r="I3072" s="22"/>
      <c r="J3072" s="22"/>
      <c r="K3072" s="24"/>
      <c r="L3072" s="24"/>
      <c r="M3072" s="25" t="s">
        <v>2652</v>
      </c>
      <c r="N3072" s="22"/>
      <c r="O3072" s="22" t="s">
        <v>2653</v>
      </c>
      <c r="P3072" s="22" t="str">
        <f>HYPERLINK("https://ceds.ed.gov/cedselementdetails.aspx?termid=21061")</f>
        <v>https://ceds.ed.gov/cedselementdetails.aspx?termid=21061</v>
      </c>
      <c r="Q3072" s="22">
        <v>60787</v>
      </c>
    </row>
    <row r="3073" spans="1:17" ht="100.8" x14ac:dyDescent="0.3">
      <c r="A3073" s="22" t="s">
        <v>7866</v>
      </c>
      <c r="B3073" s="22" t="s">
        <v>7831</v>
      </c>
      <c r="C3073" s="22"/>
      <c r="D3073" s="22" t="s">
        <v>7710</v>
      </c>
      <c r="E3073" s="22" t="s">
        <v>4297</v>
      </c>
      <c r="F3073" s="24" t="s">
        <v>4298</v>
      </c>
      <c r="G3073" s="26" t="s">
        <v>22</v>
      </c>
      <c r="H3073" s="24" t="s">
        <v>1521</v>
      </c>
      <c r="I3073" s="22"/>
      <c r="J3073" s="22"/>
      <c r="K3073" s="24"/>
      <c r="L3073" s="24"/>
      <c r="M3073" s="25" t="s">
        <v>4300</v>
      </c>
      <c r="N3073" s="22"/>
      <c r="O3073" s="22" t="s">
        <v>4301</v>
      </c>
      <c r="P3073" s="22" t="str">
        <f>HYPERLINK("https://ceds.ed.gov/cedselementdetails.aspx?termid=21137")</f>
        <v>https://ceds.ed.gov/cedselementdetails.aspx?termid=21137</v>
      </c>
      <c r="Q3073" s="22">
        <v>60790</v>
      </c>
    </row>
    <row r="3074" spans="1:17" ht="28.8" x14ac:dyDescent="0.3">
      <c r="A3074" s="22" t="s">
        <v>7866</v>
      </c>
      <c r="B3074" s="22" t="s">
        <v>7831</v>
      </c>
      <c r="C3074" s="22"/>
      <c r="D3074" s="22" t="s">
        <v>7710</v>
      </c>
      <c r="E3074" s="22" t="s">
        <v>2678</v>
      </c>
      <c r="F3074" s="24" t="s">
        <v>2679</v>
      </c>
      <c r="G3074" s="23" t="s">
        <v>32</v>
      </c>
      <c r="H3074" s="22"/>
      <c r="I3074" s="22"/>
      <c r="J3074" s="22" t="s">
        <v>1699</v>
      </c>
      <c r="K3074" s="24"/>
      <c r="L3074" s="24"/>
      <c r="M3074" s="25" t="s">
        <v>2680</v>
      </c>
      <c r="N3074" s="22"/>
      <c r="O3074" s="22" t="s">
        <v>2681</v>
      </c>
      <c r="P3074" s="22" t="str">
        <f>HYPERLINK("https://ceds.ed.gov/cedselementdetails.aspx?termid=22648")</f>
        <v>https://ceds.ed.gov/cedselementdetails.aspx?termid=22648</v>
      </c>
      <c r="Q3074" s="22">
        <v>62879</v>
      </c>
    </row>
    <row r="3075" spans="1:17" ht="100.8" x14ac:dyDescent="0.3">
      <c r="A3075" s="22" t="s">
        <v>7866</v>
      </c>
      <c r="B3075" s="22" t="s">
        <v>7831</v>
      </c>
      <c r="C3075" s="22"/>
      <c r="D3075" s="22" t="s">
        <v>7710</v>
      </c>
      <c r="E3075" s="22" t="s">
        <v>3033</v>
      </c>
      <c r="F3075" s="24" t="s">
        <v>3034</v>
      </c>
      <c r="G3075" s="26" t="s">
        <v>8781</v>
      </c>
      <c r="H3075" s="22"/>
      <c r="I3075" s="22"/>
      <c r="J3075" s="22"/>
      <c r="K3075" s="24"/>
      <c r="L3075" s="24"/>
      <c r="M3075" s="25" t="s">
        <v>3035</v>
      </c>
      <c r="N3075" s="22"/>
      <c r="O3075" s="22" t="s">
        <v>3036</v>
      </c>
      <c r="P3075" s="22" t="str">
        <f>HYPERLINK("https://ceds.ed.gov/cedselementdetails.aspx?termid=21688")</f>
        <v>https://ceds.ed.gov/cedselementdetails.aspx?termid=21688</v>
      </c>
      <c r="Q3075" s="22">
        <v>60799</v>
      </c>
    </row>
    <row r="3076" spans="1:17" ht="43.2" x14ac:dyDescent="0.3">
      <c r="A3076" s="22" t="s">
        <v>7866</v>
      </c>
      <c r="B3076" s="22" t="s">
        <v>7831</v>
      </c>
      <c r="C3076" s="22"/>
      <c r="D3076" s="22" t="s">
        <v>7710</v>
      </c>
      <c r="E3076" s="22" t="s">
        <v>2502</v>
      </c>
      <c r="F3076" s="24" t="s">
        <v>2503</v>
      </c>
      <c r="G3076" s="26" t="s">
        <v>22</v>
      </c>
      <c r="H3076" s="22"/>
      <c r="I3076" s="22"/>
      <c r="J3076" s="22"/>
      <c r="K3076" s="24"/>
      <c r="L3076" s="24"/>
      <c r="M3076" s="25" t="s">
        <v>2505</v>
      </c>
      <c r="N3076" s="22"/>
      <c r="O3076" s="22" t="s">
        <v>2506</v>
      </c>
      <c r="P3076" s="22" t="str">
        <f>HYPERLINK("https://ceds.ed.gov/cedselementdetails.aspx?termid=21509")</f>
        <v>https://ceds.ed.gov/cedselementdetails.aspx?termid=21509</v>
      </c>
      <c r="Q3076" s="22">
        <v>60797</v>
      </c>
    </row>
    <row r="3077" spans="1:17" ht="43.2" x14ac:dyDescent="0.3">
      <c r="A3077" s="22" t="s">
        <v>7866</v>
      </c>
      <c r="B3077" s="22" t="s">
        <v>7831</v>
      </c>
      <c r="C3077" s="22"/>
      <c r="D3077" s="22" t="s">
        <v>7710</v>
      </c>
      <c r="E3077" s="22" t="s">
        <v>2562</v>
      </c>
      <c r="F3077" s="24" t="s">
        <v>2563</v>
      </c>
      <c r="G3077" s="26" t="s">
        <v>22</v>
      </c>
      <c r="H3077" s="22"/>
      <c r="I3077" s="22"/>
      <c r="J3077" s="22"/>
      <c r="K3077" s="24"/>
      <c r="L3077" s="24"/>
      <c r="M3077" s="25" t="s">
        <v>2564</v>
      </c>
      <c r="N3077" s="22"/>
      <c r="O3077" s="22" t="s">
        <v>2565</v>
      </c>
      <c r="P3077" s="22" t="str">
        <f>HYPERLINK("https://ceds.ed.gov/cedselementdetails.aspx?termid=21013")</f>
        <v>https://ceds.ed.gov/cedselementdetails.aspx?termid=21013</v>
      </c>
      <c r="Q3077" s="22">
        <v>60782</v>
      </c>
    </row>
    <row r="3078" spans="1:17" ht="115.2" x14ac:dyDescent="0.3">
      <c r="A3078" s="22" t="s">
        <v>7866</v>
      </c>
      <c r="B3078" s="22" t="s">
        <v>7831</v>
      </c>
      <c r="C3078" s="22"/>
      <c r="D3078" s="22" t="s">
        <v>7710</v>
      </c>
      <c r="E3078" s="22" t="s">
        <v>4788</v>
      </c>
      <c r="F3078" s="24" t="s">
        <v>4789</v>
      </c>
      <c r="G3078" s="23" t="s">
        <v>7423</v>
      </c>
      <c r="H3078" s="22" t="s">
        <v>214</v>
      </c>
      <c r="I3078" s="22"/>
      <c r="J3078" s="22"/>
      <c r="K3078" s="24"/>
      <c r="L3078" s="24" t="s">
        <v>7994</v>
      </c>
      <c r="M3078" s="25" t="s">
        <v>4790</v>
      </c>
      <c r="N3078" s="22"/>
      <c r="O3078" s="22" t="s">
        <v>4791</v>
      </c>
      <c r="P3078" s="22" t="str">
        <f>HYPERLINK("https://ceds.ed.gov/cedselementdetails.aspx?termid=21438")</f>
        <v>https://ceds.ed.gov/cedselementdetails.aspx?termid=21438</v>
      </c>
      <c r="Q3078" s="22">
        <v>60795</v>
      </c>
    </row>
    <row r="3079" spans="1:17" ht="115.2" x14ac:dyDescent="0.3">
      <c r="A3079" s="22" t="s">
        <v>7866</v>
      </c>
      <c r="B3079" s="22" t="s">
        <v>7831</v>
      </c>
      <c r="C3079" s="22"/>
      <c r="D3079" s="22" t="s">
        <v>7710</v>
      </c>
      <c r="E3079" s="22" t="s">
        <v>6590</v>
      </c>
      <c r="F3079" s="24" t="s">
        <v>6591</v>
      </c>
      <c r="G3079" s="23" t="s">
        <v>7423</v>
      </c>
      <c r="H3079" s="22"/>
      <c r="I3079" s="22" t="s">
        <v>172</v>
      </c>
      <c r="J3079" s="22"/>
      <c r="K3079" s="24" t="s">
        <v>8305</v>
      </c>
      <c r="L3079" s="24" t="s">
        <v>8306</v>
      </c>
      <c r="M3079" s="25" t="s">
        <v>6592</v>
      </c>
      <c r="N3079" s="22" t="s">
        <v>6593</v>
      </c>
      <c r="O3079" s="22" t="s">
        <v>6594</v>
      </c>
      <c r="P3079" s="22" t="str">
        <f>HYPERLINK("https://ceds.ed.gov/cedselementdetails.aspx?termid=22490")</f>
        <v>https://ceds.ed.gov/cedselementdetails.aspx?termid=22490</v>
      </c>
      <c r="Q3079" s="22">
        <v>61745</v>
      </c>
    </row>
    <row r="3080" spans="1:17" ht="100.8" x14ac:dyDescent="0.3">
      <c r="A3080" s="22" t="s">
        <v>7866</v>
      </c>
      <c r="B3080" s="22" t="s">
        <v>7831</v>
      </c>
      <c r="C3080" s="22"/>
      <c r="D3080" s="22" t="s">
        <v>7710</v>
      </c>
      <c r="E3080" s="22" t="s">
        <v>6595</v>
      </c>
      <c r="F3080" s="24" t="s">
        <v>8307</v>
      </c>
      <c r="G3080" s="26" t="s">
        <v>8517</v>
      </c>
      <c r="H3080" s="22"/>
      <c r="I3080" s="22" t="s">
        <v>172</v>
      </c>
      <c r="J3080" s="22"/>
      <c r="K3080" s="24" t="s">
        <v>7946</v>
      </c>
      <c r="L3080" s="24"/>
      <c r="M3080" s="25" t="s">
        <v>6596</v>
      </c>
      <c r="N3080" s="22" t="s">
        <v>6597</v>
      </c>
      <c r="O3080" s="22" t="s">
        <v>6598</v>
      </c>
      <c r="P3080" s="22" t="str">
        <f>HYPERLINK("https://ceds.ed.gov/cedselementdetails.aspx?termid=22488")</f>
        <v>https://ceds.ed.gov/cedselementdetails.aspx?termid=22488</v>
      </c>
      <c r="Q3080" s="22">
        <v>61746</v>
      </c>
    </row>
    <row r="3081" spans="1:17" ht="345.6" x14ac:dyDescent="0.3">
      <c r="A3081" s="22" t="s">
        <v>7866</v>
      </c>
      <c r="B3081" s="22" t="s">
        <v>7831</v>
      </c>
      <c r="C3081" s="22"/>
      <c r="D3081" s="22" t="s">
        <v>7710</v>
      </c>
      <c r="E3081" s="22" t="s">
        <v>6599</v>
      </c>
      <c r="F3081" s="24" t="s">
        <v>6600</v>
      </c>
      <c r="G3081" s="26" t="s">
        <v>8518</v>
      </c>
      <c r="H3081" s="22"/>
      <c r="I3081" s="22" t="s">
        <v>172</v>
      </c>
      <c r="J3081" s="22"/>
      <c r="K3081" s="24" t="s">
        <v>7946</v>
      </c>
      <c r="L3081" s="24" t="s">
        <v>8308</v>
      </c>
      <c r="M3081" s="25" t="s">
        <v>6601</v>
      </c>
      <c r="N3081" s="22" t="s">
        <v>6602</v>
      </c>
      <c r="O3081" s="22" t="s">
        <v>6603</v>
      </c>
      <c r="P3081" s="22" t="str">
        <f>HYPERLINK("https://ceds.ed.gov/cedselementdetails.aspx?termid=22491")</f>
        <v>https://ceds.ed.gov/cedselementdetails.aspx?termid=22491</v>
      </c>
      <c r="Q3081" s="22">
        <v>61747</v>
      </c>
    </row>
    <row r="3082" spans="1:17" ht="100.8" x14ac:dyDescent="0.3">
      <c r="A3082" s="22" t="s">
        <v>7866</v>
      </c>
      <c r="B3082" s="22" t="s">
        <v>7831</v>
      </c>
      <c r="C3082" s="22"/>
      <c r="D3082" s="22" t="s">
        <v>7710</v>
      </c>
      <c r="E3082" s="22" t="s">
        <v>6611</v>
      </c>
      <c r="F3082" s="24" t="s">
        <v>6612</v>
      </c>
      <c r="G3082" s="23" t="s">
        <v>32</v>
      </c>
      <c r="H3082" s="24" t="s">
        <v>1521</v>
      </c>
      <c r="I3082" s="22" t="s">
        <v>172</v>
      </c>
      <c r="J3082" s="22" t="s">
        <v>2743</v>
      </c>
      <c r="K3082" s="24" t="s">
        <v>7946</v>
      </c>
      <c r="L3082" s="24" t="s">
        <v>6613</v>
      </c>
      <c r="M3082" s="25" t="s">
        <v>6614</v>
      </c>
      <c r="N3082" s="22" t="s">
        <v>6615</v>
      </c>
      <c r="O3082" s="22" t="s">
        <v>6616</v>
      </c>
      <c r="P3082" s="22" t="str">
        <f>HYPERLINK("https://ceds.ed.gov/cedselementdetails.aspx?termid=21250")</f>
        <v>https://ceds.ed.gov/cedselementdetails.aspx?termid=21250</v>
      </c>
      <c r="Q3082" s="22">
        <v>60794</v>
      </c>
    </row>
    <row r="3083" spans="1:17" ht="43.2" x14ac:dyDescent="0.3">
      <c r="A3083" s="22" t="s">
        <v>7866</v>
      </c>
      <c r="B3083" s="22" t="s">
        <v>7831</v>
      </c>
      <c r="C3083" s="22"/>
      <c r="D3083" s="22" t="s">
        <v>7741</v>
      </c>
      <c r="E3083" s="22" t="s">
        <v>8059</v>
      </c>
      <c r="F3083" s="24" t="s">
        <v>8060</v>
      </c>
      <c r="G3083" s="26" t="s">
        <v>22</v>
      </c>
      <c r="H3083" s="22"/>
      <c r="I3083" s="22" t="s">
        <v>167</v>
      </c>
      <c r="J3083" s="22" t="s">
        <v>2</v>
      </c>
      <c r="K3083" s="24" t="s">
        <v>7949</v>
      </c>
      <c r="L3083" s="24" t="s">
        <v>8061</v>
      </c>
      <c r="M3083" s="25" t="s">
        <v>8354</v>
      </c>
      <c r="N3083" s="22"/>
      <c r="O3083" s="22" t="s">
        <v>8062</v>
      </c>
      <c r="P3083" s="22" t="str">
        <f>HYPERLINK("https://ceds.ed.gov/cedselementdetails.aspx?termid=22975")</f>
        <v>https://ceds.ed.gov/cedselementdetails.aspx?termid=22975</v>
      </c>
      <c r="Q3083" s="22">
        <v>63697</v>
      </c>
    </row>
    <row r="3084" spans="1:17" ht="172.8" x14ac:dyDescent="0.3">
      <c r="A3084" s="22" t="s">
        <v>7866</v>
      </c>
      <c r="B3084" s="22" t="s">
        <v>7830</v>
      </c>
      <c r="C3084" s="22"/>
      <c r="D3084" s="22" t="s">
        <v>7710</v>
      </c>
      <c r="E3084" s="22" t="s">
        <v>2716</v>
      </c>
      <c r="F3084" s="24" t="s">
        <v>2717</v>
      </c>
      <c r="G3084" s="23" t="s">
        <v>32</v>
      </c>
      <c r="H3084" s="22"/>
      <c r="I3084" s="22"/>
      <c r="J3084" s="22" t="s">
        <v>132</v>
      </c>
      <c r="K3084" s="24"/>
      <c r="L3084" s="24" t="s">
        <v>7945</v>
      </c>
      <c r="M3084" s="25" t="s">
        <v>2718</v>
      </c>
      <c r="N3084" s="22"/>
      <c r="O3084" s="22" t="s">
        <v>2719</v>
      </c>
      <c r="P3084" s="22" t="str">
        <f>HYPERLINK("https://ceds.ed.gov/cedselementdetails.aspx?termid=21979")</f>
        <v>https://ceds.ed.gov/cedselementdetails.aspx?termid=21979</v>
      </c>
      <c r="Q3084" s="22">
        <v>60814</v>
      </c>
    </row>
    <row r="3085" spans="1:17" ht="72" x14ac:dyDescent="0.3">
      <c r="A3085" s="22" t="s">
        <v>7866</v>
      </c>
      <c r="B3085" s="22" t="s">
        <v>7830</v>
      </c>
      <c r="C3085" s="22"/>
      <c r="D3085" s="22" t="s">
        <v>7710</v>
      </c>
      <c r="E3085" s="22" t="s">
        <v>2728</v>
      </c>
      <c r="F3085" s="24" t="s">
        <v>2729</v>
      </c>
      <c r="G3085" s="23" t="s">
        <v>32</v>
      </c>
      <c r="H3085" s="22"/>
      <c r="I3085" s="22"/>
      <c r="J3085" s="22" t="s">
        <v>85</v>
      </c>
      <c r="K3085" s="24"/>
      <c r="L3085" s="24"/>
      <c r="M3085" s="25" t="s">
        <v>2730</v>
      </c>
      <c r="N3085" s="22"/>
      <c r="O3085" s="22" t="s">
        <v>2731</v>
      </c>
      <c r="P3085" s="22" t="str">
        <f>HYPERLINK("https://ceds.ed.gov/cedselementdetails.aspx?termid=22281")</f>
        <v>https://ceds.ed.gov/cedselementdetails.aspx?termid=22281</v>
      </c>
      <c r="Q3085" s="22">
        <v>62535</v>
      </c>
    </row>
    <row r="3086" spans="1:17" ht="72" x14ac:dyDescent="0.3">
      <c r="A3086" s="22" t="s">
        <v>7866</v>
      </c>
      <c r="B3086" s="22" t="s">
        <v>7830</v>
      </c>
      <c r="C3086" s="22"/>
      <c r="D3086" s="22" t="s">
        <v>7710</v>
      </c>
      <c r="E3086" s="22" t="s">
        <v>2663</v>
      </c>
      <c r="F3086" s="24" t="s">
        <v>8063</v>
      </c>
      <c r="G3086" s="23" t="s">
        <v>32</v>
      </c>
      <c r="H3086" s="22"/>
      <c r="I3086" s="22"/>
      <c r="J3086" s="22" t="s">
        <v>85</v>
      </c>
      <c r="K3086" s="24"/>
      <c r="L3086" s="24"/>
      <c r="M3086" s="25" t="s">
        <v>2665</v>
      </c>
      <c r="N3086" s="22"/>
      <c r="O3086" s="22" t="s">
        <v>2666</v>
      </c>
      <c r="P3086" s="22" t="str">
        <f>HYPERLINK("https://ceds.ed.gov/cedselementdetails.aspx?termid=22280")</f>
        <v>https://ceds.ed.gov/cedselementdetails.aspx?termid=22280</v>
      </c>
      <c r="Q3086" s="22">
        <v>62534</v>
      </c>
    </row>
    <row r="3087" spans="1:17" ht="172.8" x14ac:dyDescent="0.3">
      <c r="A3087" s="22" t="s">
        <v>7866</v>
      </c>
      <c r="B3087" s="22" t="s">
        <v>7830</v>
      </c>
      <c r="C3087" s="22"/>
      <c r="D3087" s="22" t="s">
        <v>7710</v>
      </c>
      <c r="E3087" s="22" t="s">
        <v>5724</v>
      </c>
      <c r="F3087" s="24" t="s">
        <v>5725</v>
      </c>
      <c r="G3087" s="23" t="s">
        <v>32</v>
      </c>
      <c r="H3087" s="22"/>
      <c r="I3087" s="22"/>
      <c r="J3087" s="22" t="s">
        <v>132</v>
      </c>
      <c r="K3087" s="24"/>
      <c r="L3087" s="24" t="s">
        <v>7945</v>
      </c>
      <c r="M3087" s="25" t="s">
        <v>5726</v>
      </c>
      <c r="N3087" s="22"/>
      <c r="O3087" s="22" t="s">
        <v>5727</v>
      </c>
      <c r="P3087" s="22" t="str">
        <f>HYPERLINK("https://ceds.ed.gov/cedselementdetails.aspx?termid=22389")</f>
        <v>https://ceds.ed.gov/cedselementdetails.aspx?termid=22389</v>
      </c>
      <c r="Q3087" s="22">
        <v>62536</v>
      </c>
    </row>
    <row r="3088" spans="1:17" ht="43.2" x14ac:dyDescent="0.3">
      <c r="A3088" s="22" t="s">
        <v>7866</v>
      </c>
      <c r="B3088" s="22" t="s">
        <v>7830</v>
      </c>
      <c r="C3088" s="22"/>
      <c r="D3088" s="22" t="s">
        <v>7710</v>
      </c>
      <c r="E3088" s="22" t="s">
        <v>5765</v>
      </c>
      <c r="F3088" s="24" t="s">
        <v>5766</v>
      </c>
      <c r="G3088" s="23" t="s">
        <v>32</v>
      </c>
      <c r="H3088" s="22"/>
      <c r="I3088" s="22"/>
      <c r="J3088" s="22" t="s">
        <v>85</v>
      </c>
      <c r="K3088" s="24"/>
      <c r="L3088" s="24"/>
      <c r="M3088" s="25" t="s">
        <v>5767</v>
      </c>
      <c r="N3088" s="22"/>
      <c r="O3088" s="22" t="s">
        <v>5768</v>
      </c>
      <c r="P3088" s="22" t="str">
        <f>HYPERLINK("https://ceds.ed.gov/cedselementdetails.aspx?termid=22391")</f>
        <v>https://ceds.ed.gov/cedselementdetails.aspx?termid=22391</v>
      </c>
      <c r="Q3088" s="22">
        <v>62537</v>
      </c>
    </row>
    <row r="3089" spans="1:17" ht="100.8" x14ac:dyDescent="0.3">
      <c r="A3089" s="22" t="s">
        <v>7866</v>
      </c>
      <c r="B3089" s="22" t="s">
        <v>7830</v>
      </c>
      <c r="C3089" s="22"/>
      <c r="D3089" s="22" t="s">
        <v>7710</v>
      </c>
      <c r="E3089" s="22" t="s">
        <v>6721</v>
      </c>
      <c r="F3089" s="24" t="s">
        <v>6722</v>
      </c>
      <c r="G3089" s="23" t="s">
        <v>32</v>
      </c>
      <c r="H3089" s="24" t="s">
        <v>1521</v>
      </c>
      <c r="I3089" s="22"/>
      <c r="J3089" s="22" t="s">
        <v>118</v>
      </c>
      <c r="K3089" s="24"/>
      <c r="L3089" s="24"/>
      <c r="M3089" s="25" t="s">
        <v>6723</v>
      </c>
      <c r="N3089" s="22"/>
      <c r="O3089" s="22" t="s">
        <v>6724</v>
      </c>
      <c r="P3089" s="22" t="str">
        <f>HYPERLINK("https://ceds.ed.gov/cedselementdetails.aspx?termid=21251")</f>
        <v>https://ceds.ed.gov/cedselementdetails.aspx?termid=21251</v>
      </c>
      <c r="Q3089" s="22">
        <v>60801</v>
      </c>
    </row>
    <row r="3090" spans="1:17" ht="100.8" x14ac:dyDescent="0.3">
      <c r="A3090" s="22" t="s">
        <v>7866</v>
      </c>
      <c r="B3090" s="22" t="s">
        <v>7830</v>
      </c>
      <c r="C3090" s="22"/>
      <c r="D3090" s="22" t="s">
        <v>7710</v>
      </c>
      <c r="E3090" s="22" t="s">
        <v>6738</v>
      </c>
      <c r="F3090" s="24" t="s">
        <v>6739</v>
      </c>
      <c r="G3090" s="23" t="s">
        <v>32</v>
      </c>
      <c r="H3090" s="24" t="s">
        <v>1521</v>
      </c>
      <c r="I3090" s="22"/>
      <c r="J3090" s="22" t="s">
        <v>118</v>
      </c>
      <c r="K3090" s="24"/>
      <c r="L3090" s="24" t="s">
        <v>143</v>
      </c>
      <c r="M3090" s="25" t="s">
        <v>6740</v>
      </c>
      <c r="N3090" s="22"/>
      <c r="O3090" s="22" t="s">
        <v>6741</v>
      </c>
      <c r="P3090" s="22" t="str">
        <f>HYPERLINK("https://ceds.ed.gov/cedselementdetails.aspx?termid=21253")</f>
        <v>https://ceds.ed.gov/cedselementdetails.aspx?termid=21253</v>
      </c>
      <c r="Q3090" s="22">
        <v>60803</v>
      </c>
    </row>
    <row r="3091" spans="1:17" ht="28.8" x14ac:dyDescent="0.3">
      <c r="A3091" s="22" t="s">
        <v>7866</v>
      </c>
      <c r="B3091" s="22" t="s">
        <v>7830</v>
      </c>
      <c r="C3091" s="22"/>
      <c r="D3091" s="22" t="s">
        <v>7710</v>
      </c>
      <c r="E3091" s="22" t="s">
        <v>6733</v>
      </c>
      <c r="F3091" s="24" t="s">
        <v>6734</v>
      </c>
      <c r="G3091" s="23" t="s">
        <v>32</v>
      </c>
      <c r="H3091" s="24" t="s">
        <v>1965</v>
      </c>
      <c r="I3091" s="22"/>
      <c r="J3091" s="22" t="s">
        <v>3145</v>
      </c>
      <c r="K3091" s="24"/>
      <c r="L3091" s="24"/>
      <c r="M3091" s="25" t="s">
        <v>6736</v>
      </c>
      <c r="N3091" s="22"/>
      <c r="O3091" s="22" t="s">
        <v>6737</v>
      </c>
      <c r="P3091" s="22" t="str">
        <f>HYPERLINK("https://ceds.ed.gov/cedselementdetails.aspx?termid=21252")</f>
        <v>https://ceds.ed.gov/cedselementdetails.aspx?termid=21252</v>
      </c>
      <c r="Q3091" s="22">
        <v>60802</v>
      </c>
    </row>
    <row r="3092" spans="1:17" ht="172.8" x14ac:dyDescent="0.3">
      <c r="A3092" s="22" t="s">
        <v>7866</v>
      </c>
      <c r="B3092" s="22" t="s">
        <v>7830</v>
      </c>
      <c r="C3092" s="22"/>
      <c r="D3092" s="22" t="s">
        <v>7710</v>
      </c>
      <c r="E3092" s="22" t="s">
        <v>6758</v>
      </c>
      <c r="F3092" s="24" t="s">
        <v>6759</v>
      </c>
      <c r="G3092" s="26" t="s">
        <v>9141</v>
      </c>
      <c r="H3092" s="24" t="s">
        <v>1521</v>
      </c>
      <c r="I3092" s="22"/>
      <c r="J3092" s="22"/>
      <c r="K3092" s="24"/>
      <c r="L3092" s="24"/>
      <c r="M3092" s="25" t="s">
        <v>6761</v>
      </c>
      <c r="N3092" s="22"/>
      <c r="O3092" s="22" t="s">
        <v>6762</v>
      </c>
      <c r="P3092" s="22" t="str">
        <f>HYPERLINK("https://ceds.ed.gov/cedselementdetails.aspx?termid=21254")</f>
        <v>https://ceds.ed.gov/cedselementdetails.aspx?termid=21254</v>
      </c>
      <c r="Q3092" s="22">
        <v>60804</v>
      </c>
    </row>
    <row r="3093" spans="1:17" ht="43.2" x14ac:dyDescent="0.3">
      <c r="A3093" s="22" t="s">
        <v>7866</v>
      </c>
      <c r="B3093" s="22" t="s">
        <v>7830</v>
      </c>
      <c r="C3093" s="22"/>
      <c r="D3093" s="22" t="s">
        <v>7710</v>
      </c>
      <c r="E3093" s="22" t="s">
        <v>6725</v>
      </c>
      <c r="F3093" s="24" t="s">
        <v>6726</v>
      </c>
      <c r="G3093" s="23" t="s">
        <v>32</v>
      </c>
      <c r="H3093" s="22"/>
      <c r="I3093" s="22"/>
      <c r="J3093" s="22" t="s">
        <v>85</v>
      </c>
      <c r="K3093" s="24"/>
      <c r="L3093" s="24"/>
      <c r="M3093" s="25" t="s">
        <v>6727</v>
      </c>
      <c r="N3093" s="22"/>
      <c r="O3093" s="22" t="s">
        <v>6728</v>
      </c>
      <c r="P3093" s="22" t="str">
        <f>HYPERLINK("https://ceds.ed.gov/cedselementdetails.aspx?termid=22236")</f>
        <v>https://ceds.ed.gov/cedselementdetails.aspx?termid=22236</v>
      </c>
      <c r="Q3093" s="22">
        <v>62553</v>
      </c>
    </row>
    <row r="3094" spans="1:17" x14ac:dyDescent="0.3">
      <c r="A3094" s="22" t="s">
        <v>7866</v>
      </c>
      <c r="B3094" s="22" t="s">
        <v>7830</v>
      </c>
      <c r="C3094" s="22"/>
      <c r="D3094" s="22" t="s">
        <v>7710</v>
      </c>
      <c r="E3094" s="22" t="s">
        <v>6729</v>
      </c>
      <c r="F3094" s="24" t="s">
        <v>6730</v>
      </c>
      <c r="G3094" s="23" t="s">
        <v>32</v>
      </c>
      <c r="H3094" s="22"/>
      <c r="I3094" s="22"/>
      <c r="J3094" s="22" t="s">
        <v>328</v>
      </c>
      <c r="K3094" s="24"/>
      <c r="L3094" s="24"/>
      <c r="M3094" s="25" t="s">
        <v>6731</v>
      </c>
      <c r="N3094" s="22"/>
      <c r="O3094" s="22" t="s">
        <v>6732</v>
      </c>
      <c r="P3094" s="22" t="str">
        <f>HYPERLINK("https://ceds.ed.gov/cedselementdetails.aspx?termid=22237")</f>
        <v>https://ceds.ed.gov/cedselementdetails.aspx?termid=22237</v>
      </c>
      <c r="Q3094" s="22">
        <v>62554</v>
      </c>
    </row>
    <row r="3095" spans="1:17" ht="409.6" x14ac:dyDescent="0.3">
      <c r="A3095" s="22" t="s">
        <v>7866</v>
      </c>
      <c r="B3095" s="22" t="s">
        <v>7830</v>
      </c>
      <c r="C3095" s="22"/>
      <c r="D3095" s="22" t="s">
        <v>7710</v>
      </c>
      <c r="E3095" s="22" t="s">
        <v>305</v>
      </c>
      <c r="F3095" s="24" t="s">
        <v>7956</v>
      </c>
      <c r="G3095" s="26" t="s">
        <v>8595</v>
      </c>
      <c r="H3095" s="22"/>
      <c r="I3095" s="22"/>
      <c r="J3095" s="22" t="s">
        <v>157</v>
      </c>
      <c r="K3095" s="24"/>
      <c r="L3095" s="24"/>
      <c r="M3095" s="25" t="s">
        <v>307</v>
      </c>
      <c r="N3095" s="22" t="s">
        <v>308</v>
      </c>
      <c r="O3095" s="22" t="s">
        <v>309</v>
      </c>
      <c r="P3095" s="22" t="str">
        <f>HYPERLINK("https://ceds.ed.gov/cedselementdetails.aspx?termid=22244")</f>
        <v>https://ceds.ed.gov/cedselementdetails.aspx?termid=22244</v>
      </c>
      <c r="Q3095" s="22">
        <v>62524</v>
      </c>
    </row>
    <row r="3096" spans="1:17" ht="43.2" x14ac:dyDescent="0.3">
      <c r="A3096" s="22" t="s">
        <v>7866</v>
      </c>
      <c r="B3096" s="22" t="s">
        <v>7830</v>
      </c>
      <c r="C3096" s="22"/>
      <c r="D3096" s="22" t="s">
        <v>7710</v>
      </c>
      <c r="E3096" s="22" t="s">
        <v>2600</v>
      </c>
      <c r="F3096" s="24" t="s">
        <v>2601</v>
      </c>
      <c r="G3096" s="23" t="s">
        <v>32</v>
      </c>
      <c r="H3096" s="22"/>
      <c r="I3096" s="22"/>
      <c r="J3096" s="22" t="s">
        <v>157</v>
      </c>
      <c r="K3096" s="24"/>
      <c r="L3096" s="24"/>
      <c r="M3096" s="25" t="s">
        <v>2602</v>
      </c>
      <c r="N3096" s="22"/>
      <c r="O3096" s="22" t="s">
        <v>2603</v>
      </c>
      <c r="P3096" s="22" t="str">
        <f>HYPERLINK("https://ceds.ed.gov/cedselementdetails.aspx?termid=21508")</f>
        <v>https://ceds.ed.gov/cedselementdetails.aspx?termid=21508</v>
      </c>
      <c r="Q3096" s="22">
        <v>62541</v>
      </c>
    </row>
    <row r="3097" spans="1:17" ht="345.6" x14ac:dyDescent="0.3">
      <c r="A3097" s="22" t="s">
        <v>7866</v>
      </c>
      <c r="B3097" s="22" t="s">
        <v>7830</v>
      </c>
      <c r="C3097" s="22"/>
      <c r="D3097" s="22" t="s">
        <v>7710</v>
      </c>
      <c r="E3097" s="22" t="s">
        <v>2584</v>
      </c>
      <c r="F3097" s="24" t="s">
        <v>2585</v>
      </c>
      <c r="G3097" s="26" t="s">
        <v>8748</v>
      </c>
      <c r="H3097" s="22"/>
      <c r="I3097" s="22"/>
      <c r="J3097" s="22"/>
      <c r="K3097" s="24"/>
      <c r="L3097" s="24"/>
      <c r="M3097" s="25" t="s">
        <v>2586</v>
      </c>
      <c r="N3097" s="22"/>
      <c r="O3097" s="22" t="s">
        <v>2587</v>
      </c>
      <c r="P3097" s="22" t="str">
        <f>HYPERLINK("https://ceds.ed.gov/cedselementdetails.aspx?termid=22269")</f>
        <v>https://ceds.ed.gov/cedselementdetails.aspx?termid=22269</v>
      </c>
      <c r="Q3097" s="22">
        <v>62526</v>
      </c>
    </row>
    <row r="3098" spans="1:17" ht="187.2" x14ac:dyDescent="0.3">
      <c r="A3098" s="22" t="s">
        <v>7866</v>
      </c>
      <c r="B3098" s="22" t="s">
        <v>7830</v>
      </c>
      <c r="C3098" s="22"/>
      <c r="D3098" s="22" t="s">
        <v>7710</v>
      </c>
      <c r="E3098" s="22" t="s">
        <v>2588</v>
      </c>
      <c r="F3098" s="24" t="s">
        <v>2589</v>
      </c>
      <c r="G3098" s="26" t="s">
        <v>8749</v>
      </c>
      <c r="H3098" s="22"/>
      <c r="I3098" s="22"/>
      <c r="J3098" s="22"/>
      <c r="K3098" s="24"/>
      <c r="L3098" s="24"/>
      <c r="M3098" s="25" t="s">
        <v>2590</v>
      </c>
      <c r="N3098" s="22"/>
      <c r="O3098" s="22" t="s">
        <v>2591</v>
      </c>
      <c r="P3098" s="22" t="str">
        <f>HYPERLINK("https://ceds.ed.gov/cedselementdetails.aspx?termid=22270")</f>
        <v>https://ceds.ed.gov/cedselementdetails.aspx?termid=22270</v>
      </c>
      <c r="Q3098" s="22">
        <v>62527</v>
      </c>
    </row>
    <row r="3099" spans="1:17" ht="409.6" x14ac:dyDescent="0.3">
      <c r="A3099" s="22" t="s">
        <v>7866</v>
      </c>
      <c r="B3099" s="22" t="s">
        <v>7830</v>
      </c>
      <c r="C3099" s="22"/>
      <c r="D3099" s="22" t="s">
        <v>7710</v>
      </c>
      <c r="E3099" s="22" t="s">
        <v>2566</v>
      </c>
      <c r="F3099" s="24" t="s">
        <v>2567</v>
      </c>
      <c r="G3099" s="26" t="s">
        <v>8747</v>
      </c>
      <c r="H3099" s="22"/>
      <c r="I3099" s="22"/>
      <c r="J3099" s="22"/>
      <c r="K3099" s="24"/>
      <c r="L3099" s="24" t="s">
        <v>8057</v>
      </c>
      <c r="M3099" s="25" t="s">
        <v>2569</v>
      </c>
      <c r="N3099" s="22"/>
      <c r="O3099" s="22" t="s">
        <v>2570</v>
      </c>
      <c r="P3099" s="22" t="str">
        <f>HYPERLINK("https://ceds.ed.gov/cedselementdetails.aspx?termid=22267")</f>
        <v>https://ceds.ed.gov/cedselementdetails.aspx?termid=22267</v>
      </c>
      <c r="Q3099" s="22">
        <v>62546</v>
      </c>
    </row>
    <row r="3100" spans="1:17" ht="302.39999999999998" x14ac:dyDescent="0.3">
      <c r="A3100" s="22" t="s">
        <v>7866</v>
      </c>
      <c r="B3100" s="22" t="s">
        <v>7830</v>
      </c>
      <c r="C3100" s="22"/>
      <c r="D3100" s="22" t="s">
        <v>7710</v>
      </c>
      <c r="E3100" s="22" t="s">
        <v>2654</v>
      </c>
      <c r="F3100" s="24" t="s">
        <v>2655</v>
      </c>
      <c r="G3100" s="26" t="s">
        <v>8422</v>
      </c>
      <c r="H3100" s="22"/>
      <c r="I3100" s="22" t="s">
        <v>172</v>
      </c>
      <c r="J3100" s="22"/>
      <c r="K3100" s="24" t="s">
        <v>7946</v>
      </c>
      <c r="L3100" s="24"/>
      <c r="M3100" s="25" t="s">
        <v>2657</v>
      </c>
      <c r="N3100" s="22"/>
      <c r="O3100" s="22" t="s">
        <v>2658</v>
      </c>
      <c r="P3100" s="22" t="str">
        <f>HYPERLINK("https://ceds.ed.gov/cedselementdetails.aspx?termid=22278")</f>
        <v>https://ceds.ed.gov/cedselementdetails.aspx?termid=22278</v>
      </c>
      <c r="Q3100" s="22">
        <v>62532</v>
      </c>
    </row>
    <row r="3101" spans="1:17" ht="129.6" x14ac:dyDescent="0.3">
      <c r="A3101" s="22" t="s">
        <v>7866</v>
      </c>
      <c r="B3101" s="22" t="s">
        <v>7830</v>
      </c>
      <c r="C3101" s="22"/>
      <c r="D3101" s="22" t="s">
        <v>7710</v>
      </c>
      <c r="E3101" s="22" t="s">
        <v>2546</v>
      </c>
      <c r="F3101" s="24" t="s">
        <v>2547</v>
      </c>
      <c r="G3101" s="23" t="s">
        <v>32</v>
      </c>
      <c r="H3101" s="22"/>
      <c r="I3101" s="22"/>
      <c r="J3101" s="22" t="s">
        <v>2549</v>
      </c>
      <c r="K3101" s="24"/>
      <c r="L3101" s="24" t="s">
        <v>2550</v>
      </c>
      <c r="M3101" s="25" t="s">
        <v>2551</v>
      </c>
      <c r="N3101" s="22"/>
      <c r="O3101" s="22" t="s">
        <v>2552</v>
      </c>
      <c r="P3101" s="22" t="str">
        <f>HYPERLINK("https://ceds.ed.gov/cedselementdetails.aspx?termid=22264")</f>
        <v>https://ceds.ed.gov/cedselementdetails.aspx?termid=22264</v>
      </c>
      <c r="Q3101" s="22">
        <v>62525</v>
      </c>
    </row>
    <row r="3102" spans="1:17" ht="43.2" x14ac:dyDescent="0.3">
      <c r="A3102" s="22" t="s">
        <v>7866</v>
      </c>
      <c r="B3102" s="22" t="s">
        <v>7830</v>
      </c>
      <c r="C3102" s="22"/>
      <c r="D3102" s="22" t="s">
        <v>7710</v>
      </c>
      <c r="E3102" s="22" t="s">
        <v>2624</v>
      </c>
      <c r="F3102" s="24" t="s">
        <v>2625</v>
      </c>
      <c r="G3102" s="26" t="s">
        <v>8753</v>
      </c>
      <c r="H3102" s="22"/>
      <c r="I3102" s="22"/>
      <c r="J3102" s="22"/>
      <c r="K3102" s="24"/>
      <c r="L3102" s="24"/>
      <c r="M3102" s="25" t="s">
        <v>2626</v>
      </c>
      <c r="N3102" s="22"/>
      <c r="O3102" s="22" t="s">
        <v>2627</v>
      </c>
      <c r="P3102" s="22" t="str">
        <f>HYPERLINK("https://ceds.ed.gov/cedselementdetails.aspx?termid=22273")</f>
        <v>https://ceds.ed.gov/cedselementdetails.aspx?termid=22273</v>
      </c>
      <c r="Q3102" s="22">
        <v>62528</v>
      </c>
    </row>
    <row r="3103" spans="1:17" ht="244.8" x14ac:dyDescent="0.3">
      <c r="A3103" s="22" t="s">
        <v>7866</v>
      </c>
      <c r="B3103" s="22" t="s">
        <v>7830</v>
      </c>
      <c r="C3103" s="22"/>
      <c r="D3103" s="22" t="s">
        <v>7710</v>
      </c>
      <c r="E3103" s="22" t="s">
        <v>1925</v>
      </c>
      <c r="F3103" s="24" t="s">
        <v>1926</v>
      </c>
      <c r="G3103" s="26" t="s">
        <v>8710</v>
      </c>
      <c r="H3103" s="22"/>
      <c r="I3103" s="22"/>
      <c r="J3103" s="22"/>
      <c r="K3103" s="24"/>
      <c r="L3103" s="24" t="s">
        <v>8034</v>
      </c>
      <c r="M3103" s="25" t="s">
        <v>1927</v>
      </c>
      <c r="N3103" s="22"/>
      <c r="O3103" s="22" t="s">
        <v>1928</v>
      </c>
      <c r="P3103" s="22" t="str">
        <f>HYPERLINK("https://ceds.ed.gov/cedselementdetails.aspx?termid=22254")</f>
        <v>https://ceds.ed.gov/cedselementdetails.aspx?termid=22254</v>
      </c>
      <c r="Q3103" s="22">
        <v>62545</v>
      </c>
    </row>
    <row r="3104" spans="1:17" ht="43.2" x14ac:dyDescent="0.3">
      <c r="A3104" s="22" t="s">
        <v>7866</v>
      </c>
      <c r="B3104" s="22" t="s">
        <v>7830</v>
      </c>
      <c r="C3104" s="22"/>
      <c r="D3104" s="22" t="s">
        <v>7710</v>
      </c>
      <c r="E3104" s="22" t="s">
        <v>2562</v>
      </c>
      <c r="F3104" s="24" t="s">
        <v>2563</v>
      </c>
      <c r="G3104" s="26" t="s">
        <v>22</v>
      </c>
      <c r="H3104" s="22"/>
      <c r="I3104" s="22"/>
      <c r="J3104" s="22"/>
      <c r="K3104" s="24"/>
      <c r="L3104" s="24"/>
      <c r="M3104" s="25" t="s">
        <v>2564</v>
      </c>
      <c r="N3104" s="22"/>
      <c r="O3104" s="22" t="s">
        <v>2565</v>
      </c>
      <c r="P3104" s="22" t="str">
        <f>HYPERLINK("https://ceds.ed.gov/cedselementdetails.aspx?termid=21013")</f>
        <v>https://ceds.ed.gov/cedselementdetails.aspx?termid=21013</v>
      </c>
      <c r="Q3104" s="22">
        <v>60824</v>
      </c>
    </row>
    <row r="3105" spans="1:17" ht="43.2" x14ac:dyDescent="0.3">
      <c r="A3105" s="22" t="s">
        <v>7866</v>
      </c>
      <c r="B3105" s="22" t="s">
        <v>7830</v>
      </c>
      <c r="C3105" s="22"/>
      <c r="D3105" s="22" t="s">
        <v>7710</v>
      </c>
      <c r="E3105" s="22" t="s">
        <v>6746</v>
      </c>
      <c r="F3105" s="24" t="s">
        <v>6747</v>
      </c>
      <c r="G3105" s="26" t="s">
        <v>22</v>
      </c>
      <c r="H3105" s="22"/>
      <c r="I3105" s="22"/>
      <c r="J3105" s="22"/>
      <c r="K3105" s="24"/>
      <c r="L3105" s="24"/>
      <c r="M3105" s="25" t="s">
        <v>6748</v>
      </c>
      <c r="N3105" s="22"/>
      <c r="O3105" s="22" t="s">
        <v>6749</v>
      </c>
      <c r="P3105" s="22" t="str">
        <f>HYPERLINK("https://ceds.ed.gov/cedselementdetails.aspx?termid=22238")</f>
        <v>https://ceds.ed.gov/cedselementdetails.aspx?termid=22238</v>
      </c>
      <c r="Q3105" s="22">
        <v>62555</v>
      </c>
    </row>
    <row r="3106" spans="1:17" ht="43.2" x14ac:dyDescent="0.3">
      <c r="A3106" s="22" t="s">
        <v>7866</v>
      </c>
      <c r="B3106" s="22" t="s">
        <v>7830</v>
      </c>
      <c r="C3106" s="22"/>
      <c r="D3106" s="22" t="s">
        <v>7710</v>
      </c>
      <c r="E3106" s="22" t="s">
        <v>6750</v>
      </c>
      <c r="F3106" s="24" t="s">
        <v>6751</v>
      </c>
      <c r="G3106" s="26" t="s">
        <v>22</v>
      </c>
      <c r="H3106" s="22"/>
      <c r="I3106" s="22"/>
      <c r="J3106" s="22"/>
      <c r="K3106" s="24"/>
      <c r="L3106" s="24"/>
      <c r="M3106" s="25" t="s">
        <v>6752</v>
      </c>
      <c r="N3106" s="22"/>
      <c r="O3106" s="22" t="s">
        <v>6753</v>
      </c>
      <c r="P3106" s="22" t="str">
        <f>HYPERLINK("https://ceds.ed.gov/cedselementdetails.aspx?termid=22239")</f>
        <v>https://ceds.ed.gov/cedselementdetails.aspx?termid=22239</v>
      </c>
      <c r="Q3106" s="22">
        <v>62556</v>
      </c>
    </row>
    <row r="3107" spans="1:17" ht="43.2" x14ac:dyDescent="0.3">
      <c r="A3107" s="22" t="s">
        <v>7866</v>
      </c>
      <c r="B3107" s="22" t="s">
        <v>7830</v>
      </c>
      <c r="C3107" s="22"/>
      <c r="D3107" s="22" t="s">
        <v>7710</v>
      </c>
      <c r="E3107" s="22" t="s">
        <v>6716</v>
      </c>
      <c r="F3107" s="24" t="s">
        <v>6717</v>
      </c>
      <c r="G3107" s="26" t="s">
        <v>22</v>
      </c>
      <c r="H3107" s="22"/>
      <c r="I3107" s="22"/>
      <c r="J3107" s="22"/>
      <c r="K3107" s="24"/>
      <c r="L3107" s="24"/>
      <c r="M3107" s="25" t="s">
        <v>6719</v>
      </c>
      <c r="N3107" s="22"/>
      <c r="O3107" s="22" t="s">
        <v>6720</v>
      </c>
      <c r="P3107" s="22" t="str">
        <f>HYPERLINK("https://ceds.ed.gov/cedselementdetails.aspx?termid=22240")</f>
        <v>https://ceds.ed.gov/cedselementdetails.aspx?termid=22240</v>
      </c>
      <c r="Q3107" s="22">
        <v>62557</v>
      </c>
    </row>
    <row r="3108" spans="1:17" ht="129.6" x14ac:dyDescent="0.3">
      <c r="A3108" s="22" t="s">
        <v>7866</v>
      </c>
      <c r="B3108" s="22" t="s">
        <v>7830</v>
      </c>
      <c r="C3108" s="22"/>
      <c r="D3108" s="22" t="s">
        <v>7710</v>
      </c>
      <c r="E3108" s="22" t="s">
        <v>2737</v>
      </c>
      <c r="F3108" s="24" t="s">
        <v>2738</v>
      </c>
      <c r="G3108" s="23" t="s">
        <v>32</v>
      </c>
      <c r="H3108" s="22" t="s">
        <v>2741</v>
      </c>
      <c r="I3108" s="22"/>
      <c r="J3108" s="22" t="s">
        <v>317</v>
      </c>
      <c r="K3108" s="24"/>
      <c r="L3108" s="24"/>
      <c r="M3108" s="25" t="s">
        <v>2739</v>
      </c>
      <c r="N3108" s="22"/>
      <c r="O3108" s="22" t="s">
        <v>2740</v>
      </c>
      <c r="P3108" s="22" t="str">
        <f>HYPERLINK("https://ceds.ed.gov/cedselementdetails.aspx?termid=21101")</f>
        <v>https://ceds.ed.gov/cedselementdetails.aspx?termid=21101</v>
      </c>
      <c r="Q3108" s="22">
        <v>60817</v>
      </c>
    </row>
    <row r="3109" spans="1:17" ht="129.6" x14ac:dyDescent="0.3">
      <c r="A3109" s="22" t="s">
        <v>7866</v>
      </c>
      <c r="B3109" s="22" t="s">
        <v>7830</v>
      </c>
      <c r="C3109" s="22"/>
      <c r="D3109" s="22" t="s">
        <v>7710</v>
      </c>
      <c r="E3109" s="22" t="s">
        <v>2673</v>
      </c>
      <c r="F3109" s="24" t="s">
        <v>2674</v>
      </c>
      <c r="G3109" s="26" t="s">
        <v>8758</v>
      </c>
      <c r="H3109" s="24" t="s">
        <v>64</v>
      </c>
      <c r="I3109" s="22"/>
      <c r="J3109" s="22"/>
      <c r="K3109" s="24"/>
      <c r="L3109" s="24"/>
      <c r="M3109" s="25" t="s">
        <v>2676</v>
      </c>
      <c r="N3109" s="22"/>
      <c r="O3109" s="22" t="s">
        <v>2677</v>
      </c>
      <c r="P3109" s="22" t="str">
        <f>HYPERLINK("https://ceds.ed.gov/cedselementdetails.aspx?termid=21065")</f>
        <v>https://ceds.ed.gov/cedselementdetails.aspx?termid=21065</v>
      </c>
      <c r="Q3109" s="22">
        <v>62523</v>
      </c>
    </row>
    <row r="3110" spans="1:17" ht="28.8" x14ac:dyDescent="0.3">
      <c r="A3110" s="22" t="s">
        <v>7866</v>
      </c>
      <c r="B3110" s="22" t="s">
        <v>7830</v>
      </c>
      <c r="C3110" s="22"/>
      <c r="D3110" s="22" t="s">
        <v>7710</v>
      </c>
      <c r="E3110" s="22" t="s">
        <v>2059</v>
      </c>
      <c r="F3110" s="24" t="s">
        <v>2060</v>
      </c>
      <c r="G3110" s="23" t="s">
        <v>32</v>
      </c>
      <c r="H3110" s="24" t="s">
        <v>2063</v>
      </c>
      <c r="I3110" s="22"/>
      <c r="J3110" s="22" t="s">
        <v>430</v>
      </c>
      <c r="K3110" s="24"/>
      <c r="L3110" s="24"/>
      <c r="M3110" s="25" t="s">
        <v>2061</v>
      </c>
      <c r="N3110" s="22"/>
      <c r="O3110" s="22" t="s">
        <v>2062</v>
      </c>
      <c r="P3110" s="22" t="str">
        <f>HYPERLINK("https://ceds.ed.gov/cedselementdetails.aspx?termid=21510")</f>
        <v>https://ceds.ed.gov/cedselementdetails.aspx?termid=21510</v>
      </c>
      <c r="Q3110" s="22">
        <v>60808</v>
      </c>
    </row>
    <row r="3111" spans="1:17" ht="28.8" x14ac:dyDescent="0.3">
      <c r="A3111" s="22" t="s">
        <v>7866</v>
      </c>
      <c r="B3111" s="22" t="s">
        <v>7830</v>
      </c>
      <c r="C3111" s="22"/>
      <c r="D3111" s="22" t="s">
        <v>7710</v>
      </c>
      <c r="E3111" s="22" t="s">
        <v>2064</v>
      </c>
      <c r="F3111" s="24" t="s">
        <v>2065</v>
      </c>
      <c r="G3111" s="23" t="s">
        <v>32</v>
      </c>
      <c r="H3111" s="24" t="s">
        <v>2063</v>
      </c>
      <c r="I3111" s="22"/>
      <c r="J3111" s="22" t="s">
        <v>430</v>
      </c>
      <c r="K3111" s="24"/>
      <c r="L3111" s="24"/>
      <c r="M3111" s="25" t="s">
        <v>2066</v>
      </c>
      <c r="N3111" s="22"/>
      <c r="O3111" s="22" t="s">
        <v>2067</v>
      </c>
      <c r="P3111" s="22" t="str">
        <f>HYPERLINK("https://ceds.ed.gov/cedselementdetails.aspx?termid=21511")</f>
        <v>https://ceds.ed.gov/cedselementdetails.aspx?termid=21511</v>
      </c>
      <c r="Q3111" s="22">
        <v>60809</v>
      </c>
    </row>
    <row r="3112" spans="1:17" ht="57.6" x14ac:dyDescent="0.3">
      <c r="A3112" s="22" t="s">
        <v>7866</v>
      </c>
      <c r="B3112" s="22" t="s">
        <v>7830</v>
      </c>
      <c r="C3112" s="22"/>
      <c r="D3112" s="22" t="s">
        <v>7710</v>
      </c>
      <c r="E3112" s="22" t="s">
        <v>2068</v>
      </c>
      <c r="F3112" s="24" t="s">
        <v>2069</v>
      </c>
      <c r="G3112" s="23" t="s">
        <v>32</v>
      </c>
      <c r="H3112" s="22"/>
      <c r="I3112" s="22"/>
      <c r="J3112" s="22" t="s">
        <v>157</v>
      </c>
      <c r="K3112" s="24"/>
      <c r="L3112" s="24"/>
      <c r="M3112" s="25" t="s">
        <v>2071</v>
      </c>
      <c r="N3112" s="22"/>
      <c r="O3112" s="22" t="s">
        <v>2072</v>
      </c>
      <c r="P3112" s="22" t="str">
        <f>HYPERLINK("https://ceds.ed.gov/cedselementdetails.aspx?termid=21512")</f>
        <v>https://ceds.ed.gov/cedselementdetails.aspx?termid=21512</v>
      </c>
      <c r="Q3112" s="22">
        <v>60810</v>
      </c>
    </row>
    <row r="3113" spans="1:17" ht="72" x14ac:dyDescent="0.3">
      <c r="A3113" s="22" t="s">
        <v>7866</v>
      </c>
      <c r="B3113" s="22" t="s">
        <v>7830</v>
      </c>
      <c r="C3113" s="22"/>
      <c r="D3113" s="22" t="s">
        <v>7710</v>
      </c>
      <c r="E3113" s="22" t="s">
        <v>2073</v>
      </c>
      <c r="F3113" s="24" t="s">
        <v>2074</v>
      </c>
      <c r="G3113" s="23" t="s">
        <v>32</v>
      </c>
      <c r="H3113" s="22"/>
      <c r="I3113" s="22"/>
      <c r="J3113" s="22" t="s">
        <v>85</v>
      </c>
      <c r="K3113" s="24"/>
      <c r="L3113" s="24"/>
      <c r="M3113" s="25" t="s">
        <v>2075</v>
      </c>
      <c r="N3113" s="22"/>
      <c r="O3113" s="22" t="s">
        <v>2076</v>
      </c>
      <c r="P3113" s="22" t="str">
        <f>HYPERLINK("https://ceds.ed.gov/cedselementdetails.aspx?termid=21513")</f>
        <v>https://ceds.ed.gov/cedselementdetails.aspx?termid=21513</v>
      </c>
      <c r="Q3113" s="22">
        <v>60811</v>
      </c>
    </row>
    <row r="3114" spans="1:17" ht="172.8" x14ac:dyDescent="0.3">
      <c r="A3114" s="22" t="s">
        <v>7866</v>
      </c>
      <c r="B3114" s="22" t="s">
        <v>7830</v>
      </c>
      <c r="C3114" s="22"/>
      <c r="D3114" s="22" t="s">
        <v>7710</v>
      </c>
      <c r="E3114" s="22" t="s">
        <v>7184</v>
      </c>
      <c r="F3114" s="24" t="s">
        <v>7185</v>
      </c>
      <c r="G3114" s="23" t="s">
        <v>32</v>
      </c>
      <c r="H3114" s="22"/>
      <c r="I3114" s="22"/>
      <c r="J3114" s="22" t="s">
        <v>132</v>
      </c>
      <c r="K3114" s="24"/>
      <c r="L3114" s="24" t="s">
        <v>7945</v>
      </c>
      <c r="M3114" s="25" t="s">
        <v>7186</v>
      </c>
      <c r="N3114" s="22"/>
      <c r="O3114" s="22" t="s">
        <v>7187</v>
      </c>
      <c r="P3114" s="22" t="str">
        <f>HYPERLINK("https://ceds.ed.gov/cedselementdetails.aspx?termid=21514")</f>
        <v>https://ceds.ed.gov/cedselementdetails.aspx?termid=21514</v>
      </c>
      <c r="Q3114" s="22">
        <v>60812</v>
      </c>
    </row>
    <row r="3115" spans="1:17" ht="28.8" x14ac:dyDescent="0.3">
      <c r="A3115" s="22" t="s">
        <v>7866</v>
      </c>
      <c r="B3115" s="22" t="s">
        <v>7830</v>
      </c>
      <c r="C3115" s="22"/>
      <c r="D3115" s="22" t="s">
        <v>7710</v>
      </c>
      <c r="E3115" s="22" t="s">
        <v>2724</v>
      </c>
      <c r="F3115" s="24" t="s">
        <v>2725</v>
      </c>
      <c r="G3115" s="23" t="s">
        <v>32</v>
      </c>
      <c r="H3115" s="22"/>
      <c r="I3115" s="22"/>
      <c r="J3115" s="22" t="s">
        <v>317</v>
      </c>
      <c r="K3115" s="24"/>
      <c r="L3115" s="24"/>
      <c r="M3115" s="25" t="s">
        <v>2726</v>
      </c>
      <c r="N3115" s="22"/>
      <c r="O3115" s="22" t="s">
        <v>2727</v>
      </c>
      <c r="P3115" s="22" t="str">
        <f>HYPERLINK("https://ceds.ed.gov/cedselementdetails.aspx?termid=22636")</f>
        <v>https://ceds.ed.gov/cedselementdetails.aspx?termid=22636</v>
      </c>
      <c r="Q3115" s="22">
        <v>62352</v>
      </c>
    </row>
    <row r="3116" spans="1:17" ht="374.4" x14ac:dyDescent="0.3">
      <c r="A3116" s="22" t="s">
        <v>7866</v>
      </c>
      <c r="B3116" s="22" t="s">
        <v>7830</v>
      </c>
      <c r="C3116" s="22"/>
      <c r="D3116" s="22" t="s">
        <v>7710</v>
      </c>
      <c r="E3116" s="22" t="s">
        <v>2633</v>
      </c>
      <c r="F3116" s="24" t="s">
        <v>2634</v>
      </c>
      <c r="G3116" s="26" t="s">
        <v>8754</v>
      </c>
      <c r="H3116" s="22"/>
      <c r="I3116" s="22"/>
      <c r="J3116" s="22"/>
      <c r="K3116" s="24"/>
      <c r="L3116" s="24"/>
      <c r="M3116" s="25" t="s">
        <v>2635</v>
      </c>
      <c r="N3116" s="22"/>
      <c r="O3116" s="22" t="s">
        <v>2636</v>
      </c>
      <c r="P3116" s="22" t="str">
        <f>HYPERLINK("https://ceds.ed.gov/cedselementdetails.aspx?termid=22274")</f>
        <v>https://ceds.ed.gov/cedselementdetails.aspx?termid=22274</v>
      </c>
      <c r="Q3116" s="22">
        <v>62529</v>
      </c>
    </row>
    <row r="3117" spans="1:17" ht="115.2" x14ac:dyDescent="0.3">
      <c r="A3117" s="22" t="s">
        <v>7866</v>
      </c>
      <c r="B3117" s="22" t="s">
        <v>7830</v>
      </c>
      <c r="C3117" s="22"/>
      <c r="D3117" s="22" t="s">
        <v>7710</v>
      </c>
      <c r="E3117" s="22" t="s">
        <v>4788</v>
      </c>
      <c r="F3117" s="24" t="s">
        <v>4789</v>
      </c>
      <c r="G3117" s="23" t="s">
        <v>7423</v>
      </c>
      <c r="H3117" s="22" t="s">
        <v>214</v>
      </c>
      <c r="I3117" s="22"/>
      <c r="J3117" s="22"/>
      <c r="K3117" s="24"/>
      <c r="L3117" s="24" t="s">
        <v>7994</v>
      </c>
      <c r="M3117" s="25" t="s">
        <v>4790</v>
      </c>
      <c r="N3117" s="22"/>
      <c r="O3117" s="22" t="s">
        <v>4791</v>
      </c>
      <c r="P3117" s="22" t="str">
        <f>HYPERLINK("https://ceds.ed.gov/cedselementdetails.aspx?termid=21438")</f>
        <v>https://ceds.ed.gov/cedselementdetails.aspx?termid=21438</v>
      </c>
      <c r="Q3117" s="22">
        <v>60806</v>
      </c>
    </row>
    <row r="3118" spans="1:17" ht="172.8" x14ac:dyDescent="0.3">
      <c r="A3118" s="22" t="s">
        <v>7866</v>
      </c>
      <c r="B3118" s="22" t="s">
        <v>7830</v>
      </c>
      <c r="C3118" s="22"/>
      <c r="D3118" s="22" t="s">
        <v>7710</v>
      </c>
      <c r="E3118" s="22" t="s">
        <v>2100</v>
      </c>
      <c r="F3118" s="24" t="s">
        <v>2101</v>
      </c>
      <c r="G3118" s="23" t="s">
        <v>32</v>
      </c>
      <c r="H3118" s="22"/>
      <c r="I3118" s="22"/>
      <c r="J3118" s="22" t="s">
        <v>132</v>
      </c>
      <c r="K3118" s="24"/>
      <c r="L3118" s="24" t="s">
        <v>7945</v>
      </c>
      <c r="M3118" s="25" t="s">
        <v>2102</v>
      </c>
      <c r="N3118" s="22"/>
      <c r="O3118" s="22" t="s">
        <v>2103</v>
      </c>
      <c r="P3118" s="22" t="str">
        <f>HYPERLINK("https://ceds.ed.gov/cedselementdetails.aspx?termid=21507")</f>
        <v>https://ceds.ed.gov/cedselementdetails.aspx?termid=21507</v>
      </c>
      <c r="Q3118" s="22">
        <v>60807</v>
      </c>
    </row>
    <row r="3119" spans="1:17" ht="158.4" x14ac:dyDescent="0.3">
      <c r="A3119" s="22" t="s">
        <v>7866</v>
      </c>
      <c r="B3119" s="22" t="s">
        <v>7830</v>
      </c>
      <c r="C3119" s="22"/>
      <c r="D3119" s="22" t="s">
        <v>7710</v>
      </c>
      <c r="E3119" s="22" t="s">
        <v>6361</v>
      </c>
      <c r="F3119" s="24" t="s">
        <v>6362</v>
      </c>
      <c r="G3119" s="26" t="s">
        <v>8510</v>
      </c>
      <c r="H3119" s="22"/>
      <c r="I3119" s="22" t="s">
        <v>172</v>
      </c>
      <c r="J3119" s="22"/>
      <c r="K3119" s="24" t="s">
        <v>8050</v>
      </c>
      <c r="L3119" s="24"/>
      <c r="M3119" s="25" t="s">
        <v>6363</v>
      </c>
      <c r="N3119" s="22"/>
      <c r="O3119" s="22" t="s">
        <v>6364</v>
      </c>
      <c r="P3119" s="22" t="str">
        <f>HYPERLINK("https://ceds.ed.gov/cedselementdetails.aspx?termid=21515")</f>
        <v>https://ceds.ed.gov/cedselementdetails.aspx?termid=21515</v>
      </c>
      <c r="Q3119" s="22">
        <v>60813</v>
      </c>
    </row>
    <row r="3120" spans="1:17" ht="28.8" x14ac:dyDescent="0.3">
      <c r="A3120" s="22" t="s">
        <v>7866</v>
      </c>
      <c r="B3120" s="22" t="s">
        <v>7830</v>
      </c>
      <c r="C3120" s="22"/>
      <c r="D3120" s="22" t="s">
        <v>7710</v>
      </c>
      <c r="E3120" s="22" t="s">
        <v>2637</v>
      </c>
      <c r="F3120" s="24" t="s">
        <v>2638</v>
      </c>
      <c r="G3120" s="23" t="s">
        <v>32</v>
      </c>
      <c r="H3120" s="22"/>
      <c r="I3120" s="22"/>
      <c r="J3120" s="22" t="s">
        <v>157</v>
      </c>
      <c r="K3120" s="24"/>
      <c r="L3120" s="24"/>
      <c r="M3120" s="25" t="s">
        <v>2639</v>
      </c>
      <c r="N3120" s="22"/>
      <c r="O3120" s="22" t="s">
        <v>2640</v>
      </c>
      <c r="P3120" s="22" t="str">
        <f>HYPERLINK("https://ceds.ed.gov/cedselementdetails.aspx?termid=22275")</f>
        <v>https://ceds.ed.gov/cedselementdetails.aspx?termid=22275</v>
      </c>
      <c r="Q3120" s="22">
        <v>62530</v>
      </c>
    </row>
    <row r="3121" spans="1:17" ht="144" x14ac:dyDescent="0.3">
      <c r="A3121" s="22" t="s">
        <v>7866</v>
      </c>
      <c r="B3121" s="22" t="s">
        <v>7830</v>
      </c>
      <c r="C3121" s="22"/>
      <c r="D3121" s="22" t="s">
        <v>7710</v>
      </c>
      <c r="E3121" s="22" t="s">
        <v>2641</v>
      </c>
      <c r="F3121" s="24" t="s">
        <v>2642</v>
      </c>
      <c r="G3121" s="26" t="s">
        <v>8755</v>
      </c>
      <c r="H3121" s="22"/>
      <c r="I3121" s="22"/>
      <c r="J3121" s="22"/>
      <c r="K3121" s="24"/>
      <c r="L3121" s="24"/>
      <c r="M3121" s="25" t="s">
        <v>2643</v>
      </c>
      <c r="N3121" s="22"/>
      <c r="O3121" s="22" t="s">
        <v>2644</v>
      </c>
      <c r="P3121" s="22" t="str">
        <f>HYPERLINK("https://ceds.ed.gov/cedselementdetails.aspx?termid=22276")</f>
        <v>https://ceds.ed.gov/cedselementdetails.aspx?termid=22276</v>
      </c>
      <c r="Q3121" s="22">
        <v>62531</v>
      </c>
    </row>
    <row r="3122" spans="1:17" ht="244.8" x14ac:dyDescent="0.3">
      <c r="A3122" s="22" t="s">
        <v>7866</v>
      </c>
      <c r="B3122" s="22" t="s">
        <v>7830</v>
      </c>
      <c r="C3122" s="22"/>
      <c r="D3122" s="22" t="s">
        <v>7710</v>
      </c>
      <c r="E3122" s="22" t="s">
        <v>2104</v>
      </c>
      <c r="F3122" s="24" t="s">
        <v>2105</v>
      </c>
      <c r="G3122" s="26" t="s">
        <v>8411</v>
      </c>
      <c r="H3122" s="22"/>
      <c r="I3122" s="22" t="s">
        <v>172</v>
      </c>
      <c r="J3122" s="22"/>
      <c r="K3122" s="24" t="s">
        <v>7946</v>
      </c>
      <c r="L3122" s="24"/>
      <c r="M3122" s="25" t="s">
        <v>2106</v>
      </c>
      <c r="N3122" s="22"/>
      <c r="O3122" s="22" t="s">
        <v>2107</v>
      </c>
      <c r="P3122" s="22" t="str">
        <f>HYPERLINK("https://ceds.ed.gov/cedselementdetails.aspx?termid=21615")</f>
        <v>https://ceds.ed.gov/cedselementdetails.aspx?termid=21615</v>
      </c>
      <c r="Q3122" s="22">
        <v>62543</v>
      </c>
    </row>
    <row r="3123" spans="1:17" ht="115.2" x14ac:dyDescent="0.3">
      <c r="A3123" s="22" t="s">
        <v>7866</v>
      </c>
      <c r="B3123" s="22" t="s">
        <v>7830</v>
      </c>
      <c r="C3123" s="22"/>
      <c r="D3123" s="22" t="s">
        <v>7710</v>
      </c>
      <c r="E3123" s="22" t="s">
        <v>7335</v>
      </c>
      <c r="F3123" s="24" t="s">
        <v>8347</v>
      </c>
      <c r="G3123" s="26" t="s">
        <v>22</v>
      </c>
      <c r="H3123" s="22"/>
      <c r="I3123" s="22" t="s">
        <v>172</v>
      </c>
      <c r="J3123" s="22"/>
      <c r="K3123" s="24" t="s">
        <v>8348</v>
      </c>
      <c r="L3123" s="24"/>
      <c r="M3123" s="25" t="s">
        <v>7336</v>
      </c>
      <c r="N3123" s="22"/>
      <c r="O3123" s="22" t="s">
        <v>7337</v>
      </c>
      <c r="P3123" s="22" t="str">
        <f>HYPERLINK("https://ceds.ed.gov/cedselementdetails.aspx?termid=22167")</f>
        <v>https://ceds.ed.gov/cedselementdetails.aspx?termid=22167</v>
      </c>
      <c r="Q3123" s="22">
        <v>60815</v>
      </c>
    </row>
    <row r="3124" spans="1:17" ht="129.6" x14ac:dyDescent="0.3">
      <c r="A3124" s="22" t="s">
        <v>7866</v>
      </c>
      <c r="B3124" s="22" t="s">
        <v>7830</v>
      </c>
      <c r="C3124" s="22"/>
      <c r="D3124" s="22" t="s">
        <v>7710</v>
      </c>
      <c r="E3124" s="22" t="s">
        <v>2720</v>
      </c>
      <c r="F3124" s="24" t="s">
        <v>2721</v>
      </c>
      <c r="G3124" s="26" t="s">
        <v>8762</v>
      </c>
      <c r="H3124" s="22"/>
      <c r="I3124" s="22"/>
      <c r="J3124" s="22"/>
      <c r="K3124" s="24"/>
      <c r="L3124" s="24"/>
      <c r="M3124" s="25" t="s">
        <v>2722</v>
      </c>
      <c r="N3124" s="22"/>
      <c r="O3124" s="22" t="s">
        <v>2723</v>
      </c>
      <c r="P3124" s="22" t="str">
        <f>HYPERLINK("https://ceds.ed.gov/cedselementdetails.aspx?termid=22168")</f>
        <v>https://ceds.ed.gov/cedselementdetails.aspx?termid=22168</v>
      </c>
      <c r="Q3124" s="22">
        <v>60816</v>
      </c>
    </row>
    <row r="3125" spans="1:17" ht="144" x14ac:dyDescent="0.3">
      <c r="A3125" s="22" t="s">
        <v>7866</v>
      </c>
      <c r="B3125" s="22" t="s">
        <v>7830</v>
      </c>
      <c r="C3125" s="22"/>
      <c r="D3125" s="22" t="s">
        <v>7710</v>
      </c>
      <c r="E3125" s="22" t="s">
        <v>1559</v>
      </c>
      <c r="F3125" s="24" t="s">
        <v>1560</v>
      </c>
      <c r="G3125" s="26" t="s">
        <v>8407</v>
      </c>
      <c r="H3125" s="22"/>
      <c r="I3125" s="22" t="s">
        <v>172</v>
      </c>
      <c r="J3125" s="22"/>
      <c r="K3125" s="24" t="s">
        <v>7946</v>
      </c>
      <c r="L3125" s="24" t="s">
        <v>1561</v>
      </c>
      <c r="M3125" s="25" t="s">
        <v>1562</v>
      </c>
      <c r="N3125" s="22"/>
      <c r="O3125" s="22" t="s">
        <v>1563</v>
      </c>
      <c r="P3125" s="22" t="str">
        <f>HYPERLINK("https://ceds.ed.gov/cedselementdetails.aspx?termid=22253")</f>
        <v>https://ceds.ed.gov/cedselementdetails.aspx?termid=22253</v>
      </c>
      <c r="Q3125" s="22">
        <v>62544</v>
      </c>
    </row>
    <row r="3126" spans="1:17" ht="43.2" x14ac:dyDescent="0.3">
      <c r="A3126" s="22" t="s">
        <v>7866</v>
      </c>
      <c r="B3126" s="22" t="s">
        <v>7830</v>
      </c>
      <c r="C3126" s="22"/>
      <c r="D3126" s="22" t="s">
        <v>7710</v>
      </c>
      <c r="E3126" s="22" t="s">
        <v>2645</v>
      </c>
      <c r="F3126" s="24" t="s">
        <v>2646</v>
      </c>
      <c r="G3126" s="26" t="s">
        <v>8756</v>
      </c>
      <c r="H3126" s="22"/>
      <c r="I3126" s="22"/>
      <c r="J3126" s="22"/>
      <c r="K3126" s="24"/>
      <c r="L3126" s="24" t="s">
        <v>2647</v>
      </c>
      <c r="M3126" s="25" t="s">
        <v>2648</v>
      </c>
      <c r="N3126" s="22"/>
      <c r="O3126" s="22" t="s">
        <v>2649</v>
      </c>
      <c r="P3126" s="22" t="str">
        <f>HYPERLINK("https://ceds.ed.gov/cedselementdetails.aspx?termid=22277")</f>
        <v>https://ceds.ed.gov/cedselementdetails.aspx?termid=22277</v>
      </c>
      <c r="Q3126" s="22">
        <v>62549</v>
      </c>
    </row>
    <row r="3127" spans="1:17" ht="187.2" x14ac:dyDescent="0.3">
      <c r="A3127" s="22" t="s">
        <v>7866</v>
      </c>
      <c r="B3127" s="22" t="s">
        <v>7830</v>
      </c>
      <c r="C3127" s="22"/>
      <c r="D3127" s="22" t="s">
        <v>7710</v>
      </c>
      <c r="E3127" s="22" t="s">
        <v>7394</v>
      </c>
      <c r="F3127" s="24" t="s">
        <v>7395</v>
      </c>
      <c r="G3127" s="26" t="s">
        <v>9190</v>
      </c>
      <c r="H3127" s="22"/>
      <c r="I3127" s="22"/>
      <c r="J3127" s="22"/>
      <c r="K3127" s="24"/>
      <c r="L3127" s="24"/>
      <c r="M3127" s="25" t="s">
        <v>7397</v>
      </c>
      <c r="N3127" s="22"/>
      <c r="O3127" s="22" t="s">
        <v>7398</v>
      </c>
      <c r="P3127" s="22" t="str">
        <f>HYPERLINK("https://ceds.ed.gov/cedselementdetails.aspx?termid=22471")</f>
        <v>https://ceds.ed.gov/cedselementdetails.aspx?termid=22471</v>
      </c>
      <c r="Q3127" s="22">
        <v>62538</v>
      </c>
    </row>
    <row r="3128" spans="1:17" ht="57.6" x14ac:dyDescent="0.3">
      <c r="A3128" s="22" t="s">
        <v>7866</v>
      </c>
      <c r="B3128" s="22" t="s">
        <v>7830</v>
      </c>
      <c r="C3128" s="22"/>
      <c r="D3128" s="22" t="s">
        <v>7710</v>
      </c>
      <c r="E3128" s="22" t="s">
        <v>2732</v>
      </c>
      <c r="F3128" s="24" t="s">
        <v>2733</v>
      </c>
      <c r="G3128" s="26" t="s">
        <v>8763</v>
      </c>
      <c r="H3128" s="24" t="s">
        <v>2736</v>
      </c>
      <c r="I3128" s="22"/>
      <c r="J3128" s="22"/>
      <c r="K3128" s="24"/>
      <c r="L3128" s="24"/>
      <c r="M3128" s="25" t="s">
        <v>2734</v>
      </c>
      <c r="N3128" s="22"/>
      <c r="O3128" s="22" t="s">
        <v>2735</v>
      </c>
      <c r="P3128" s="22" t="str">
        <f>HYPERLINK("https://ceds.ed.gov/cedselementdetails.aspx?termid=21258")</f>
        <v>https://ceds.ed.gov/cedselementdetails.aspx?termid=21258</v>
      </c>
      <c r="Q3128" s="22">
        <v>60805</v>
      </c>
    </row>
    <row r="3129" spans="1:17" ht="57.6" x14ac:dyDescent="0.3">
      <c r="A3129" s="22" t="s">
        <v>7866</v>
      </c>
      <c r="B3129" s="22" t="s">
        <v>7830</v>
      </c>
      <c r="C3129" s="22"/>
      <c r="D3129" s="22" t="s">
        <v>7710</v>
      </c>
      <c r="E3129" s="22" t="s">
        <v>20</v>
      </c>
      <c r="F3129" s="24" t="s">
        <v>21</v>
      </c>
      <c r="G3129" s="26" t="s">
        <v>22</v>
      </c>
      <c r="H3129" s="22" t="s">
        <v>25</v>
      </c>
      <c r="I3129" s="22"/>
      <c r="J3129" s="22"/>
      <c r="K3129" s="24"/>
      <c r="L3129" s="24"/>
      <c r="M3129" s="25" t="s">
        <v>23</v>
      </c>
      <c r="N3129" s="22"/>
      <c r="O3129" s="22" t="s">
        <v>24</v>
      </c>
      <c r="P3129" s="22" t="str">
        <f>HYPERLINK("https://ceds.ed.gov/cedselementdetails.aspx?termid=21000")</f>
        <v>https://ceds.ed.gov/cedselementdetails.aspx?termid=21000</v>
      </c>
      <c r="Q3129" s="22">
        <v>62558</v>
      </c>
    </row>
    <row r="3130" spans="1:17" ht="100.8" x14ac:dyDescent="0.3">
      <c r="A3130" s="22" t="s">
        <v>7866</v>
      </c>
      <c r="B3130" s="22" t="s">
        <v>7830</v>
      </c>
      <c r="C3130" s="22"/>
      <c r="D3130" s="22" t="s">
        <v>7710</v>
      </c>
      <c r="E3130" s="22" t="s">
        <v>2618</v>
      </c>
      <c r="F3130" s="24" t="s">
        <v>2619</v>
      </c>
      <c r="G3130" s="26" t="s">
        <v>8752</v>
      </c>
      <c r="H3130" s="24" t="s">
        <v>1521</v>
      </c>
      <c r="I3130" s="22"/>
      <c r="J3130" s="22"/>
      <c r="K3130" s="24"/>
      <c r="L3130" s="24"/>
      <c r="M3130" s="25" t="s">
        <v>2621</v>
      </c>
      <c r="N3130" s="22" t="s">
        <v>2622</v>
      </c>
      <c r="O3130" s="22" t="s">
        <v>2623</v>
      </c>
      <c r="P3130" s="22" t="str">
        <f>HYPERLINK("https://ceds.ed.gov/cedselementdetails.aspx?termid=21060")</f>
        <v>https://ceds.ed.gov/cedselementdetails.aspx?termid=21060</v>
      </c>
      <c r="Q3130" s="22">
        <v>60828</v>
      </c>
    </row>
    <row r="3131" spans="1:17" ht="158.4" x14ac:dyDescent="0.3">
      <c r="A3131" s="22" t="s">
        <v>7866</v>
      </c>
      <c r="B3131" s="22" t="s">
        <v>7830</v>
      </c>
      <c r="C3131" s="22"/>
      <c r="D3131" s="22" t="s">
        <v>7710</v>
      </c>
      <c r="E3131" s="22" t="s">
        <v>160</v>
      </c>
      <c r="F3131" s="24" t="s">
        <v>161</v>
      </c>
      <c r="G3131" s="26" t="s">
        <v>8573</v>
      </c>
      <c r="H3131" s="22"/>
      <c r="I3131" s="22"/>
      <c r="J3131" s="22"/>
      <c r="K3131" s="24"/>
      <c r="L3131" s="24"/>
      <c r="M3131" s="25" t="s">
        <v>163</v>
      </c>
      <c r="N3131" s="22"/>
      <c r="O3131" s="22" t="s">
        <v>164</v>
      </c>
      <c r="P3131" s="22" t="str">
        <f>HYPERLINK("https://ceds.ed.gov/cedselementdetails.aspx?termid=21589")</f>
        <v>https://ceds.ed.gov/cedselementdetails.aspx?termid=21589</v>
      </c>
      <c r="Q3131" s="22">
        <v>62542</v>
      </c>
    </row>
    <row r="3132" spans="1:17" ht="43.2" x14ac:dyDescent="0.3">
      <c r="A3132" s="22" t="s">
        <v>7866</v>
      </c>
      <c r="B3132" s="22" t="s">
        <v>7830</v>
      </c>
      <c r="C3132" s="22"/>
      <c r="D3132" s="22" t="s">
        <v>7710</v>
      </c>
      <c r="E3132" s="22" t="s">
        <v>2575</v>
      </c>
      <c r="F3132" s="24" t="s">
        <v>2576</v>
      </c>
      <c r="G3132" s="23" t="s">
        <v>32</v>
      </c>
      <c r="H3132" s="22"/>
      <c r="I3132" s="22"/>
      <c r="J3132" s="22" t="s">
        <v>113</v>
      </c>
      <c r="K3132" s="24"/>
      <c r="L3132" s="24"/>
      <c r="M3132" s="25" t="s">
        <v>2577</v>
      </c>
      <c r="N3132" s="22"/>
      <c r="O3132" s="22" t="s">
        <v>2578</v>
      </c>
      <c r="P3132" s="22" t="str">
        <f>HYPERLINK("https://ceds.ed.gov/cedselementdetails.aspx?termid=22268")</f>
        <v>https://ceds.ed.gov/cedselementdetails.aspx?termid=22268</v>
      </c>
      <c r="Q3132" s="22">
        <v>62547</v>
      </c>
    </row>
    <row r="3133" spans="1:17" ht="86.4" x14ac:dyDescent="0.3">
      <c r="A3133" s="22" t="s">
        <v>7866</v>
      </c>
      <c r="B3133" s="22" t="s">
        <v>7830</v>
      </c>
      <c r="C3133" s="22"/>
      <c r="D3133" s="22" t="s">
        <v>7710</v>
      </c>
      <c r="E3133" s="22" t="s">
        <v>2659</v>
      </c>
      <c r="F3133" s="24" t="s">
        <v>2660</v>
      </c>
      <c r="G3133" s="23" t="s">
        <v>32</v>
      </c>
      <c r="H3133" s="22"/>
      <c r="I3133" s="22"/>
      <c r="J3133" s="22" t="s">
        <v>328</v>
      </c>
      <c r="K3133" s="24"/>
      <c r="L3133" s="24"/>
      <c r="M3133" s="25" t="s">
        <v>2661</v>
      </c>
      <c r="N3133" s="22"/>
      <c r="O3133" s="22" t="s">
        <v>2662</v>
      </c>
      <c r="P3133" s="22" t="str">
        <f>HYPERLINK("https://ceds.ed.gov/cedselementdetails.aspx?termid=22279")</f>
        <v>https://ceds.ed.gov/cedselementdetails.aspx?termid=22279</v>
      </c>
      <c r="Q3133" s="22">
        <v>62533</v>
      </c>
    </row>
    <row r="3134" spans="1:17" ht="43.2" x14ac:dyDescent="0.3">
      <c r="A3134" s="22" t="s">
        <v>7866</v>
      </c>
      <c r="B3134" s="22" t="s">
        <v>7830</v>
      </c>
      <c r="C3134" s="22"/>
      <c r="D3134" s="22" t="s">
        <v>7710</v>
      </c>
      <c r="E3134" s="22" t="s">
        <v>3903</v>
      </c>
      <c r="F3134" s="24" t="s">
        <v>3904</v>
      </c>
      <c r="G3134" s="26" t="s">
        <v>22</v>
      </c>
      <c r="H3134" s="22"/>
      <c r="I3134" s="22"/>
      <c r="J3134" s="22"/>
      <c r="K3134" s="24"/>
      <c r="L3134" s="24"/>
      <c r="M3134" s="25" t="s">
        <v>3905</v>
      </c>
      <c r="N3134" s="22"/>
      <c r="O3134" s="22" t="s">
        <v>3906</v>
      </c>
      <c r="P3134" s="22" t="str">
        <f>HYPERLINK("https://ceds.ed.gov/cedselementdetails.aspx?termid=22311")</f>
        <v>https://ceds.ed.gov/cedselementdetails.aspx?termid=22311</v>
      </c>
      <c r="Q3134" s="22">
        <v>62550</v>
      </c>
    </row>
    <row r="3135" spans="1:17" ht="43.2" x14ac:dyDescent="0.3">
      <c r="A3135" s="22" t="s">
        <v>7866</v>
      </c>
      <c r="B3135" s="22" t="s">
        <v>7830</v>
      </c>
      <c r="C3135" s="22"/>
      <c r="D3135" s="22" t="s">
        <v>7710</v>
      </c>
      <c r="E3135" s="22" t="s">
        <v>5534</v>
      </c>
      <c r="F3135" s="24" t="s">
        <v>5535</v>
      </c>
      <c r="G3135" s="26" t="s">
        <v>22</v>
      </c>
      <c r="H3135" s="22"/>
      <c r="I3135" s="22"/>
      <c r="J3135" s="22"/>
      <c r="K3135" s="24"/>
      <c r="L3135" s="24"/>
      <c r="M3135" s="25" t="s">
        <v>5536</v>
      </c>
      <c r="N3135" s="22" t="s">
        <v>5537</v>
      </c>
      <c r="O3135" s="22" t="s">
        <v>5538</v>
      </c>
      <c r="P3135" s="22" t="str">
        <f>HYPERLINK("https://ceds.ed.gov/cedselementdetails.aspx?termid=22382")</f>
        <v>https://ceds.ed.gov/cedselementdetails.aspx?termid=22382</v>
      </c>
      <c r="Q3135" s="22">
        <v>62551</v>
      </c>
    </row>
    <row r="3136" spans="1:17" ht="72" x14ac:dyDescent="0.3">
      <c r="A3136" s="22" t="s">
        <v>7866</v>
      </c>
      <c r="B3136" s="22" t="s">
        <v>7830</v>
      </c>
      <c r="C3136" s="22"/>
      <c r="D3136" s="22" t="s">
        <v>7710</v>
      </c>
      <c r="E3136" s="22" t="s">
        <v>2613</v>
      </c>
      <c r="F3136" s="24" t="s">
        <v>2614</v>
      </c>
      <c r="G3136" s="23" t="s">
        <v>32</v>
      </c>
      <c r="H3136" s="22"/>
      <c r="I3136" s="22"/>
      <c r="J3136" s="22" t="s">
        <v>85</v>
      </c>
      <c r="K3136" s="24"/>
      <c r="L3136" s="24" t="s">
        <v>2615</v>
      </c>
      <c r="M3136" s="25" t="s">
        <v>2616</v>
      </c>
      <c r="N3136" s="22"/>
      <c r="O3136" s="22" t="s">
        <v>2617</v>
      </c>
      <c r="P3136" s="22" t="str">
        <f>HYPERLINK("https://ceds.ed.gov/cedselementdetails.aspx?termid=22272")</f>
        <v>https://ceds.ed.gov/cedselementdetails.aspx?termid=22272</v>
      </c>
      <c r="Q3136" s="22">
        <v>62548</v>
      </c>
    </row>
    <row r="3137" spans="1:17" ht="57.6" x14ac:dyDescent="0.3">
      <c r="A3137" s="22" t="s">
        <v>7866</v>
      </c>
      <c r="B3137" s="22" t="s">
        <v>7830</v>
      </c>
      <c r="C3137" s="22"/>
      <c r="D3137" s="22" t="s">
        <v>7710</v>
      </c>
      <c r="E3137" s="22" t="s">
        <v>7304</v>
      </c>
      <c r="F3137" s="24" t="s">
        <v>7305</v>
      </c>
      <c r="G3137" s="26" t="s">
        <v>22</v>
      </c>
      <c r="H3137" s="22"/>
      <c r="I3137" s="22"/>
      <c r="J3137" s="22"/>
      <c r="K3137" s="24"/>
      <c r="L3137" s="24" t="s">
        <v>7306</v>
      </c>
      <c r="M3137" s="25" t="s">
        <v>7307</v>
      </c>
      <c r="N3137" s="22"/>
      <c r="O3137" s="22" t="s">
        <v>7308</v>
      </c>
      <c r="P3137" s="22" t="str">
        <f>HYPERLINK("https://ceds.ed.gov/cedselementdetails.aspx?termid=22554")</f>
        <v>https://ceds.ed.gov/cedselementdetails.aspx?termid=22554</v>
      </c>
      <c r="Q3137" s="22">
        <v>62552</v>
      </c>
    </row>
    <row r="3138" spans="1:17" ht="86.4" x14ac:dyDescent="0.3">
      <c r="A3138" s="22" t="s">
        <v>7866</v>
      </c>
      <c r="B3138" s="22" t="s">
        <v>7830</v>
      </c>
      <c r="C3138" s="22"/>
      <c r="D3138" s="22" t="s">
        <v>7710</v>
      </c>
      <c r="E3138" s="22" t="s">
        <v>3125</v>
      </c>
      <c r="F3138" s="24" t="s">
        <v>3126</v>
      </c>
      <c r="G3138" s="26" t="s">
        <v>8792</v>
      </c>
      <c r="H3138" s="22" t="s">
        <v>3124</v>
      </c>
      <c r="I3138" s="22"/>
      <c r="J3138" s="22"/>
      <c r="K3138" s="24"/>
      <c r="L3138" s="24"/>
      <c r="M3138" s="25" t="s">
        <v>3128</v>
      </c>
      <c r="N3138" s="22"/>
      <c r="O3138" s="22" t="s">
        <v>3129</v>
      </c>
      <c r="P3138" s="22" t="str">
        <f>HYPERLINK("https://ceds.ed.gov/cedselementdetails.aspx?termid=22568")</f>
        <v>https://ceds.ed.gov/cedselementdetails.aspx?termid=22568</v>
      </c>
      <c r="Q3138" s="22">
        <v>62539</v>
      </c>
    </row>
    <row r="3139" spans="1:17" ht="28.8" x14ac:dyDescent="0.3">
      <c r="A3139" s="22" t="s">
        <v>7866</v>
      </c>
      <c r="B3139" s="22" t="s">
        <v>7830</v>
      </c>
      <c r="C3139" s="22"/>
      <c r="D3139" s="22" t="s">
        <v>7741</v>
      </c>
      <c r="E3139" s="22" t="s">
        <v>7947</v>
      </c>
      <c r="F3139" s="24" t="s">
        <v>7948</v>
      </c>
      <c r="G3139" s="23" t="s">
        <v>32</v>
      </c>
      <c r="H3139" s="22"/>
      <c r="I3139" s="22" t="s">
        <v>167</v>
      </c>
      <c r="J3139" s="22" t="s">
        <v>148</v>
      </c>
      <c r="K3139" s="24" t="s">
        <v>7949</v>
      </c>
      <c r="L3139" s="24"/>
      <c r="M3139" s="25" t="s">
        <v>8351</v>
      </c>
      <c r="N3139" s="22"/>
      <c r="O3139" s="22" t="s">
        <v>7950</v>
      </c>
      <c r="P3139" s="22" t="str">
        <f>HYPERLINK("https://ceds.ed.gov/cedselementdetails.aspx?termid=22972")</f>
        <v>https://ceds.ed.gov/cedselementdetails.aspx?termid=22972</v>
      </c>
      <c r="Q3139" s="22">
        <v>63698</v>
      </c>
    </row>
    <row r="3140" spans="1:17" ht="43.2" x14ac:dyDescent="0.3">
      <c r="A3140" s="22" t="s">
        <v>7866</v>
      </c>
      <c r="B3140" s="22" t="s">
        <v>7830</v>
      </c>
      <c r="C3140" s="22"/>
      <c r="D3140" s="22" t="s">
        <v>7741</v>
      </c>
      <c r="E3140" s="22" t="s">
        <v>7951</v>
      </c>
      <c r="F3140" s="24" t="s">
        <v>7952</v>
      </c>
      <c r="G3140" s="26" t="s">
        <v>8376</v>
      </c>
      <c r="H3140" s="22"/>
      <c r="I3140" s="22" t="s">
        <v>167</v>
      </c>
      <c r="J3140" s="22" t="s">
        <v>2</v>
      </c>
      <c r="K3140" s="24" t="s">
        <v>7949</v>
      </c>
      <c r="L3140" s="24"/>
      <c r="M3140" s="25" t="s">
        <v>8352</v>
      </c>
      <c r="N3140" s="22"/>
      <c r="O3140" s="22" t="s">
        <v>7953</v>
      </c>
      <c r="P3140" s="22" t="str">
        <f>HYPERLINK("https://ceds.ed.gov/cedselementdetails.aspx?termid=22973")</f>
        <v>https://ceds.ed.gov/cedselementdetails.aspx?termid=22973</v>
      </c>
      <c r="Q3140" s="22">
        <v>63699</v>
      </c>
    </row>
    <row r="3141" spans="1:17" ht="172.8" x14ac:dyDescent="0.3">
      <c r="A3141" s="22" t="s">
        <v>7866</v>
      </c>
      <c r="B3141" s="22" t="s">
        <v>7830</v>
      </c>
      <c r="C3141" s="22" t="s">
        <v>7831</v>
      </c>
      <c r="D3141" s="22" t="s">
        <v>7710</v>
      </c>
      <c r="E3141" s="22" t="s">
        <v>2628</v>
      </c>
      <c r="F3141" s="24" t="s">
        <v>2629</v>
      </c>
      <c r="G3141" s="23" t="s">
        <v>32</v>
      </c>
      <c r="H3141" s="24" t="s">
        <v>2632</v>
      </c>
      <c r="I3141" s="22"/>
      <c r="J3141" s="22" t="s">
        <v>132</v>
      </c>
      <c r="K3141" s="24"/>
      <c r="L3141" s="24" t="s">
        <v>7945</v>
      </c>
      <c r="M3141" s="25" t="s">
        <v>2630</v>
      </c>
      <c r="N3141" s="22"/>
      <c r="O3141" s="22" t="s">
        <v>2631</v>
      </c>
      <c r="P3141" s="22" t="str">
        <f>HYPERLINK("https://ceds.ed.gov/cedselementdetails.aspx?termid=21055")</f>
        <v>https://ceds.ed.gov/cedselementdetails.aspx?termid=21055</v>
      </c>
      <c r="Q3141" s="22">
        <v>60826</v>
      </c>
    </row>
    <row r="3142" spans="1:17" ht="172.8" x14ac:dyDescent="0.3">
      <c r="A3142" s="22" t="s">
        <v>7866</v>
      </c>
      <c r="B3142" s="22" t="s">
        <v>7830</v>
      </c>
      <c r="C3142" s="22" t="s">
        <v>7831</v>
      </c>
      <c r="D3142" s="22" t="s">
        <v>7710</v>
      </c>
      <c r="E3142" s="22" t="s">
        <v>321</v>
      </c>
      <c r="F3142" s="24" t="s">
        <v>322</v>
      </c>
      <c r="G3142" s="23" t="s">
        <v>32</v>
      </c>
      <c r="H3142" s="22"/>
      <c r="I3142" s="22"/>
      <c r="J3142" s="22" t="s">
        <v>132</v>
      </c>
      <c r="K3142" s="24"/>
      <c r="L3142" s="24" t="s">
        <v>7945</v>
      </c>
      <c r="M3142" s="25" t="s">
        <v>324</v>
      </c>
      <c r="N3142" s="22"/>
      <c r="O3142" s="22" t="s">
        <v>325</v>
      </c>
      <c r="P3142" s="22" t="str">
        <f>HYPERLINK("https://ceds.ed.gov/cedselementdetails.aspx?termid=22246")</f>
        <v>https://ceds.ed.gov/cedselementdetails.aspx?termid=22246</v>
      </c>
      <c r="Q3142" s="22">
        <v>62519</v>
      </c>
    </row>
    <row r="3143" spans="1:17" ht="144" x14ac:dyDescent="0.3">
      <c r="A3143" s="22" t="s">
        <v>7866</v>
      </c>
      <c r="B3143" s="22" t="s">
        <v>7830</v>
      </c>
      <c r="C3143" s="22" t="s">
        <v>7831</v>
      </c>
      <c r="D3143" s="22" t="s">
        <v>7710</v>
      </c>
      <c r="E3143" s="22" t="s">
        <v>2579</v>
      </c>
      <c r="F3143" s="24" t="s">
        <v>2580</v>
      </c>
      <c r="G3143" s="26" t="s">
        <v>8420</v>
      </c>
      <c r="H3143" s="24" t="s">
        <v>1521</v>
      </c>
      <c r="I3143" s="22" t="s">
        <v>172</v>
      </c>
      <c r="J3143" s="22"/>
      <c r="K3143" s="24" t="s">
        <v>7946</v>
      </c>
      <c r="L3143" s="24"/>
      <c r="M3143" s="25" t="s">
        <v>2582</v>
      </c>
      <c r="N3143" s="22"/>
      <c r="O3143" s="22" t="s">
        <v>2583</v>
      </c>
      <c r="P3143" s="22" t="str">
        <f>HYPERLINK("https://ceds.ed.gov/cedselementdetails.aspx?termid=21056")</f>
        <v>https://ceds.ed.gov/cedselementdetails.aspx?termid=21056</v>
      </c>
      <c r="Q3143" s="22">
        <v>60827</v>
      </c>
    </row>
    <row r="3144" spans="1:17" ht="43.2" x14ac:dyDescent="0.3">
      <c r="A3144" s="22" t="s">
        <v>7866</v>
      </c>
      <c r="B3144" s="22" t="s">
        <v>7830</v>
      </c>
      <c r="C3144" s="22" t="s">
        <v>7831</v>
      </c>
      <c r="D3144" s="22" t="s">
        <v>7710</v>
      </c>
      <c r="E3144" s="22" t="s">
        <v>5553</v>
      </c>
      <c r="F3144" s="24" t="s">
        <v>5554</v>
      </c>
      <c r="G3144" s="23" t="s">
        <v>5555</v>
      </c>
      <c r="H3144" s="22"/>
      <c r="I3144" s="22"/>
      <c r="J3144" s="22"/>
      <c r="K3144" s="24"/>
      <c r="L3144" s="24"/>
      <c r="M3144" s="25" t="s">
        <v>5556</v>
      </c>
      <c r="N3144" s="22"/>
      <c r="O3144" s="22" t="s">
        <v>5557</v>
      </c>
      <c r="P3144" s="22" t="str">
        <f>HYPERLINK("https://ceds.ed.gov/cedselementdetails.aspx?termid=22383")</f>
        <v>https://ceds.ed.gov/cedselementdetails.aspx?termid=22383</v>
      </c>
      <c r="Q3144" s="22">
        <v>62520</v>
      </c>
    </row>
    <row r="3145" spans="1:17" ht="57.6" x14ac:dyDescent="0.3">
      <c r="A3145" s="22" t="s">
        <v>7866</v>
      </c>
      <c r="B3145" s="22" t="s">
        <v>7830</v>
      </c>
      <c r="C3145" s="22" t="s">
        <v>7831</v>
      </c>
      <c r="D3145" s="22" t="s">
        <v>7710</v>
      </c>
      <c r="E3145" s="22" t="s">
        <v>2742</v>
      </c>
      <c r="F3145" s="24" t="s">
        <v>8066</v>
      </c>
      <c r="G3145" s="23" t="s">
        <v>32</v>
      </c>
      <c r="H3145" s="22" t="s">
        <v>58</v>
      </c>
      <c r="I3145" s="22"/>
      <c r="J3145" s="22" t="s">
        <v>2743</v>
      </c>
      <c r="K3145" s="24"/>
      <c r="L3145" s="24"/>
      <c r="M3145" s="25" t="s">
        <v>2744</v>
      </c>
      <c r="N3145" s="22"/>
      <c r="O3145" s="22" t="s">
        <v>2745</v>
      </c>
      <c r="P3145" s="22" t="str">
        <f>HYPERLINK("https://ceds.ed.gov/cedselementdetails.aspx?termid=21066")</f>
        <v>https://ceds.ed.gov/cedselementdetails.aspx?termid=21066</v>
      </c>
      <c r="Q3145" s="22">
        <v>62517</v>
      </c>
    </row>
    <row r="3146" spans="1:17" ht="28.8" x14ac:dyDescent="0.3">
      <c r="A3146" s="22" t="s">
        <v>7866</v>
      </c>
      <c r="B3146" s="22" t="s">
        <v>7830</v>
      </c>
      <c r="C3146" s="22" t="s">
        <v>7831</v>
      </c>
      <c r="D3146" s="22" t="s">
        <v>7710</v>
      </c>
      <c r="E3146" s="22" t="s">
        <v>5882</v>
      </c>
      <c r="F3146" s="24" t="s">
        <v>5883</v>
      </c>
      <c r="G3146" s="23" t="s">
        <v>32</v>
      </c>
      <c r="H3146" s="22" t="s">
        <v>58</v>
      </c>
      <c r="I3146" s="22"/>
      <c r="J3146" s="22" t="s">
        <v>157</v>
      </c>
      <c r="K3146" s="24"/>
      <c r="L3146" s="24"/>
      <c r="M3146" s="25" t="s">
        <v>5884</v>
      </c>
      <c r="N3146" s="22"/>
      <c r="O3146" s="22" t="s">
        <v>5885</v>
      </c>
      <c r="P3146" s="22" t="str">
        <f>HYPERLINK("https://ceds.ed.gov/cedselementdetails.aspx?termid=21068")</f>
        <v>https://ceds.ed.gov/cedselementdetails.aspx?termid=21068</v>
      </c>
      <c r="Q3146" s="22">
        <v>62518</v>
      </c>
    </row>
    <row r="3147" spans="1:17" ht="201.6" x14ac:dyDescent="0.3">
      <c r="A3147" s="22" t="s">
        <v>7866</v>
      </c>
      <c r="B3147" s="22" t="s">
        <v>7830</v>
      </c>
      <c r="C3147" s="22" t="s">
        <v>7831</v>
      </c>
      <c r="D3147" s="22" t="s">
        <v>7710</v>
      </c>
      <c r="E3147" s="22" t="s">
        <v>2746</v>
      </c>
      <c r="F3147" s="24" t="s">
        <v>2747</v>
      </c>
      <c r="G3147" s="23" t="s">
        <v>32</v>
      </c>
      <c r="H3147" s="24" t="s">
        <v>1521</v>
      </c>
      <c r="I3147" s="22"/>
      <c r="J3147" s="22" t="s">
        <v>157</v>
      </c>
      <c r="K3147" s="24"/>
      <c r="L3147" s="24"/>
      <c r="M3147" s="25" t="s">
        <v>2748</v>
      </c>
      <c r="N3147" s="22"/>
      <c r="O3147" s="22" t="s">
        <v>2749</v>
      </c>
      <c r="P3147" s="22" t="str">
        <f>HYPERLINK("https://ceds.ed.gov/cedselementdetails.aspx?termid=21067")</f>
        <v>https://ceds.ed.gov/cedselementdetails.aspx?termid=21067</v>
      </c>
      <c r="Q3147" s="22">
        <v>60830</v>
      </c>
    </row>
    <row r="3148" spans="1:17" ht="43.2" x14ac:dyDescent="0.3">
      <c r="A3148" s="22" t="s">
        <v>7866</v>
      </c>
      <c r="B3148" s="22" t="s">
        <v>7830</v>
      </c>
      <c r="C3148" s="22" t="s">
        <v>7831</v>
      </c>
      <c r="D3148" s="22" t="s">
        <v>7710</v>
      </c>
      <c r="E3148" s="22" t="s">
        <v>6415</v>
      </c>
      <c r="F3148" s="24" t="s">
        <v>6416</v>
      </c>
      <c r="G3148" s="23" t="s">
        <v>32</v>
      </c>
      <c r="H3148" s="22"/>
      <c r="I3148" s="22"/>
      <c r="J3148" s="22" t="s">
        <v>157</v>
      </c>
      <c r="K3148" s="24"/>
      <c r="L3148" s="24"/>
      <c r="M3148" s="25" t="s">
        <v>6417</v>
      </c>
      <c r="N3148" s="22" t="s">
        <v>6418</v>
      </c>
      <c r="O3148" s="22" t="s">
        <v>6419</v>
      </c>
      <c r="P3148" s="22" t="str">
        <f>HYPERLINK("https://ceds.ed.gov/cedselementdetails.aspx?termid=21231")</f>
        <v>https://ceds.ed.gov/cedselementdetails.aspx?termid=21231</v>
      </c>
      <c r="Q3148" s="22">
        <v>60818</v>
      </c>
    </row>
    <row r="3149" spans="1:17" ht="28.8" x14ac:dyDescent="0.3">
      <c r="A3149" s="22" t="s">
        <v>7866</v>
      </c>
      <c r="B3149" s="22" t="s">
        <v>7830</v>
      </c>
      <c r="C3149" s="22" t="s">
        <v>7831</v>
      </c>
      <c r="D3149" s="22" t="s">
        <v>7710</v>
      </c>
      <c r="E3149" s="22" t="s">
        <v>2571</v>
      </c>
      <c r="F3149" s="24" t="s">
        <v>2572</v>
      </c>
      <c r="G3149" s="23" t="s">
        <v>32</v>
      </c>
      <c r="H3149" s="24" t="s">
        <v>1965</v>
      </c>
      <c r="I3149" s="22" t="s">
        <v>172</v>
      </c>
      <c r="J3149" s="22" t="s">
        <v>118</v>
      </c>
      <c r="K3149" s="24" t="s">
        <v>7946</v>
      </c>
      <c r="L3149" s="24"/>
      <c r="M3149" s="25" t="s">
        <v>2573</v>
      </c>
      <c r="N3149" s="22"/>
      <c r="O3149" s="22" t="s">
        <v>2574</v>
      </c>
      <c r="P3149" s="22" t="str">
        <f>HYPERLINK("https://ceds.ed.gov/cedselementdetails.aspx?termid=21054")</f>
        <v>https://ceds.ed.gov/cedselementdetails.aspx?termid=21054</v>
      </c>
      <c r="Q3149" s="22">
        <v>62513</v>
      </c>
    </row>
    <row r="3150" spans="1:17" ht="57.6" x14ac:dyDescent="0.3">
      <c r="A3150" s="22" t="s">
        <v>7866</v>
      </c>
      <c r="B3150" s="22" t="s">
        <v>7830</v>
      </c>
      <c r="C3150" s="22" t="s">
        <v>7831</v>
      </c>
      <c r="D3150" s="22" t="s">
        <v>7710</v>
      </c>
      <c r="E3150" s="22" t="s">
        <v>2609</v>
      </c>
      <c r="F3150" s="24" t="s">
        <v>2610</v>
      </c>
      <c r="G3150" s="23" t="s">
        <v>32</v>
      </c>
      <c r="H3150" s="24" t="s">
        <v>1965</v>
      </c>
      <c r="I3150" s="22" t="s">
        <v>172</v>
      </c>
      <c r="J3150" s="22" t="s">
        <v>118</v>
      </c>
      <c r="K3150" s="24" t="s">
        <v>7946</v>
      </c>
      <c r="L3150" s="24" t="s">
        <v>143</v>
      </c>
      <c r="M3150" s="25" t="s">
        <v>2611</v>
      </c>
      <c r="N3150" s="22"/>
      <c r="O3150" s="22" t="s">
        <v>2612</v>
      </c>
      <c r="P3150" s="22" t="str">
        <f>HYPERLINK("https://ceds.ed.gov/cedselementdetails.aspx?termid=21059")</f>
        <v>https://ceds.ed.gov/cedselementdetails.aspx?termid=21059</v>
      </c>
      <c r="Q3150" s="22">
        <v>62516</v>
      </c>
    </row>
    <row r="3151" spans="1:17" ht="28.8" x14ac:dyDescent="0.3">
      <c r="A3151" s="22" t="s">
        <v>7866</v>
      </c>
      <c r="B3151" s="22" t="s">
        <v>7830</v>
      </c>
      <c r="C3151" s="22" t="s">
        <v>7831</v>
      </c>
      <c r="D3151" s="22" t="s">
        <v>7710</v>
      </c>
      <c r="E3151" s="22" t="s">
        <v>2595</v>
      </c>
      <c r="F3151" s="24" t="s">
        <v>2596</v>
      </c>
      <c r="G3151" s="23" t="s">
        <v>32</v>
      </c>
      <c r="H3151" s="22"/>
      <c r="I3151" s="22"/>
      <c r="J3151" s="22" t="s">
        <v>157</v>
      </c>
      <c r="K3151" s="24"/>
      <c r="L3151" s="24"/>
      <c r="M3151" s="25" t="s">
        <v>2598</v>
      </c>
      <c r="N3151" s="22"/>
      <c r="O3151" s="22" t="s">
        <v>2599</v>
      </c>
      <c r="P3151" s="22" t="str">
        <f>HYPERLINK("https://ceds.ed.gov/cedselementdetails.aspx?termid=22525")</f>
        <v>https://ceds.ed.gov/cedselementdetails.aspx?termid=22525</v>
      </c>
      <c r="Q3151" s="22">
        <v>61835</v>
      </c>
    </row>
    <row r="3152" spans="1:17" ht="72" x14ac:dyDescent="0.3">
      <c r="A3152" s="22" t="s">
        <v>7866</v>
      </c>
      <c r="B3152" s="22" t="s">
        <v>7830</v>
      </c>
      <c r="C3152" s="22" t="s">
        <v>7831</v>
      </c>
      <c r="D3152" s="22" t="s">
        <v>7710</v>
      </c>
      <c r="E3152" s="22" t="s">
        <v>2082</v>
      </c>
      <c r="F3152" s="24" t="s">
        <v>2083</v>
      </c>
      <c r="G3152" s="23" t="s">
        <v>7422</v>
      </c>
      <c r="H3152" s="24" t="s">
        <v>42</v>
      </c>
      <c r="I3152" s="22"/>
      <c r="J3152" s="22"/>
      <c r="K3152" s="24"/>
      <c r="L3152" s="24"/>
      <c r="M3152" s="25" t="s">
        <v>2085</v>
      </c>
      <c r="N3152" s="22" t="s">
        <v>2086</v>
      </c>
      <c r="O3152" s="22" t="s">
        <v>2087</v>
      </c>
      <c r="P3152" s="22" t="str">
        <f>HYPERLINK("https://ceds.ed.gov/cedselementdetails.aspx?termid=21043")</f>
        <v>https://ceds.ed.gov/cedselementdetails.aspx?termid=21043</v>
      </c>
      <c r="Q3152" s="22">
        <v>62521</v>
      </c>
    </row>
    <row r="3153" spans="1:17" ht="86.4" x14ac:dyDescent="0.3">
      <c r="A3153" s="22" t="s">
        <v>7866</v>
      </c>
      <c r="B3153" s="22" t="s">
        <v>7830</v>
      </c>
      <c r="C3153" s="22" t="s">
        <v>7831</v>
      </c>
      <c r="D3153" s="22" t="s">
        <v>7710</v>
      </c>
      <c r="E3153" s="22" t="s">
        <v>2094</v>
      </c>
      <c r="F3153" s="24" t="s">
        <v>2095</v>
      </c>
      <c r="G3153" s="26" t="s">
        <v>8728</v>
      </c>
      <c r="H3153" s="24" t="s">
        <v>198</v>
      </c>
      <c r="I3153" s="22"/>
      <c r="J3153" s="22"/>
      <c r="K3153" s="24"/>
      <c r="L3153" s="24"/>
      <c r="M3153" s="25" t="s">
        <v>2097</v>
      </c>
      <c r="N3153" s="22" t="s">
        <v>2098</v>
      </c>
      <c r="O3153" s="22" t="s">
        <v>2099</v>
      </c>
      <c r="P3153" s="22" t="str">
        <f>HYPERLINK("https://ceds.ed.gov/cedselementdetails.aspx?termid=21045")</f>
        <v>https://ceds.ed.gov/cedselementdetails.aspx?termid=21045</v>
      </c>
      <c r="Q3153" s="22">
        <v>62522</v>
      </c>
    </row>
    <row r="3154" spans="1:17" ht="409.6" x14ac:dyDescent="0.3">
      <c r="A3154" s="22" t="s">
        <v>7866</v>
      </c>
      <c r="B3154" s="22" t="s">
        <v>7830</v>
      </c>
      <c r="C3154" s="22" t="s">
        <v>7831</v>
      </c>
      <c r="D3154" s="22" t="s">
        <v>7710</v>
      </c>
      <c r="E3154" s="22" t="s">
        <v>2682</v>
      </c>
      <c r="F3154" s="24" t="s">
        <v>2683</v>
      </c>
      <c r="G3154" s="26" t="s">
        <v>8402</v>
      </c>
      <c r="H3154" s="24" t="s">
        <v>2687</v>
      </c>
      <c r="I3154" s="22" t="s">
        <v>172</v>
      </c>
      <c r="J3154" s="22"/>
      <c r="K3154" s="24" t="s">
        <v>7995</v>
      </c>
      <c r="L3154" s="24"/>
      <c r="M3154" s="25" t="s">
        <v>2685</v>
      </c>
      <c r="N3154" s="22"/>
      <c r="O3154" s="22" t="s">
        <v>2686</v>
      </c>
      <c r="P3154" s="22" t="str">
        <f>HYPERLINK("https://ceds.ed.gov/cedselementdetails.aspx?termid=21027")</f>
        <v>https://ceds.ed.gov/cedselementdetails.aspx?termid=21027</v>
      </c>
      <c r="Q3154" s="22">
        <v>60823</v>
      </c>
    </row>
    <row r="3155" spans="1:17" ht="144" x14ac:dyDescent="0.3">
      <c r="A3155" s="22" t="s">
        <v>7866</v>
      </c>
      <c r="B3155" s="22" t="s">
        <v>7830</v>
      </c>
      <c r="C3155" s="22" t="s">
        <v>7831</v>
      </c>
      <c r="D3155" s="22" t="s">
        <v>7710</v>
      </c>
      <c r="E3155" s="22" t="s">
        <v>2592</v>
      </c>
      <c r="F3155" s="24" t="s">
        <v>8058</v>
      </c>
      <c r="G3155" s="26" t="s">
        <v>8750</v>
      </c>
      <c r="H3155" s="22" t="s">
        <v>58</v>
      </c>
      <c r="I3155" s="22"/>
      <c r="J3155" s="22"/>
      <c r="K3155" s="24"/>
      <c r="L3155" s="24"/>
      <c r="M3155" s="25" t="s">
        <v>2593</v>
      </c>
      <c r="N3155" s="22"/>
      <c r="O3155" s="22" t="s">
        <v>2594</v>
      </c>
      <c r="P3155" s="22" t="str">
        <f>HYPERLINK("https://ceds.ed.gov/cedselementdetails.aspx?termid=21057")</f>
        <v>https://ceds.ed.gov/cedselementdetails.aspx?termid=21057</v>
      </c>
      <c r="Q3155" s="22">
        <v>62514</v>
      </c>
    </row>
    <row r="3156" spans="1:17" ht="302.39999999999998" x14ac:dyDescent="0.3">
      <c r="A3156" s="22" t="s">
        <v>7866</v>
      </c>
      <c r="B3156" s="22" t="s">
        <v>7830</v>
      </c>
      <c r="C3156" s="22" t="s">
        <v>7831</v>
      </c>
      <c r="D3156" s="22" t="s">
        <v>7710</v>
      </c>
      <c r="E3156" s="22" t="s">
        <v>2970</v>
      </c>
      <c r="F3156" s="24" t="s">
        <v>2971</v>
      </c>
      <c r="G3156" s="26" t="s">
        <v>8777</v>
      </c>
      <c r="H3156" s="24" t="s">
        <v>64</v>
      </c>
      <c r="I3156" s="22"/>
      <c r="J3156" s="22"/>
      <c r="K3156" s="24"/>
      <c r="L3156" s="24"/>
      <c r="M3156" s="25" t="s">
        <v>2973</v>
      </c>
      <c r="N3156" s="22"/>
      <c r="O3156" s="22" t="s">
        <v>2974</v>
      </c>
      <c r="P3156" s="22" t="str">
        <f>HYPERLINK("https://ceds.ed.gov/cedselementdetails.aspx?termid=21072")</f>
        <v>https://ceds.ed.gov/cedselementdetails.aspx?termid=21072</v>
      </c>
      <c r="Q3156" s="22">
        <v>60831</v>
      </c>
    </row>
    <row r="3157" spans="1:17" ht="100.8" x14ac:dyDescent="0.3">
      <c r="A3157" s="22" t="s">
        <v>7866</v>
      </c>
      <c r="B3157" s="22" t="s">
        <v>7830</v>
      </c>
      <c r="C3157" s="22" t="s">
        <v>7831</v>
      </c>
      <c r="D3157" s="22" t="s">
        <v>7710</v>
      </c>
      <c r="E3157" s="22" t="s">
        <v>2975</v>
      </c>
      <c r="F3157" s="24" t="s">
        <v>2976</v>
      </c>
      <c r="G3157" s="23" t="s">
        <v>32</v>
      </c>
      <c r="H3157" s="22" t="s">
        <v>58</v>
      </c>
      <c r="I3157" s="22"/>
      <c r="J3157" s="22" t="s">
        <v>1518</v>
      </c>
      <c r="K3157" s="24"/>
      <c r="L3157" s="24" t="s">
        <v>8072</v>
      </c>
      <c r="M3157" s="25" t="s">
        <v>2978</v>
      </c>
      <c r="N3157" s="22"/>
      <c r="O3157" s="22" t="s">
        <v>2979</v>
      </c>
      <c r="P3157" s="22" t="str">
        <f>HYPERLINK("https://ceds.ed.gov/cedselementdetails.aspx?termid=21058")</f>
        <v>https://ceds.ed.gov/cedselementdetails.aspx?termid=21058</v>
      </c>
      <c r="Q3157" s="22">
        <v>62515</v>
      </c>
    </row>
    <row r="3158" spans="1:17" ht="129.6" x14ac:dyDescent="0.3">
      <c r="A3158" s="22" t="s">
        <v>7866</v>
      </c>
      <c r="B3158" s="22" t="s">
        <v>7830</v>
      </c>
      <c r="C3158" s="22" t="s">
        <v>7831</v>
      </c>
      <c r="D3158" s="22" t="s">
        <v>7710</v>
      </c>
      <c r="E3158" s="22" t="s">
        <v>1515</v>
      </c>
      <c r="F3158" s="24" t="s">
        <v>1516</v>
      </c>
      <c r="G3158" s="23" t="s">
        <v>32</v>
      </c>
      <c r="H3158" s="24" t="s">
        <v>1521</v>
      </c>
      <c r="I3158" s="22"/>
      <c r="J3158" s="22" t="s">
        <v>1518</v>
      </c>
      <c r="K3158" s="24"/>
      <c r="L3158" s="24"/>
      <c r="M3158" s="25" t="s">
        <v>1519</v>
      </c>
      <c r="N3158" s="22"/>
      <c r="O3158" s="22" t="s">
        <v>1520</v>
      </c>
      <c r="P3158" s="22" t="str">
        <f>HYPERLINK("https://ceds.ed.gov/cedselementdetails.aspx?termid=21030")</f>
        <v>https://ceds.ed.gov/cedselementdetails.aspx?termid=21030</v>
      </c>
      <c r="Q3158" s="22">
        <v>60825</v>
      </c>
    </row>
    <row r="3159" spans="1:17" ht="302.39999999999998" x14ac:dyDescent="0.3">
      <c r="A3159" s="22" t="s">
        <v>7866</v>
      </c>
      <c r="B3159" s="22" t="s">
        <v>7830</v>
      </c>
      <c r="C3159" s="22" t="s">
        <v>7831</v>
      </c>
      <c r="D3159" s="22" t="s">
        <v>7710</v>
      </c>
      <c r="E3159" s="22" t="s">
        <v>2650</v>
      </c>
      <c r="F3159" s="24" t="s">
        <v>2651</v>
      </c>
      <c r="G3159" s="26" t="s">
        <v>8757</v>
      </c>
      <c r="H3159" s="24" t="s">
        <v>2632</v>
      </c>
      <c r="I3159" s="22"/>
      <c r="J3159" s="22"/>
      <c r="K3159" s="24"/>
      <c r="L3159" s="24"/>
      <c r="M3159" s="25" t="s">
        <v>2652</v>
      </c>
      <c r="N3159" s="22"/>
      <c r="O3159" s="22" t="s">
        <v>2653</v>
      </c>
      <c r="P3159" s="22" t="str">
        <f>HYPERLINK("https://ceds.ed.gov/cedselementdetails.aspx?termid=21061")</f>
        <v>https://ceds.ed.gov/cedselementdetails.aspx?termid=21061</v>
      </c>
      <c r="Q3159" s="22">
        <v>60829</v>
      </c>
    </row>
    <row r="3160" spans="1:17" ht="100.8" x14ac:dyDescent="0.3">
      <c r="A3160" s="22" t="s">
        <v>7866</v>
      </c>
      <c r="B3160" s="22" t="s">
        <v>7830</v>
      </c>
      <c r="C3160" s="22" t="s">
        <v>7831</v>
      </c>
      <c r="D3160" s="22" t="s">
        <v>7710</v>
      </c>
      <c r="E3160" s="22" t="s">
        <v>4297</v>
      </c>
      <c r="F3160" s="24" t="s">
        <v>4298</v>
      </c>
      <c r="G3160" s="26" t="s">
        <v>22</v>
      </c>
      <c r="H3160" s="24" t="s">
        <v>1521</v>
      </c>
      <c r="I3160" s="22"/>
      <c r="J3160" s="22"/>
      <c r="K3160" s="24"/>
      <c r="L3160" s="24"/>
      <c r="M3160" s="25" t="s">
        <v>4300</v>
      </c>
      <c r="N3160" s="22"/>
      <c r="O3160" s="22" t="s">
        <v>4301</v>
      </c>
      <c r="P3160" s="22" t="str">
        <f>HYPERLINK("https://ceds.ed.gov/cedselementdetails.aspx?termid=21137")</f>
        <v>https://ceds.ed.gov/cedselementdetails.aspx?termid=21137</v>
      </c>
      <c r="Q3160" s="22">
        <v>60833</v>
      </c>
    </row>
    <row r="3161" spans="1:17" ht="28.8" x14ac:dyDescent="0.3">
      <c r="A3161" s="22" t="s">
        <v>7866</v>
      </c>
      <c r="B3161" s="22" t="s">
        <v>7830</v>
      </c>
      <c r="C3161" s="22" t="s">
        <v>7831</v>
      </c>
      <c r="D3161" s="22" t="s">
        <v>7710</v>
      </c>
      <c r="E3161" s="22" t="s">
        <v>2678</v>
      </c>
      <c r="F3161" s="24" t="s">
        <v>2679</v>
      </c>
      <c r="G3161" s="23" t="s">
        <v>32</v>
      </c>
      <c r="H3161" s="22"/>
      <c r="I3161" s="22"/>
      <c r="J3161" s="22" t="s">
        <v>1699</v>
      </c>
      <c r="K3161" s="24"/>
      <c r="L3161" s="24"/>
      <c r="M3161" s="25" t="s">
        <v>2680</v>
      </c>
      <c r="N3161" s="22"/>
      <c r="O3161" s="22" t="s">
        <v>2681</v>
      </c>
      <c r="P3161" s="22" t="str">
        <f>HYPERLINK("https://ceds.ed.gov/cedselementdetails.aspx?termid=22648")</f>
        <v>https://ceds.ed.gov/cedselementdetails.aspx?termid=22648</v>
      </c>
      <c r="Q3161" s="22">
        <v>62880</v>
      </c>
    </row>
    <row r="3162" spans="1:17" ht="100.8" x14ac:dyDescent="0.3">
      <c r="A3162" s="22" t="s">
        <v>7866</v>
      </c>
      <c r="B3162" s="22" t="s">
        <v>7830</v>
      </c>
      <c r="C3162" s="22" t="s">
        <v>7831</v>
      </c>
      <c r="D3162" s="22" t="s">
        <v>7710</v>
      </c>
      <c r="E3162" s="22" t="s">
        <v>6611</v>
      </c>
      <c r="F3162" s="24" t="s">
        <v>6612</v>
      </c>
      <c r="G3162" s="23" t="s">
        <v>32</v>
      </c>
      <c r="H3162" s="24" t="s">
        <v>1521</v>
      </c>
      <c r="I3162" s="22" t="s">
        <v>172</v>
      </c>
      <c r="J3162" s="22" t="s">
        <v>2743</v>
      </c>
      <c r="K3162" s="24" t="s">
        <v>7946</v>
      </c>
      <c r="L3162" s="24" t="s">
        <v>6613</v>
      </c>
      <c r="M3162" s="25" t="s">
        <v>6614</v>
      </c>
      <c r="N3162" s="22" t="s">
        <v>6615</v>
      </c>
      <c r="O3162" s="22" t="s">
        <v>6616</v>
      </c>
      <c r="P3162" s="22" t="str">
        <f>HYPERLINK("https://ceds.ed.gov/cedselementdetails.aspx?termid=21250")</f>
        <v>https://ceds.ed.gov/cedselementdetails.aspx?termid=21250</v>
      </c>
      <c r="Q3162" s="22">
        <v>60822</v>
      </c>
    </row>
    <row r="3163" spans="1:17" ht="43.2" x14ac:dyDescent="0.3">
      <c r="A3163" s="22" t="s">
        <v>7866</v>
      </c>
      <c r="B3163" s="22" t="s">
        <v>7830</v>
      </c>
      <c r="C3163" s="22" t="s">
        <v>7831</v>
      </c>
      <c r="D3163" s="22" t="s">
        <v>7741</v>
      </c>
      <c r="E3163" s="22" t="s">
        <v>8059</v>
      </c>
      <c r="F3163" s="24" t="s">
        <v>8060</v>
      </c>
      <c r="G3163" s="26" t="s">
        <v>22</v>
      </c>
      <c r="H3163" s="22"/>
      <c r="I3163" s="22" t="s">
        <v>167</v>
      </c>
      <c r="J3163" s="22" t="s">
        <v>2</v>
      </c>
      <c r="K3163" s="24" t="s">
        <v>7949</v>
      </c>
      <c r="L3163" s="24" t="s">
        <v>8061</v>
      </c>
      <c r="M3163" s="25" t="s">
        <v>8354</v>
      </c>
      <c r="N3163" s="22"/>
      <c r="O3163" s="22" t="s">
        <v>8062</v>
      </c>
      <c r="P3163" s="22" t="str">
        <f>HYPERLINK("https://ceds.ed.gov/cedselementdetails.aspx?termid=22975")</f>
        <v>https://ceds.ed.gov/cedselementdetails.aspx?termid=22975</v>
      </c>
      <c r="Q3163" s="22">
        <v>63700</v>
      </c>
    </row>
    <row r="3164" spans="1:17" ht="172.8" x14ac:dyDescent="0.3">
      <c r="A3164" s="22" t="s">
        <v>7866</v>
      </c>
      <c r="B3164" s="22" t="s">
        <v>7830</v>
      </c>
      <c r="C3164" s="22" t="s">
        <v>7755</v>
      </c>
      <c r="D3164" s="22" t="s">
        <v>7710</v>
      </c>
      <c r="E3164" s="22" t="s">
        <v>7040</v>
      </c>
      <c r="F3164" s="24" t="s">
        <v>7041</v>
      </c>
      <c r="G3164" s="23" t="s">
        <v>32</v>
      </c>
      <c r="H3164" s="24" t="s">
        <v>7039</v>
      </c>
      <c r="I3164" s="22" t="s">
        <v>172</v>
      </c>
      <c r="J3164" s="22" t="s">
        <v>132</v>
      </c>
      <c r="K3164" s="24" t="s">
        <v>7946</v>
      </c>
      <c r="L3164" s="24" t="s">
        <v>7945</v>
      </c>
      <c r="M3164" s="25" t="s">
        <v>7042</v>
      </c>
      <c r="N3164" s="22"/>
      <c r="O3164" s="22" t="s">
        <v>7043</v>
      </c>
      <c r="P3164" s="22" t="str">
        <f>HYPERLINK("https://ceds.ed.gov/cedselementdetails.aspx?termid=21157")</f>
        <v>https://ceds.ed.gov/cedselementdetails.aspx?termid=21157</v>
      </c>
      <c r="Q3164" s="22">
        <v>62506</v>
      </c>
    </row>
    <row r="3165" spans="1:17" ht="144" x14ac:dyDescent="0.3">
      <c r="A3165" s="22" t="s">
        <v>7866</v>
      </c>
      <c r="B3165" s="22" t="s">
        <v>7830</v>
      </c>
      <c r="C3165" s="22" t="s">
        <v>7755</v>
      </c>
      <c r="D3165" s="22" t="s">
        <v>7710</v>
      </c>
      <c r="E3165" s="22" t="s">
        <v>7035</v>
      </c>
      <c r="F3165" s="24" t="s">
        <v>7036</v>
      </c>
      <c r="G3165" s="26" t="s">
        <v>8540</v>
      </c>
      <c r="H3165" s="24" t="s">
        <v>7039</v>
      </c>
      <c r="I3165" s="22" t="s">
        <v>172</v>
      </c>
      <c r="J3165" s="22"/>
      <c r="K3165" s="24" t="s">
        <v>7946</v>
      </c>
      <c r="L3165" s="24"/>
      <c r="M3165" s="25" t="s">
        <v>7037</v>
      </c>
      <c r="N3165" s="22"/>
      <c r="O3165" s="22" t="s">
        <v>7038</v>
      </c>
      <c r="P3165" s="22" t="str">
        <f>HYPERLINK("https://ceds.ed.gov/cedselementdetails.aspx?termid=21163")</f>
        <v>https://ceds.ed.gov/cedselementdetails.aspx?termid=21163</v>
      </c>
      <c r="Q3165" s="22">
        <v>62507</v>
      </c>
    </row>
    <row r="3166" spans="1:17" ht="28.8" x14ac:dyDescent="0.3">
      <c r="A3166" s="22" t="s">
        <v>7866</v>
      </c>
      <c r="B3166" s="22" t="s">
        <v>7830</v>
      </c>
      <c r="C3166" s="22" t="s">
        <v>7755</v>
      </c>
      <c r="D3166" s="22" t="s">
        <v>7710</v>
      </c>
      <c r="E3166" s="22" t="s">
        <v>2667</v>
      </c>
      <c r="F3166" s="24" t="s">
        <v>8064</v>
      </c>
      <c r="G3166" s="23" t="s">
        <v>32</v>
      </c>
      <c r="H3166" s="22" t="s">
        <v>58</v>
      </c>
      <c r="I3166" s="22"/>
      <c r="J3166" s="22" t="s">
        <v>55</v>
      </c>
      <c r="K3166" s="24"/>
      <c r="L3166" s="24"/>
      <c r="M3166" s="25" t="s">
        <v>2668</v>
      </c>
      <c r="N3166" s="22"/>
      <c r="O3166" s="22" t="s">
        <v>2669</v>
      </c>
      <c r="P3166" s="22" t="str">
        <f>HYPERLINK("https://ceds.ed.gov/cedselementdetails.aspx?termid=21063")</f>
        <v>https://ceds.ed.gov/cedselementdetails.aspx?termid=21063</v>
      </c>
      <c r="Q3166" s="22">
        <v>62498</v>
      </c>
    </row>
    <row r="3167" spans="1:17" ht="28.8" x14ac:dyDescent="0.3">
      <c r="A3167" s="22" t="s">
        <v>7866</v>
      </c>
      <c r="B3167" s="22" t="s">
        <v>7830</v>
      </c>
      <c r="C3167" s="22" t="s">
        <v>7755</v>
      </c>
      <c r="D3167" s="22" t="s">
        <v>7710</v>
      </c>
      <c r="E3167" s="22" t="s">
        <v>2558</v>
      </c>
      <c r="F3167" s="24" t="s">
        <v>2559</v>
      </c>
      <c r="G3167" s="23" t="s">
        <v>32</v>
      </c>
      <c r="H3167" s="22"/>
      <c r="I3167" s="22"/>
      <c r="J3167" s="22" t="s">
        <v>118</v>
      </c>
      <c r="K3167" s="24"/>
      <c r="L3167" s="24"/>
      <c r="M3167" s="25" t="s">
        <v>2560</v>
      </c>
      <c r="N3167" s="22"/>
      <c r="O3167" s="22" t="s">
        <v>2561</v>
      </c>
      <c r="P3167" s="22" t="str">
        <f>HYPERLINK("https://ceds.ed.gov/cedselementdetails.aspx?termid=22266")</f>
        <v>https://ceds.ed.gov/cedselementdetails.aspx?termid=22266</v>
      </c>
      <c r="Q3167" s="22">
        <v>62502</v>
      </c>
    </row>
    <row r="3168" spans="1:17" ht="28.8" x14ac:dyDescent="0.3">
      <c r="A3168" s="22" t="s">
        <v>7866</v>
      </c>
      <c r="B3168" s="22" t="s">
        <v>7830</v>
      </c>
      <c r="C3168" s="22" t="s">
        <v>7755</v>
      </c>
      <c r="D3168" s="22" t="s">
        <v>7710</v>
      </c>
      <c r="E3168" s="22" t="s">
        <v>2604</v>
      </c>
      <c r="F3168" s="24" t="s">
        <v>2605</v>
      </c>
      <c r="G3168" s="23" t="s">
        <v>32</v>
      </c>
      <c r="H3168" s="22" t="s">
        <v>2608</v>
      </c>
      <c r="I3168" s="22"/>
      <c r="J3168" s="22" t="s">
        <v>118</v>
      </c>
      <c r="K3168" s="24"/>
      <c r="L3168" s="24"/>
      <c r="M3168" s="25" t="s">
        <v>2606</v>
      </c>
      <c r="N3168" s="22"/>
      <c r="O3168" s="22" t="s">
        <v>2607</v>
      </c>
      <c r="P3168" s="22" t="str">
        <f>HYPERLINK("https://ceds.ed.gov/cedselementdetails.aspx?termid=22271")</f>
        <v>https://ceds.ed.gov/cedselementdetails.aspx?termid=22271</v>
      </c>
      <c r="Q3168" s="22">
        <v>62503</v>
      </c>
    </row>
    <row r="3169" spans="1:17" ht="43.2" x14ac:dyDescent="0.3">
      <c r="A3169" s="22" t="s">
        <v>7866</v>
      </c>
      <c r="B3169" s="22" t="s">
        <v>7830</v>
      </c>
      <c r="C3169" s="22" t="s">
        <v>7755</v>
      </c>
      <c r="D3169" s="22" t="s">
        <v>7710</v>
      </c>
      <c r="E3169" s="22" t="s">
        <v>3070</v>
      </c>
      <c r="F3169" s="24" t="s">
        <v>8076</v>
      </c>
      <c r="G3169" s="26" t="s">
        <v>22</v>
      </c>
      <c r="H3169" s="22" t="s">
        <v>58</v>
      </c>
      <c r="I3169" s="22"/>
      <c r="J3169" s="22"/>
      <c r="K3169" s="24"/>
      <c r="L3169" s="24"/>
      <c r="M3169" s="25" t="s">
        <v>3071</v>
      </c>
      <c r="N3169" s="22"/>
      <c r="O3169" s="22" t="s">
        <v>3072</v>
      </c>
      <c r="P3169" s="22" t="str">
        <f>HYPERLINK("https://ceds.ed.gov/cedselementdetails.aspx?termid=21077")</f>
        <v>https://ceds.ed.gov/cedselementdetails.aspx?termid=21077</v>
      </c>
      <c r="Q3169" s="22">
        <v>62501</v>
      </c>
    </row>
    <row r="3170" spans="1:17" ht="72" x14ac:dyDescent="0.3">
      <c r="A3170" s="22" t="s">
        <v>7866</v>
      </c>
      <c r="B3170" s="22" t="s">
        <v>7830</v>
      </c>
      <c r="C3170" s="22" t="s">
        <v>7755</v>
      </c>
      <c r="D3170" s="22" t="s">
        <v>7710</v>
      </c>
      <c r="E3170" s="22" t="s">
        <v>7017</v>
      </c>
      <c r="F3170" s="24" t="s">
        <v>7018</v>
      </c>
      <c r="G3170" s="23" t="s">
        <v>32</v>
      </c>
      <c r="H3170" s="24" t="s">
        <v>64</v>
      </c>
      <c r="I3170" s="22"/>
      <c r="J3170" s="22" t="s">
        <v>2543</v>
      </c>
      <c r="K3170" s="24"/>
      <c r="L3170" s="24"/>
      <c r="M3170" s="25" t="s">
        <v>7020</v>
      </c>
      <c r="N3170" s="22"/>
      <c r="O3170" s="22" t="s">
        <v>7021</v>
      </c>
      <c r="P3170" s="22" t="str">
        <f>HYPERLINK("https://ceds.ed.gov/cedselementdetails.aspx?termid=21124")</f>
        <v>https://ceds.ed.gov/cedselementdetails.aspx?termid=21124</v>
      </c>
      <c r="Q3170" s="22">
        <v>62504</v>
      </c>
    </row>
    <row r="3171" spans="1:17" ht="28.8" x14ac:dyDescent="0.3">
      <c r="A3171" s="22" t="s">
        <v>7866</v>
      </c>
      <c r="B3171" s="22" t="s">
        <v>7830</v>
      </c>
      <c r="C3171" s="22" t="s">
        <v>7755</v>
      </c>
      <c r="D3171" s="22" t="s">
        <v>7710</v>
      </c>
      <c r="E3171" s="22" t="s">
        <v>2541</v>
      </c>
      <c r="F3171" s="24" t="s">
        <v>8056</v>
      </c>
      <c r="G3171" s="23" t="s">
        <v>32</v>
      </c>
      <c r="H3171" s="24" t="s">
        <v>1965</v>
      </c>
      <c r="I3171" s="22"/>
      <c r="J3171" s="22" t="s">
        <v>2543</v>
      </c>
      <c r="K3171" s="24"/>
      <c r="L3171" s="24"/>
      <c r="M3171" s="25" t="s">
        <v>2544</v>
      </c>
      <c r="N3171" s="22"/>
      <c r="O3171" s="22" t="s">
        <v>2545</v>
      </c>
      <c r="P3171" s="22" t="str">
        <f>HYPERLINK("https://ceds.ed.gov/cedselementdetails.aspx?termid=21053")</f>
        <v>https://ceds.ed.gov/cedselementdetails.aspx?termid=21053</v>
      </c>
      <c r="Q3171" s="22">
        <v>62497</v>
      </c>
    </row>
    <row r="3172" spans="1:17" ht="100.8" x14ac:dyDescent="0.3">
      <c r="A3172" s="22" t="s">
        <v>7866</v>
      </c>
      <c r="B3172" s="22" t="s">
        <v>7830</v>
      </c>
      <c r="C3172" s="22" t="s">
        <v>7755</v>
      </c>
      <c r="D3172" s="22" t="s">
        <v>7710</v>
      </c>
      <c r="E3172" s="22" t="s">
        <v>5599</v>
      </c>
      <c r="F3172" s="24" t="s">
        <v>5600</v>
      </c>
      <c r="G3172" s="23" t="s">
        <v>32</v>
      </c>
      <c r="H3172" s="24" t="s">
        <v>5342</v>
      </c>
      <c r="I3172" s="22"/>
      <c r="J3172" s="22" t="s">
        <v>1518</v>
      </c>
      <c r="K3172" s="24"/>
      <c r="L3172" s="24"/>
      <c r="M3172" s="25" t="s">
        <v>5601</v>
      </c>
      <c r="N3172" s="22"/>
      <c r="O3172" s="22" t="s">
        <v>5602</v>
      </c>
      <c r="P3172" s="22" t="str">
        <f>HYPERLINK("https://ceds.ed.gov/cedselementdetails.aspx?termid=21200")</f>
        <v>https://ceds.ed.gov/cedselementdetails.aspx?termid=21200</v>
      </c>
      <c r="Q3172" s="22">
        <v>62508</v>
      </c>
    </row>
    <row r="3173" spans="1:17" ht="43.2" x14ac:dyDescent="0.3">
      <c r="A3173" s="22" t="s">
        <v>7866</v>
      </c>
      <c r="B3173" s="22" t="s">
        <v>7830</v>
      </c>
      <c r="C3173" s="22" t="s">
        <v>7755</v>
      </c>
      <c r="D3173" s="22" t="s">
        <v>7710</v>
      </c>
      <c r="E3173" s="22" t="s">
        <v>2670</v>
      </c>
      <c r="F3173" s="24" t="s">
        <v>8065</v>
      </c>
      <c r="G3173" s="23" t="s">
        <v>32</v>
      </c>
      <c r="H3173" s="22" t="s">
        <v>58</v>
      </c>
      <c r="I3173" s="22"/>
      <c r="J3173" s="22" t="s">
        <v>1518</v>
      </c>
      <c r="K3173" s="24"/>
      <c r="L3173" s="24"/>
      <c r="M3173" s="25" t="s">
        <v>2671</v>
      </c>
      <c r="N3173" s="22"/>
      <c r="O3173" s="22" t="s">
        <v>2672</v>
      </c>
      <c r="P3173" s="22" t="str">
        <f>HYPERLINK("https://ceds.ed.gov/cedselementdetails.aspx?termid=21064")</f>
        <v>https://ceds.ed.gov/cedselementdetails.aspx?termid=21064</v>
      </c>
      <c r="Q3173" s="22">
        <v>62499</v>
      </c>
    </row>
    <row r="3174" spans="1:17" ht="43.2" x14ac:dyDescent="0.3">
      <c r="A3174" s="22" t="s">
        <v>7866</v>
      </c>
      <c r="B3174" s="22" t="s">
        <v>7830</v>
      </c>
      <c r="C3174" s="22" t="s">
        <v>7755</v>
      </c>
      <c r="D3174" s="22" t="s">
        <v>7710</v>
      </c>
      <c r="E3174" s="22" t="s">
        <v>7022</v>
      </c>
      <c r="F3174" s="24" t="s">
        <v>7023</v>
      </c>
      <c r="G3174" s="23" t="s">
        <v>32</v>
      </c>
      <c r="H3174" s="22"/>
      <c r="I3174" s="22"/>
      <c r="J3174" s="22" t="s">
        <v>113</v>
      </c>
      <c r="K3174" s="24"/>
      <c r="L3174" s="24"/>
      <c r="M3174" s="25" t="s">
        <v>7025</v>
      </c>
      <c r="N3174" s="22"/>
      <c r="O3174" s="22" t="s">
        <v>7026</v>
      </c>
      <c r="P3174" s="22" t="str">
        <f>HYPERLINK("https://ceds.ed.gov/cedselementdetails.aspx?termid=22552")</f>
        <v>https://ceds.ed.gov/cedselementdetails.aspx?termid=22552</v>
      </c>
      <c r="Q3174" s="22">
        <v>62505</v>
      </c>
    </row>
    <row r="3175" spans="1:17" ht="43.2" x14ac:dyDescent="0.3">
      <c r="A3175" s="22" t="s">
        <v>7866</v>
      </c>
      <c r="B3175" s="22" t="s">
        <v>7830</v>
      </c>
      <c r="C3175" s="22" t="s">
        <v>7755</v>
      </c>
      <c r="D3175" s="22" t="s">
        <v>7741</v>
      </c>
      <c r="E3175" s="22" t="s">
        <v>8109</v>
      </c>
      <c r="F3175" s="24" t="s">
        <v>8110</v>
      </c>
      <c r="G3175" s="23" t="s">
        <v>32</v>
      </c>
      <c r="H3175" s="22"/>
      <c r="I3175" s="22" t="s">
        <v>167</v>
      </c>
      <c r="J3175" s="22" t="s">
        <v>1699</v>
      </c>
      <c r="K3175" s="24" t="s">
        <v>7949</v>
      </c>
      <c r="L3175" s="24" t="s">
        <v>8111</v>
      </c>
      <c r="M3175" s="25" t="s">
        <v>8358</v>
      </c>
      <c r="N3175" s="22"/>
      <c r="O3175" s="22" t="s">
        <v>8112</v>
      </c>
      <c r="P3175" s="22" t="str">
        <f>HYPERLINK("https://ceds.ed.gov/cedselementdetails.aspx?termid=22979")</f>
        <v>https://ceds.ed.gov/cedselementdetails.aspx?termid=22979</v>
      </c>
      <c r="Q3175" s="22">
        <v>63701</v>
      </c>
    </row>
    <row r="3176" spans="1:17" ht="72" x14ac:dyDescent="0.3">
      <c r="A3176" s="22" t="s">
        <v>7866</v>
      </c>
      <c r="B3176" s="22" t="s">
        <v>7830</v>
      </c>
      <c r="C3176" s="22" t="s">
        <v>7832</v>
      </c>
      <c r="D3176" s="22" t="s">
        <v>7710</v>
      </c>
      <c r="E3176" s="22" t="s">
        <v>5383</v>
      </c>
      <c r="F3176" s="24" t="s">
        <v>5384</v>
      </c>
      <c r="G3176" s="23" t="s">
        <v>32</v>
      </c>
      <c r="H3176" s="24" t="s">
        <v>64</v>
      </c>
      <c r="I3176" s="22"/>
      <c r="J3176" s="22" t="s">
        <v>85</v>
      </c>
      <c r="K3176" s="24"/>
      <c r="L3176" s="24"/>
      <c r="M3176" s="25" t="s">
        <v>5386</v>
      </c>
      <c r="N3176" s="22"/>
      <c r="O3176" s="22" t="s">
        <v>5387</v>
      </c>
      <c r="P3176" s="22" t="str">
        <f>HYPERLINK("https://ceds.ed.gov/cedselementdetails.aspx?termid=21182")</f>
        <v>https://ceds.ed.gov/cedselementdetails.aspx?termid=21182</v>
      </c>
      <c r="Q3176" s="22">
        <v>62492</v>
      </c>
    </row>
    <row r="3177" spans="1:17" ht="72" x14ac:dyDescent="0.3">
      <c r="A3177" s="22" t="s">
        <v>7866</v>
      </c>
      <c r="B3177" s="22" t="s">
        <v>7830</v>
      </c>
      <c r="C3177" s="22" t="s">
        <v>7832</v>
      </c>
      <c r="D3177" s="22" t="s">
        <v>7710</v>
      </c>
      <c r="E3177" s="22" t="s">
        <v>5411</v>
      </c>
      <c r="F3177" s="24" t="s">
        <v>5412</v>
      </c>
      <c r="G3177" s="23" t="s">
        <v>32</v>
      </c>
      <c r="H3177" s="24" t="s">
        <v>64</v>
      </c>
      <c r="I3177" s="22"/>
      <c r="J3177" s="22" t="s">
        <v>2543</v>
      </c>
      <c r="K3177" s="24"/>
      <c r="L3177" s="24"/>
      <c r="M3177" s="25" t="s">
        <v>5413</v>
      </c>
      <c r="N3177" s="22"/>
      <c r="O3177" s="22" t="s">
        <v>5414</v>
      </c>
      <c r="P3177" s="22" t="str">
        <f>HYPERLINK("https://ceds.ed.gov/cedselementdetails.aspx?termid=21183")</f>
        <v>https://ceds.ed.gov/cedselementdetails.aspx?termid=21183</v>
      </c>
      <c r="Q3177" s="22">
        <v>62495</v>
      </c>
    </row>
    <row r="3178" spans="1:17" ht="72" x14ac:dyDescent="0.3">
      <c r="A3178" s="22" t="s">
        <v>7866</v>
      </c>
      <c r="B3178" s="22" t="s">
        <v>7830</v>
      </c>
      <c r="C3178" s="22" t="s">
        <v>7832</v>
      </c>
      <c r="D3178" s="22" t="s">
        <v>7710</v>
      </c>
      <c r="E3178" s="22" t="s">
        <v>7017</v>
      </c>
      <c r="F3178" s="24" t="s">
        <v>7018</v>
      </c>
      <c r="G3178" s="23" t="s">
        <v>32</v>
      </c>
      <c r="H3178" s="24" t="s">
        <v>64</v>
      </c>
      <c r="I3178" s="22"/>
      <c r="J3178" s="22" t="s">
        <v>2543</v>
      </c>
      <c r="K3178" s="24"/>
      <c r="L3178" s="24"/>
      <c r="M3178" s="25" t="s">
        <v>7020</v>
      </c>
      <c r="N3178" s="22"/>
      <c r="O3178" s="22" t="s">
        <v>7021</v>
      </c>
      <c r="P3178" s="22" t="str">
        <f>HYPERLINK("https://ceds.ed.gov/cedselementdetails.aspx?termid=21124")</f>
        <v>https://ceds.ed.gov/cedselementdetails.aspx?termid=21124</v>
      </c>
      <c r="Q3178" s="22">
        <v>62494</v>
      </c>
    </row>
    <row r="3179" spans="1:17" ht="43.2" x14ac:dyDescent="0.3">
      <c r="A3179" s="22" t="s">
        <v>7866</v>
      </c>
      <c r="B3179" s="22" t="s">
        <v>7830</v>
      </c>
      <c r="C3179" s="22" t="s">
        <v>7832</v>
      </c>
      <c r="D3179" s="22" t="s">
        <v>7710</v>
      </c>
      <c r="E3179" s="22" t="s">
        <v>7027</v>
      </c>
      <c r="F3179" s="24" t="s">
        <v>7028</v>
      </c>
      <c r="G3179" s="26" t="s">
        <v>22</v>
      </c>
      <c r="H3179" s="22"/>
      <c r="I3179" s="22"/>
      <c r="J3179" s="22"/>
      <c r="K3179" s="24"/>
      <c r="L3179" s="24"/>
      <c r="M3179" s="25" t="s">
        <v>7029</v>
      </c>
      <c r="N3179" s="22"/>
      <c r="O3179" s="22" t="s">
        <v>7030</v>
      </c>
      <c r="P3179" s="22" t="str">
        <f>HYPERLINK("https://ceds.ed.gov/cedselementdetails.aspx?termid=22191")</f>
        <v>https://ceds.ed.gov/cedselementdetails.aspx?termid=22191</v>
      </c>
      <c r="Q3179" s="22">
        <v>62493</v>
      </c>
    </row>
    <row r="3180" spans="1:17" ht="230.4" x14ac:dyDescent="0.3">
      <c r="A3180" s="22" t="s">
        <v>7866</v>
      </c>
      <c r="B3180" s="22" t="s">
        <v>7830</v>
      </c>
      <c r="C3180" s="22" t="s">
        <v>7832</v>
      </c>
      <c r="D3180" s="22" t="s">
        <v>7710</v>
      </c>
      <c r="E3180" s="22" t="s">
        <v>2553</v>
      </c>
      <c r="F3180" s="24" t="s">
        <v>2554</v>
      </c>
      <c r="G3180" s="26" t="s">
        <v>8746</v>
      </c>
      <c r="H3180" s="22"/>
      <c r="I3180" s="22"/>
      <c r="J3180" s="22"/>
      <c r="K3180" s="24"/>
      <c r="L3180" s="24"/>
      <c r="M3180" s="25" t="s">
        <v>2556</v>
      </c>
      <c r="N3180" s="22"/>
      <c r="O3180" s="22" t="s">
        <v>2557</v>
      </c>
      <c r="P3180" s="22" t="str">
        <f>HYPERLINK("https://ceds.ed.gov/cedselementdetails.aspx?termid=22265")</f>
        <v>https://ceds.ed.gov/cedselementdetails.aspx?termid=22265</v>
      </c>
      <c r="Q3180" s="22">
        <v>62491</v>
      </c>
    </row>
    <row r="3181" spans="1:17" ht="129.6" x14ac:dyDescent="0.3">
      <c r="A3181" s="22" t="s">
        <v>7866</v>
      </c>
      <c r="B3181" s="22" t="s">
        <v>7830</v>
      </c>
      <c r="C3181" s="22" t="s">
        <v>7832</v>
      </c>
      <c r="D3181" s="22" t="s">
        <v>7710</v>
      </c>
      <c r="E3181" s="22" t="s">
        <v>4235</v>
      </c>
      <c r="F3181" s="24" t="s">
        <v>4236</v>
      </c>
      <c r="G3181" s="23" t="s">
        <v>32</v>
      </c>
      <c r="H3181" s="22"/>
      <c r="I3181" s="22"/>
      <c r="J3181" s="22" t="s">
        <v>780</v>
      </c>
      <c r="K3181" s="24"/>
      <c r="L3181" s="24" t="s">
        <v>4238</v>
      </c>
      <c r="M3181" s="25" t="s">
        <v>4239</v>
      </c>
      <c r="N3181" s="22"/>
      <c r="O3181" s="22" t="s">
        <v>4240</v>
      </c>
      <c r="P3181" s="22" t="str">
        <f>HYPERLINK("https://ceds.ed.gov/cedselementdetails.aspx?termid=21609")</f>
        <v>https://ceds.ed.gov/cedselementdetails.aspx?termid=21609</v>
      </c>
      <c r="Q3181" s="22">
        <v>62496</v>
      </c>
    </row>
    <row r="3182" spans="1:17" ht="172.8" x14ac:dyDescent="0.3">
      <c r="A3182" s="22" t="s">
        <v>7866</v>
      </c>
      <c r="B3182" s="22" t="s">
        <v>7830</v>
      </c>
      <c r="C3182" s="22" t="s">
        <v>7833</v>
      </c>
      <c r="D3182" s="22" t="s">
        <v>7710</v>
      </c>
      <c r="E3182" s="22" t="s">
        <v>6911</v>
      </c>
      <c r="F3182" s="24" t="s">
        <v>6912</v>
      </c>
      <c r="G3182" s="23" t="s">
        <v>32</v>
      </c>
      <c r="H3182" s="24" t="s">
        <v>6915</v>
      </c>
      <c r="I3182" s="22" t="s">
        <v>172</v>
      </c>
      <c r="J3182" s="22" t="s">
        <v>132</v>
      </c>
      <c r="K3182" s="24" t="s">
        <v>7946</v>
      </c>
      <c r="L3182" s="24" t="s">
        <v>7945</v>
      </c>
      <c r="M3182" s="25" t="s">
        <v>6913</v>
      </c>
      <c r="N3182" s="22"/>
      <c r="O3182" s="22" t="s">
        <v>6914</v>
      </c>
      <c r="P3182" s="22" t="str">
        <f>HYPERLINK("https://ceds.ed.gov/cedselementdetails.aspx?termid=21156")</f>
        <v>https://ceds.ed.gov/cedselementdetails.aspx?termid=21156</v>
      </c>
      <c r="Q3182" s="22">
        <v>62511</v>
      </c>
    </row>
    <row r="3183" spans="1:17" ht="244.8" x14ac:dyDescent="0.3">
      <c r="A3183" s="22" t="s">
        <v>7866</v>
      </c>
      <c r="B3183" s="22" t="s">
        <v>7830</v>
      </c>
      <c r="C3183" s="22" t="s">
        <v>7833</v>
      </c>
      <c r="D3183" s="22" t="s">
        <v>7710</v>
      </c>
      <c r="E3183" s="22" t="s">
        <v>6906</v>
      </c>
      <c r="F3183" s="24" t="s">
        <v>6907</v>
      </c>
      <c r="G3183" s="26" t="s">
        <v>8531</v>
      </c>
      <c r="H3183" s="24" t="s">
        <v>6910</v>
      </c>
      <c r="I3183" s="22" t="s">
        <v>172</v>
      </c>
      <c r="J3183" s="22"/>
      <c r="K3183" s="24" t="s">
        <v>7946</v>
      </c>
      <c r="L3183" s="24"/>
      <c r="M3183" s="25" t="s">
        <v>6908</v>
      </c>
      <c r="N3183" s="22"/>
      <c r="O3183" s="22" t="s">
        <v>6909</v>
      </c>
      <c r="P3183" s="22" t="str">
        <f>HYPERLINK("https://ceds.ed.gov/cedselementdetails.aspx?termid=21162")</f>
        <v>https://ceds.ed.gov/cedselementdetails.aspx?termid=21162</v>
      </c>
      <c r="Q3183" s="22">
        <v>62512</v>
      </c>
    </row>
    <row r="3184" spans="1:17" ht="28.8" x14ac:dyDescent="0.3">
      <c r="A3184" s="22" t="s">
        <v>7866</v>
      </c>
      <c r="B3184" s="22" t="s">
        <v>7830</v>
      </c>
      <c r="C3184" s="22" t="s">
        <v>7833</v>
      </c>
      <c r="D3184" s="22" t="s">
        <v>7710</v>
      </c>
      <c r="E3184" s="22" t="s">
        <v>1443</v>
      </c>
      <c r="F3184" s="24" t="s">
        <v>1444</v>
      </c>
      <c r="G3184" s="23" t="s">
        <v>32</v>
      </c>
      <c r="H3184" s="22"/>
      <c r="I3184" s="22" t="s">
        <v>172</v>
      </c>
      <c r="J3184" s="22" t="s">
        <v>118</v>
      </c>
      <c r="K3184" s="24" t="s">
        <v>7946</v>
      </c>
      <c r="L3184" s="24"/>
      <c r="M3184" s="25" t="s">
        <v>1445</v>
      </c>
      <c r="N3184" s="22"/>
      <c r="O3184" s="22" t="s">
        <v>1446</v>
      </c>
      <c r="P3184" s="22" t="str">
        <f>HYPERLINK("https://ceds.ed.gov/cedselementdetails.aspx?termid=21517")</f>
        <v>https://ceds.ed.gov/cedselementdetails.aspx?termid=21517</v>
      </c>
      <c r="Q3184" s="22">
        <v>62509</v>
      </c>
    </row>
    <row r="3185" spans="1:17" ht="57.6" x14ac:dyDescent="0.3">
      <c r="A3185" s="22" t="s">
        <v>7866</v>
      </c>
      <c r="B3185" s="22" t="s">
        <v>7830</v>
      </c>
      <c r="C3185" s="22" t="s">
        <v>7833</v>
      </c>
      <c r="D3185" s="22" t="s">
        <v>7710</v>
      </c>
      <c r="E3185" s="22" t="s">
        <v>1439</v>
      </c>
      <c r="F3185" s="24" t="s">
        <v>1440</v>
      </c>
      <c r="G3185" s="23" t="s">
        <v>32</v>
      </c>
      <c r="H3185" s="22"/>
      <c r="I3185" s="22" t="s">
        <v>172</v>
      </c>
      <c r="J3185" s="22" t="s">
        <v>118</v>
      </c>
      <c r="K3185" s="24" t="s">
        <v>7946</v>
      </c>
      <c r="L3185" s="24" t="s">
        <v>143</v>
      </c>
      <c r="M3185" s="25" t="s">
        <v>1441</v>
      </c>
      <c r="N3185" s="22"/>
      <c r="O3185" s="22" t="s">
        <v>1442</v>
      </c>
      <c r="P3185" s="22" t="str">
        <f>HYPERLINK("https://ceds.ed.gov/cedselementdetails.aspx?termid=21518")</f>
        <v>https://ceds.ed.gov/cedselementdetails.aspx?termid=21518</v>
      </c>
      <c r="Q3185" s="22">
        <v>62510</v>
      </c>
    </row>
    <row r="3186" spans="1:17" ht="57.6" x14ac:dyDescent="0.3">
      <c r="A3186" s="22" t="s">
        <v>7866</v>
      </c>
      <c r="B3186" s="22" t="s">
        <v>7830</v>
      </c>
      <c r="C3186" s="22" t="s">
        <v>7833</v>
      </c>
      <c r="D3186" s="22" t="s">
        <v>7710</v>
      </c>
      <c r="E3186" s="22" t="s">
        <v>7095</v>
      </c>
      <c r="F3186" s="24" t="s">
        <v>7096</v>
      </c>
      <c r="G3186" s="26" t="s">
        <v>22</v>
      </c>
      <c r="H3186" s="22" t="s">
        <v>7101</v>
      </c>
      <c r="I3186" s="22"/>
      <c r="J3186" s="22"/>
      <c r="K3186" s="24"/>
      <c r="L3186" s="24" t="s">
        <v>7098</v>
      </c>
      <c r="M3186" s="25" t="s">
        <v>7099</v>
      </c>
      <c r="N3186" s="22"/>
      <c r="O3186" s="22" t="s">
        <v>7100</v>
      </c>
      <c r="P3186" s="22" t="str">
        <f>HYPERLINK("https://ceds.ed.gov/cedselementdetails.aspx?termid=21649")</f>
        <v>https://ceds.ed.gov/cedselementdetails.aspx?termid=21649</v>
      </c>
      <c r="Q3186" s="22">
        <v>62560</v>
      </c>
    </row>
    <row r="3187" spans="1:17" ht="72" x14ac:dyDescent="0.3">
      <c r="A3187" s="22" t="s">
        <v>7866</v>
      </c>
      <c r="B3187" s="22" t="s">
        <v>7830</v>
      </c>
      <c r="C3187" s="22" t="s">
        <v>7833</v>
      </c>
      <c r="D3187" s="22" t="s">
        <v>7710</v>
      </c>
      <c r="E3187" s="22" t="s">
        <v>7123</v>
      </c>
      <c r="F3187" s="24" t="s">
        <v>8340</v>
      </c>
      <c r="G3187" s="26" t="s">
        <v>8548</v>
      </c>
      <c r="H3187" s="22" t="s">
        <v>7101</v>
      </c>
      <c r="I3187" s="22" t="s">
        <v>172</v>
      </c>
      <c r="J3187" s="22"/>
      <c r="K3187" s="24" t="s">
        <v>7946</v>
      </c>
      <c r="L3187" s="24"/>
      <c r="M3187" s="25" t="s">
        <v>7124</v>
      </c>
      <c r="N3187" s="22"/>
      <c r="O3187" s="22" t="s">
        <v>7125</v>
      </c>
      <c r="P3187" s="22" t="str">
        <f>HYPERLINK("https://ceds.ed.gov/cedselementdetails.aspx?termid=21650")</f>
        <v>https://ceds.ed.gov/cedselementdetails.aspx?termid=21650</v>
      </c>
      <c r="Q3187" s="22">
        <v>62561</v>
      </c>
    </row>
    <row r="3188" spans="1:17" ht="72" x14ac:dyDescent="0.3">
      <c r="A3188" s="22" t="s">
        <v>7866</v>
      </c>
      <c r="B3188" s="22" t="s">
        <v>7830</v>
      </c>
      <c r="C3188" s="22" t="s">
        <v>7833</v>
      </c>
      <c r="D3188" s="22" t="s">
        <v>7710</v>
      </c>
      <c r="E3188" s="22" t="s">
        <v>7114</v>
      </c>
      <c r="F3188" s="24" t="s">
        <v>7115</v>
      </c>
      <c r="G3188" s="23" t="s">
        <v>32</v>
      </c>
      <c r="H3188" s="22" t="s">
        <v>7101</v>
      </c>
      <c r="I3188" s="22" t="s">
        <v>172</v>
      </c>
      <c r="J3188" s="22" t="s">
        <v>775</v>
      </c>
      <c r="K3188" s="24" t="s">
        <v>7946</v>
      </c>
      <c r="L3188" s="24"/>
      <c r="M3188" s="25" t="s">
        <v>7116</v>
      </c>
      <c r="N3188" s="22"/>
      <c r="O3188" s="22" t="s">
        <v>7117</v>
      </c>
      <c r="P3188" s="22" t="str">
        <f>HYPERLINK("https://ceds.ed.gov/cedselementdetails.aspx?termid=21651")</f>
        <v>https://ceds.ed.gov/cedselementdetails.aspx?termid=21651</v>
      </c>
      <c r="Q3188" s="22">
        <v>62562</v>
      </c>
    </row>
    <row r="3189" spans="1:17" ht="244.8" x14ac:dyDescent="0.3">
      <c r="A3189" s="22" t="s">
        <v>7866</v>
      </c>
      <c r="B3189" s="22" t="s">
        <v>7830</v>
      </c>
      <c r="C3189" s="22" t="s">
        <v>7833</v>
      </c>
      <c r="D3189" s="22" t="s">
        <v>7710</v>
      </c>
      <c r="E3189" s="22" t="s">
        <v>2104</v>
      </c>
      <c r="F3189" s="24" t="s">
        <v>2105</v>
      </c>
      <c r="G3189" s="26" t="s">
        <v>8411</v>
      </c>
      <c r="H3189" s="22"/>
      <c r="I3189" s="22" t="s">
        <v>172</v>
      </c>
      <c r="J3189" s="22"/>
      <c r="K3189" s="24" t="s">
        <v>7946</v>
      </c>
      <c r="L3189" s="24"/>
      <c r="M3189" s="25" t="s">
        <v>2106</v>
      </c>
      <c r="N3189" s="22"/>
      <c r="O3189" s="22" t="s">
        <v>2107</v>
      </c>
      <c r="P3189" s="22" t="str">
        <f>HYPERLINK("https://ceds.ed.gov/cedselementdetails.aspx?termid=21615")</f>
        <v>https://ceds.ed.gov/cedselementdetails.aspx?termid=21615</v>
      </c>
      <c r="Q3189" s="22">
        <v>62559</v>
      </c>
    </row>
    <row r="3190" spans="1:17" ht="28.8" x14ac:dyDescent="0.3">
      <c r="A3190" s="22" t="s">
        <v>7866</v>
      </c>
      <c r="B3190" s="22" t="s">
        <v>7830</v>
      </c>
      <c r="C3190" s="22" t="s">
        <v>7796</v>
      </c>
      <c r="D3190" s="22" t="s">
        <v>7710</v>
      </c>
      <c r="E3190" s="22" t="s">
        <v>1447</v>
      </c>
      <c r="F3190" s="24" t="s">
        <v>1448</v>
      </c>
      <c r="G3190" s="23" t="s">
        <v>32</v>
      </c>
      <c r="H3190" s="22"/>
      <c r="I3190" s="22" t="s">
        <v>172</v>
      </c>
      <c r="J3190" s="22" t="s">
        <v>118</v>
      </c>
      <c r="K3190" s="24" t="s">
        <v>7946</v>
      </c>
      <c r="L3190" s="24"/>
      <c r="M3190" s="25" t="s">
        <v>1449</v>
      </c>
      <c r="N3190" s="22"/>
      <c r="O3190" s="22" t="s">
        <v>1450</v>
      </c>
      <c r="P3190" s="22" t="str">
        <f>HYPERLINK("https://ceds.ed.gov/cedselementdetails.aspx?termid=22630")</f>
        <v>https://ceds.ed.gov/cedselementdetails.aspx?termid=22630</v>
      </c>
      <c r="Q3190" s="22">
        <v>62565</v>
      </c>
    </row>
    <row r="3191" spans="1:17" ht="72" x14ac:dyDescent="0.3">
      <c r="A3191" s="22" t="s">
        <v>7866</v>
      </c>
      <c r="B3191" s="22" t="s">
        <v>7830</v>
      </c>
      <c r="C3191" s="22" t="s">
        <v>7796</v>
      </c>
      <c r="D3191" s="22" t="s">
        <v>7710</v>
      </c>
      <c r="E3191" s="22" t="s">
        <v>1451</v>
      </c>
      <c r="F3191" s="24" t="s">
        <v>1452</v>
      </c>
      <c r="G3191" s="26" t="s">
        <v>8649</v>
      </c>
      <c r="H3191" s="22"/>
      <c r="I3191" s="22"/>
      <c r="J3191" s="22"/>
      <c r="K3191" s="24"/>
      <c r="L3191" s="24"/>
      <c r="M3191" s="25" t="s">
        <v>1454</v>
      </c>
      <c r="N3191" s="22"/>
      <c r="O3191" s="22" t="s">
        <v>1455</v>
      </c>
      <c r="P3191" s="22" t="str">
        <f>HYPERLINK("https://ceds.ed.gov/cedselementdetails.aspx?termid=21594")</f>
        <v>https://ceds.ed.gov/cedselementdetails.aspx?termid=21594</v>
      </c>
      <c r="Q3191" s="22">
        <v>62564</v>
      </c>
    </row>
    <row r="3192" spans="1:17" ht="86.4" x14ac:dyDescent="0.3">
      <c r="A3192" s="22" t="s">
        <v>7866</v>
      </c>
      <c r="B3192" s="22" t="s">
        <v>7830</v>
      </c>
      <c r="C3192" s="22" t="s">
        <v>7796</v>
      </c>
      <c r="D3192" s="22" t="s">
        <v>7710</v>
      </c>
      <c r="E3192" s="22" t="s">
        <v>1456</v>
      </c>
      <c r="F3192" s="24" t="s">
        <v>1457</v>
      </c>
      <c r="G3192" s="26" t="s">
        <v>8406</v>
      </c>
      <c r="H3192" s="22"/>
      <c r="I3192" s="22" t="s">
        <v>172</v>
      </c>
      <c r="J3192" s="22"/>
      <c r="K3192" s="24" t="s">
        <v>7946</v>
      </c>
      <c r="L3192" s="24"/>
      <c r="M3192" s="25" t="s">
        <v>1458</v>
      </c>
      <c r="N3192" s="22"/>
      <c r="O3192" s="22" t="s">
        <v>1459</v>
      </c>
      <c r="P3192" s="22" t="str">
        <f>HYPERLINK("https://ceds.ed.gov/cedselementdetails.aspx?termid=21076")</f>
        <v>https://ceds.ed.gov/cedselementdetails.aspx?termid=21076</v>
      </c>
      <c r="Q3192" s="22">
        <v>62563</v>
      </c>
    </row>
    <row r="3193" spans="1:17" ht="409.6" x14ac:dyDescent="0.3">
      <c r="A3193" s="22" t="s">
        <v>7866</v>
      </c>
      <c r="B3193" s="22" t="s">
        <v>7764</v>
      </c>
      <c r="C3193" s="22"/>
      <c r="D3193" s="22" t="s">
        <v>7710</v>
      </c>
      <c r="E3193" s="22" t="s">
        <v>6230</v>
      </c>
      <c r="F3193" s="24" t="s">
        <v>6231</v>
      </c>
      <c r="G3193" s="26" t="s">
        <v>8506</v>
      </c>
      <c r="H3193" s="24" t="s">
        <v>64</v>
      </c>
      <c r="I3193" s="22" t="s">
        <v>172</v>
      </c>
      <c r="J3193" s="22"/>
      <c r="K3193" s="24" t="s">
        <v>8285</v>
      </c>
      <c r="L3193" s="24"/>
      <c r="M3193" s="25" t="s">
        <v>6232</v>
      </c>
      <c r="N3193" s="22"/>
      <c r="O3193" s="22" t="s">
        <v>6233</v>
      </c>
      <c r="P3193" s="22" t="str">
        <f>HYPERLINK("https://ceds.ed.gov/cedselementdetails.aspx?termid=21225")</f>
        <v>https://ceds.ed.gov/cedselementdetails.aspx?termid=21225</v>
      </c>
      <c r="Q3193" s="22">
        <v>60917</v>
      </c>
    </row>
    <row r="3194" spans="1:17" ht="43.2" x14ac:dyDescent="0.3">
      <c r="A3194" s="22" t="s">
        <v>7866</v>
      </c>
      <c r="B3194" s="22" t="s">
        <v>7764</v>
      </c>
      <c r="C3194" s="22"/>
      <c r="D3194" s="22" t="s">
        <v>7710</v>
      </c>
      <c r="E3194" s="22" t="s">
        <v>6189</v>
      </c>
      <c r="F3194" s="24" t="s">
        <v>6190</v>
      </c>
      <c r="G3194" s="23" t="s">
        <v>32</v>
      </c>
      <c r="H3194" s="22" t="s">
        <v>2608</v>
      </c>
      <c r="I3194" s="22" t="s">
        <v>172</v>
      </c>
      <c r="J3194" s="22" t="s">
        <v>157</v>
      </c>
      <c r="K3194" s="24" t="s">
        <v>8282</v>
      </c>
      <c r="L3194" s="24"/>
      <c r="M3194" s="25" t="s">
        <v>6191</v>
      </c>
      <c r="N3194" s="22"/>
      <c r="O3194" s="22" t="s">
        <v>6192</v>
      </c>
      <c r="P3194" s="22" t="str">
        <f>HYPERLINK("https://ceds.ed.gov/cedselementdetails.aspx?termid=21619")</f>
        <v>https://ceds.ed.gov/cedselementdetails.aspx?termid=21619</v>
      </c>
      <c r="Q3194" s="22">
        <v>60918</v>
      </c>
    </row>
    <row r="3195" spans="1:17" ht="244.8" x14ac:dyDescent="0.3">
      <c r="A3195" s="22" t="s">
        <v>7866</v>
      </c>
      <c r="B3195" s="22" t="s">
        <v>7764</v>
      </c>
      <c r="C3195" s="22"/>
      <c r="D3195" s="22" t="s">
        <v>7710</v>
      </c>
      <c r="E3195" s="22" t="s">
        <v>1925</v>
      </c>
      <c r="F3195" s="24" t="s">
        <v>1926</v>
      </c>
      <c r="G3195" s="26" t="s">
        <v>8710</v>
      </c>
      <c r="H3195" s="22"/>
      <c r="I3195" s="22"/>
      <c r="J3195" s="22"/>
      <c r="K3195" s="24"/>
      <c r="L3195" s="24" t="s">
        <v>8034</v>
      </c>
      <c r="M3195" s="25" t="s">
        <v>1927</v>
      </c>
      <c r="N3195" s="22"/>
      <c r="O3195" s="22" t="s">
        <v>1928</v>
      </c>
      <c r="P3195" s="22" t="str">
        <f>HYPERLINK("https://ceds.ed.gov/cedselementdetails.aspx?termid=22254")</f>
        <v>https://ceds.ed.gov/cedselementdetails.aspx?termid=22254</v>
      </c>
      <c r="Q3195" s="22">
        <v>61564</v>
      </c>
    </row>
    <row r="3196" spans="1:17" ht="201.6" x14ac:dyDescent="0.3">
      <c r="A3196" s="22" t="s">
        <v>7866</v>
      </c>
      <c r="B3196" s="22" t="s">
        <v>7764</v>
      </c>
      <c r="C3196" s="22"/>
      <c r="D3196" s="22" t="s">
        <v>7710</v>
      </c>
      <c r="E3196" s="22" t="s">
        <v>6222</v>
      </c>
      <c r="F3196" s="24" t="s">
        <v>6223</v>
      </c>
      <c r="G3196" s="26" t="s">
        <v>8504</v>
      </c>
      <c r="H3196" s="22"/>
      <c r="I3196" s="22" t="s">
        <v>172</v>
      </c>
      <c r="J3196" s="22"/>
      <c r="K3196" s="24" t="s">
        <v>7946</v>
      </c>
      <c r="L3196" s="24"/>
      <c r="M3196" s="25" t="s">
        <v>6224</v>
      </c>
      <c r="N3196" s="22"/>
      <c r="O3196" s="22" t="s">
        <v>6225</v>
      </c>
      <c r="P3196" s="22" t="str">
        <f>HYPERLINK("https://ceds.ed.gov/cedselementdetails.aspx?termid=21692")</f>
        <v>https://ceds.ed.gov/cedselementdetails.aspx?termid=21692</v>
      </c>
      <c r="Q3196" s="22">
        <v>61522</v>
      </c>
    </row>
    <row r="3197" spans="1:17" ht="43.2" x14ac:dyDescent="0.3">
      <c r="A3197" s="22" t="s">
        <v>7866</v>
      </c>
      <c r="B3197" s="22" t="s">
        <v>7764</v>
      </c>
      <c r="C3197" s="22"/>
      <c r="D3197" s="22" t="s">
        <v>7741</v>
      </c>
      <c r="E3197" s="22" t="s">
        <v>8109</v>
      </c>
      <c r="F3197" s="24" t="s">
        <v>8110</v>
      </c>
      <c r="G3197" s="23" t="s">
        <v>32</v>
      </c>
      <c r="H3197" s="22"/>
      <c r="I3197" s="22" t="s">
        <v>167</v>
      </c>
      <c r="J3197" s="22" t="s">
        <v>1699</v>
      </c>
      <c r="K3197" s="24" t="s">
        <v>7949</v>
      </c>
      <c r="L3197" s="24" t="s">
        <v>8111</v>
      </c>
      <c r="M3197" s="25" t="s">
        <v>8358</v>
      </c>
      <c r="N3197" s="22"/>
      <c r="O3197" s="22" t="s">
        <v>8112</v>
      </c>
      <c r="P3197" s="22" t="str">
        <f>HYPERLINK("https://ceds.ed.gov/cedselementdetails.aspx?termid=22979")</f>
        <v>https://ceds.ed.gov/cedselementdetails.aspx?termid=22979</v>
      </c>
      <c r="Q3197" s="22">
        <v>63702</v>
      </c>
    </row>
    <row r="3198" spans="1:17" ht="43.2" x14ac:dyDescent="0.3">
      <c r="A3198" s="22" t="s">
        <v>7866</v>
      </c>
      <c r="B3198" s="22" t="s">
        <v>7764</v>
      </c>
      <c r="C3198" s="22"/>
      <c r="D3198" s="22" t="s">
        <v>7741</v>
      </c>
      <c r="E3198" s="22" t="s">
        <v>8275</v>
      </c>
      <c r="F3198" s="24" t="s">
        <v>8276</v>
      </c>
      <c r="G3198" s="26" t="s">
        <v>22</v>
      </c>
      <c r="H3198" s="22"/>
      <c r="I3198" s="22" t="s">
        <v>167</v>
      </c>
      <c r="J3198" s="22" t="s">
        <v>2</v>
      </c>
      <c r="K3198" s="24" t="s">
        <v>7949</v>
      </c>
      <c r="L3198" s="24" t="s">
        <v>8277</v>
      </c>
      <c r="M3198" s="25" t="s">
        <v>8369</v>
      </c>
      <c r="N3198" s="22"/>
      <c r="O3198" s="22" t="s">
        <v>8278</v>
      </c>
      <c r="P3198" s="22" t="str">
        <f>HYPERLINK("https://ceds.ed.gov/cedselementdetails.aspx?termid=22990")</f>
        <v>https://ceds.ed.gov/cedselementdetails.aspx?termid=22990</v>
      </c>
      <c r="Q3198" s="22">
        <v>63703</v>
      </c>
    </row>
    <row r="3199" spans="1:17" ht="172.8" x14ac:dyDescent="0.3">
      <c r="A3199" s="22" t="s">
        <v>7870</v>
      </c>
      <c r="B3199" s="22" t="s">
        <v>7871</v>
      </c>
      <c r="C3199" s="22"/>
      <c r="D3199" s="22" t="s">
        <v>7710</v>
      </c>
      <c r="E3199" s="22" t="s">
        <v>279</v>
      </c>
      <c r="F3199" s="24" t="s">
        <v>280</v>
      </c>
      <c r="G3199" s="23" t="s">
        <v>32</v>
      </c>
      <c r="H3199" s="22"/>
      <c r="I3199" s="22"/>
      <c r="J3199" s="22" t="s">
        <v>132</v>
      </c>
      <c r="K3199" s="24"/>
      <c r="L3199" s="24" t="s">
        <v>7945</v>
      </c>
      <c r="M3199" s="25" t="s">
        <v>281</v>
      </c>
      <c r="N3199" s="22"/>
      <c r="O3199" s="22" t="s">
        <v>282</v>
      </c>
      <c r="P3199" s="22" t="str">
        <f>HYPERLINK("https://ceds.ed.gov/cedselementdetails.aspx?termid=21777")</f>
        <v>https://ceds.ed.gov/cedselementdetails.aspx?termid=21777</v>
      </c>
      <c r="Q3199" s="22">
        <v>59295</v>
      </c>
    </row>
    <row r="3200" spans="1:17" ht="172.8" x14ac:dyDescent="0.3">
      <c r="A3200" s="22" t="s">
        <v>7870</v>
      </c>
      <c r="B3200" s="22" t="s">
        <v>7871</v>
      </c>
      <c r="C3200" s="22"/>
      <c r="D3200" s="22" t="s">
        <v>7710</v>
      </c>
      <c r="E3200" s="22" t="s">
        <v>274</v>
      </c>
      <c r="F3200" s="24" t="s">
        <v>275</v>
      </c>
      <c r="G3200" s="26" t="s">
        <v>8590</v>
      </c>
      <c r="H3200" s="22"/>
      <c r="I3200" s="22"/>
      <c r="J3200" s="22"/>
      <c r="K3200" s="24"/>
      <c r="L3200" s="24"/>
      <c r="M3200" s="25" t="s">
        <v>277</v>
      </c>
      <c r="N3200" s="22"/>
      <c r="O3200" s="22" t="s">
        <v>278</v>
      </c>
      <c r="P3200" s="22" t="str">
        <f>HYPERLINK("https://ceds.ed.gov/cedselementdetails.aspx?termid=21778")</f>
        <v>https://ceds.ed.gov/cedselementdetails.aspx?termid=21778</v>
      </c>
      <c r="Q3200" s="22">
        <v>59296</v>
      </c>
    </row>
    <row r="3201" spans="1:17" ht="129.6" x14ac:dyDescent="0.3">
      <c r="A3201" s="22" t="s">
        <v>7870</v>
      </c>
      <c r="B3201" s="22" t="s">
        <v>7871</v>
      </c>
      <c r="C3201" s="22"/>
      <c r="D3201" s="22" t="s">
        <v>7710</v>
      </c>
      <c r="E3201" s="22" t="s">
        <v>269</v>
      </c>
      <c r="F3201" s="24" t="s">
        <v>270</v>
      </c>
      <c r="G3201" s="26" t="s">
        <v>8589</v>
      </c>
      <c r="H3201" s="22"/>
      <c r="I3201" s="22"/>
      <c r="J3201" s="22"/>
      <c r="K3201" s="24"/>
      <c r="L3201" s="24"/>
      <c r="M3201" s="25" t="s">
        <v>272</v>
      </c>
      <c r="N3201" s="22"/>
      <c r="O3201" s="22" t="s">
        <v>273</v>
      </c>
      <c r="P3201" s="22" t="str">
        <f>HYPERLINK("https://ceds.ed.gov/cedselementdetails.aspx?termid=21779")</f>
        <v>https://ceds.ed.gov/cedselementdetails.aspx?termid=21779</v>
      </c>
      <c r="Q3201" s="22">
        <v>59297</v>
      </c>
    </row>
    <row r="3202" spans="1:17" ht="187.2" x14ac:dyDescent="0.3">
      <c r="A3202" s="22" t="s">
        <v>7870</v>
      </c>
      <c r="B3202" s="22" t="s">
        <v>7871</v>
      </c>
      <c r="C3202" s="22"/>
      <c r="D3202" s="22" t="s">
        <v>7710</v>
      </c>
      <c r="E3202" s="22" t="s">
        <v>5525</v>
      </c>
      <c r="F3202" s="24" t="s">
        <v>5526</v>
      </c>
      <c r="G3202" s="23" t="s">
        <v>32</v>
      </c>
      <c r="H3202" s="24" t="s">
        <v>5529</v>
      </c>
      <c r="I3202" s="22" t="s">
        <v>172</v>
      </c>
      <c r="J3202" s="22" t="s">
        <v>157</v>
      </c>
      <c r="K3202" s="24" t="s">
        <v>7946</v>
      </c>
      <c r="L3202" s="24"/>
      <c r="M3202" s="25" t="s">
        <v>5527</v>
      </c>
      <c r="N3202" s="22"/>
      <c r="O3202" s="22" t="s">
        <v>5528</v>
      </c>
      <c r="P3202" s="22" t="str">
        <f>HYPERLINK("https://ceds.ed.gov/cedselementdetails.aspx?termid=21191")</f>
        <v>https://ceds.ed.gov/cedselementdetails.aspx?termid=21191</v>
      </c>
      <c r="Q3202" s="22">
        <v>59342</v>
      </c>
    </row>
    <row r="3203" spans="1:17" ht="86.4" x14ac:dyDescent="0.3">
      <c r="A3203" s="22" t="s">
        <v>7870</v>
      </c>
      <c r="B3203" s="22" t="s">
        <v>7871</v>
      </c>
      <c r="C3203" s="22"/>
      <c r="D3203" s="22" t="s">
        <v>7710</v>
      </c>
      <c r="E3203" s="22" t="s">
        <v>8312</v>
      </c>
      <c r="F3203" s="24" t="s">
        <v>8313</v>
      </c>
      <c r="G3203" s="23" t="s">
        <v>32</v>
      </c>
      <c r="H3203" s="22"/>
      <c r="I3203" s="22" t="s">
        <v>172</v>
      </c>
      <c r="J3203" s="22" t="s">
        <v>85</v>
      </c>
      <c r="K3203" s="24" t="s">
        <v>8314</v>
      </c>
      <c r="L3203" s="24" t="s">
        <v>6772</v>
      </c>
      <c r="M3203" s="25" t="s">
        <v>6773</v>
      </c>
      <c r="N3203" s="22"/>
      <c r="O3203" s="22" t="s">
        <v>8315</v>
      </c>
      <c r="P3203" s="22" t="str">
        <f>HYPERLINK("https://ceds.ed.gov/cedselementdetails.aspx?termid=22459")</f>
        <v>https://ceds.ed.gov/cedselementdetails.aspx?termid=22459</v>
      </c>
      <c r="Q3203" s="22">
        <v>61424</v>
      </c>
    </row>
    <row r="3204" spans="1:17" ht="72" x14ac:dyDescent="0.3">
      <c r="A3204" s="22" t="s">
        <v>7870</v>
      </c>
      <c r="B3204" s="22" t="s">
        <v>7871</v>
      </c>
      <c r="C3204" s="22"/>
      <c r="D3204" s="22" t="s">
        <v>7710</v>
      </c>
      <c r="E3204" s="22" t="s">
        <v>5294</v>
      </c>
      <c r="F3204" s="24" t="s">
        <v>5295</v>
      </c>
      <c r="G3204" s="26" t="s">
        <v>9015</v>
      </c>
      <c r="H3204" s="24" t="s">
        <v>1965</v>
      </c>
      <c r="I3204" s="22"/>
      <c r="J3204" s="22"/>
      <c r="K3204" s="24"/>
      <c r="L3204" s="24"/>
      <c r="M3204" s="25" t="s">
        <v>5297</v>
      </c>
      <c r="N3204" s="22"/>
      <c r="O3204" s="22" t="s">
        <v>5298</v>
      </c>
      <c r="P3204" s="22" t="str">
        <f>HYPERLINK("https://ceds.ed.gov/cedselementdetails.aspx?termid=21178")</f>
        <v>https://ceds.ed.gov/cedselementdetails.aspx?termid=21178</v>
      </c>
      <c r="Q3204" s="22">
        <v>59574</v>
      </c>
    </row>
    <row r="3205" spans="1:17" ht="86.4" x14ac:dyDescent="0.3">
      <c r="A3205" s="22" t="s">
        <v>7870</v>
      </c>
      <c r="B3205" s="22" t="s">
        <v>7871</v>
      </c>
      <c r="C3205" s="22"/>
      <c r="D3205" s="22" t="s">
        <v>7741</v>
      </c>
      <c r="E3205" s="22" t="s">
        <v>8312</v>
      </c>
      <c r="F3205" s="24" t="s">
        <v>8313</v>
      </c>
      <c r="G3205" s="23" t="s">
        <v>32</v>
      </c>
      <c r="H3205" s="22"/>
      <c r="I3205" s="22" t="s">
        <v>172</v>
      </c>
      <c r="J3205" s="22" t="s">
        <v>85</v>
      </c>
      <c r="K3205" s="24" t="s">
        <v>8314</v>
      </c>
      <c r="L3205" s="24" t="s">
        <v>6772</v>
      </c>
      <c r="M3205" s="25" t="s">
        <v>6773</v>
      </c>
      <c r="N3205" s="22"/>
      <c r="O3205" s="22" t="s">
        <v>8315</v>
      </c>
      <c r="P3205" s="22" t="str">
        <f>HYPERLINK("https://ceds.ed.gov/cedselementdetails.aspx?termid=22459")</f>
        <v>https://ceds.ed.gov/cedselementdetails.aspx?termid=22459</v>
      </c>
      <c r="Q3205" s="22">
        <v>63691</v>
      </c>
    </row>
    <row r="3206" spans="1:17" ht="158.4" x14ac:dyDescent="0.3">
      <c r="A3206" s="22" t="s">
        <v>7870</v>
      </c>
      <c r="B3206" s="22" t="s">
        <v>7872</v>
      </c>
      <c r="C3206" s="22" t="s">
        <v>7738</v>
      </c>
      <c r="D3206" s="22" t="s">
        <v>7710</v>
      </c>
      <c r="E3206" s="22" t="s">
        <v>4050</v>
      </c>
      <c r="F3206" s="24" t="s">
        <v>4051</v>
      </c>
      <c r="G3206" s="23" t="s">
        <v>32</v>
      </c>
      <c r="H3206" s="24" t="s">
        <v>4054</v>
      </c>
      <c r="I3206" s="22"/>
      <c r="J3206" s="22" t="s">
        <v>7536</v>
      </c>
      <c r="K3206" s="24"/>
      <c r="L3206" s="24" t="s">
        <v>8200</v>
      </c>
      <c r="M3206" s="25" t="s">
        <v>4052</v>
      </c>
      <c r="N3206" s="22"/>
      <c r="O3206" s="22" t="s">
        <v>4053</v>
      </c>
      <c r="P3206" s="22" t="str">
        <f>HYPERLINK("https://ceds.ed.gov/cedselementdetails.aspx?termid=21115")</f>
        <v>https://ceds.ed.gov/cedselementdetails.aspx?termid=21115</v>
      </c>
      <c r="Q3206" s="22">
        <v>59298</v>
      </c>
    </row>
    <row r="3207" spans="1:17" ht="158.4" x14ac:dyDescent="0.3">
      <c r="A3207" s="22" t="s">
        <v>7870</v>
      </c>
      <c r="B3207" s="22" t="s">
        <v>7872</v>
      </c>
      <c r="C3207" s="22" t="s">
        <v>7738</v>
      </c>
      <c r="D3207" s="22" t="s">
        <v>7710</v>
      </c>
      <c r="E3207" s="22" t="s">
        <v>5415</v>
      </c>
      <c r="F3207" s="24" t="s">
        <v>5416</v>
      </c>
      <c r="G3207" s="23" t="s">
        <v>32</v>
      </c>
      <c r="H3207" s="24" t="s">
        <v>4054</v>
      </c>
      <c r="I3207" s="22"/>
      <c r="J3207" s="22" t="s">
        <v>7536</v>
      </c>
      <c r="K3207" s="24"/>
      <c r="L3207" s="24" t="s">
        <v>8207</v>
      </c>
      <c r="M3207" s="25" t="s">
        <v>5417</v>
      </c>
      <c r="N3207" s="22"/>
      <c r="O3207" s="22" t="s">
        <v>5418</v>
      </c>
      <c r="P3207" s="22" t="str">
        <f>HYPERLINK("https://ceds.ed.gov/cedselementdetails.aspx?termid=21184")</f>
        <v>https://ceds.ed.gov/cedselementdetails.aspx?termid=21184</v>
      </c>
      <c r="Q3207" s="22">
        <v>59300</v>
      </c>
    </row>
    <row r="3208" spans="1:17" ht="158.4" x14ac:dyDescent="0.3">
      <c r="A3208" s="22" t="s">
        <v>7870</v>
      </c>
      <c r="B3208" s="22" t="s">
        <v>7872</v>
      </c>
      <c r="C3208" s="22" t="s">
        <v>7738</v>
      </c>
      <c r="D3208" s="22" t="s">
        <v>7710</v>
      </c>
      <c r="E3208" s="22" t="s">
        <v>4973</v>
      </c>
      <c r="F3208" s="24" t="s">
        <v>4974</v>
      </c>
      <c r="G3208" s="23" t="s">
        <v>32</v>
      </c>
      <c r="H3208" s="24" t="s">
        <v>4054</v>
      </c>
      <c r="I3208" s="22"/>
      <c r="J3208" s="22" t="s">
        <v>7536</v>
      </c>
      <c r="K3208" s="24"/>
      <c r="L3208" s="24" t="s">
        <v>8207</v>
      </c>
      <c r="M3208" s="25" t="s">
        <v>4975</v>
      </c>
      <c r="N3208" s="22" t="s">
        <v>4976</v>
      </c>
      <c r="O3208" s="22" t="s">
        <v>4977</v>
      </c>
      <c r="P3208" s="22" t="str">
        <f>HYPERLINK("https://ceds.ed.gov/cedselementdetails.aspx?termid=21172")</f>
        <v>https://ceds.ed.gov/cedselementdetails.aspx?termid=21172</v>
      </c>
      <c r="Q3208" s="22">
        <v>59302</v>
      </c>
    </row>
    <row r="3209" spans="1:17" ht="129.6" x14ac:dyDescent="0.3">
      <c r="A3209" s="22" t="s">
        <v>7870</v>
      </c>
      <c r="B3209" s="22" t="s">
        <v>7872</v>
      </c>
      <c r="C3209" s="22" t="s">
        <v>7738</v>
      </c>
      <c r="D3209" s="22" t="s">
        <v>7710</v>
      </c>
      <c r="E3209" s="22" t="s">
        <v>4114</v>
      </c>
      <c r="F3209" s="24" t="s">
        <v>4115</v>
      </c>
      <c r="G3209" s="23" t="s">
        <v>32</v>
      </c>
      <c r="H3209" s="24" t="s">
        <v>4119</v>
      </c>
      <c r="I3209" s="22"/>
      <c r="J3209" s="22" t="s">
        <v>2743</v>
      </c>
      <c r="K3209" s="24"/>
      <c r="L3209" s="24" t="s">
        <v>8207</v>
      </c>
      <c r="M3209" s="25" t="s">
        <v>4117</v>
      </c>
      <c r="N3209" s="22"/>
      <c r="O3209" s="22" t="s">
        <v>4118</v>
      </c>
      <c r="P3209" s="22" t="str">
        <f>HYPERLINK("https://ceds.ed.gov/cedselementdetails.aspx?termid=21121")</f>
        <v>https://ceds.ed.gov/cedselementdetails.aspx?termid=21121</v>
      </c>
      <c r="Q3209" s="22">
        <v>60886</v>
      </c>
    </row>
    <row r="3210" spans="1:17" ht="86.4" x14ac:dyDescent="0.3">
      <c r="A3210" s="22" t="s">
        <v>7870</v>
      </c>
      <c r="B3210" s="22" t="s">
        <v>7872</v>
      </c>
      <c r="C3210" s="22" t="s">
        <v>7738</v>
      </c>
      <c r="D3210" s="22" t="s">
        <v>7710</v>
      </c>
      <c r="E3210" s="22" t="s">
        <v>5860</v>
      </c>
      <c r="F3210" s="24" t="s">
        <v>5861</v>
      </c>
      <c r="G3210" s="23" t="s">
        <v>32</v>
      </c>
      <c r="H3210" s="24" t="s">
        <v>5865</v>
      </c>
      <c r="I3210" s="22"/>
      <c r="J3210" s="22" t="s">
        <v>85</v>
      </c>
      <c r="K3210" s="24"/>
      <c r="L3210" s="24"/>
      <c r="M3210" s="25" t="s">
        <v>5862</v>
      </c>
      <c r="N3210" s="22" t="s">
        <v>5863</v>
      </c>
      <c r="O3210" s="22" t="s">
        <v>5864</v>
      </c>
      <c r="P3210" s="22" t="str">
        <f>HYPERLINK("https://ceds.ed.gov/cedselementdetails.aspx?termid=21212")</f>
        <v>https://ceds.ed.gov/cedselementdetails.aspx?termid=21212</v>
      </c>
      <c r="Q3210" s="22">
        <v>60887</v>
      </c>
    </row>
    <row r="3211" spans="1:17" ht="28.8" x14ac:dyDescent="0.3">
      <c r="A3211" s="22" t="s">
        <v>7870</v>
      </c>
      <c r="B3211" s="22" t="s">
        <v>7872</v>
      </c>
      <c r="C3211" s="22" t="s">
        <v>7739</v>
      </c>
      <c r="D3211" s="22" t="s">
        <v>7710</v>
      </c>
      <c r="E3211" s="22" t="s">
        <v>5728</v>
      </c>
      <c r="F3211" s="24" t="s">
        <v>5729</v>
      </c>
      <c r="G3211" s="23" t="s">
        <v>32</v>
      </c>
      <c r="H3211" s="22"/>
      <c r="I3211" s="22"/>
      <c r="J3211" s="22" t="s">
        <v>1301</v>
      </c>
      <c r="K3211" s="24"/>
      <c r="L3211" s="24" t="s">
        <v>5730</v>
      </c>
      <c r="M3211" s="25" t="s">
        <v>5731</v>
      </c>
      <c r="N3211" s="22"/>
      <c r="O3211" s="22" t="s">
        <v>5732</v>
      </c>
      <c r="P3211" s="22" t="str">
        <f>HYPERLINK("https://ceds.ed.gov/cedselementdetails.aspx?termid=22486")</f>
        <v>https://ceds.ed.gov/cedselementdetails.aspx?termid=22486</v>
      </c>
      <c r="Q3211" s="22">
        <v>61636</v>
      </c>
    </row>
    <row r="3212" spans="1:17" ht="28.8" x14ac:dyDescent="0.3">
      <c r="A3212" s="22" t="s">
        <v>7870</v>
      </c>
      <c r="B3212" s="22" t="s">
        <v>7872</v>
      </c>
      <c r="C3212" s="22" t="s">
        <v>7739</v>
      </c>
      <c r="D3212" s="22" t="s">
        <v>7710</v>
      </c>
      <c r="E3212" s="22" t="s">
        <v>5738</v>
      </c>
      <c r="F3212" s="24" t="s">
        <v>5739</v>
      </c>
      <c r="G3212" s="23" t="s">
        <v>32</v>
      </c>
      <c r="H3212" s="22"/>
      <c r="I3212" s="22"/>
      <c r="J3212" s="22" t="s">
        <v>1301</v>
      </c>
      <c r="K3212" s="24"/>
      <c r="L3212" s="24" t="s">
        <v>5740</v>
      </c>
      <c r="M3212" s="25" t="s">
        <v>5741</v>
      </c>
      <c r="N3212" s="22"/>
      <c r="O3212" s="22" t="s">
        <v>5742</v>
      </c>
      <c r="P3212" s="22" t="str">
        <f>HYPERLINK("https://ceds.ed.gov/cedselementdetails.aspx?termid=22487")</f>
        <v>https://ceds.ed.gov/cedselementdetails.aspx?termid=22487</v>
      </c>
      <c r="Q3212" s="22">
        <v>61652</v>
      </c>
    </row>
    <row r="3213" spans="1:17" ht="28.8" x14ac:dyDescent="0.3">
      <c r="A3213" s="22" t="s">
        <v>7870</v>
      </c>
      <c r="B3213" s="22" t="s">
        <v>7872</v>
      </c>
      <c r="C3213" s="22" t="s">
        <v>7739</v>
      </c>
      <c r="D3213" s="22" t="s">
        <v>7710</v>
      </c>
      <c r="E3213" s="22" t="s">
        <v>5733</v>
      </c>
      <c r="F3213" s="24" t="s">
        <v>5734</v>
      </c>
      <c r="G3213" s="23" t="s">
        <v>32</v>
      </c>
      <c r="H3213" s="22"/>
      <c r="I3213" s="22"/>
      <c r="J3213" s="22" t="s">
        <v>1301</v>
      </c>
      <c r="K3213" s="24"/>
      <c r="L3213" s="24" t="s">
        <v>5735</v>
      </c>
      <c r="M3213" s="25" t="s">
        <v>5736</v>
      </c>
      <c r="N3213" s="22"/>
      <c r="O3213" s="22" t="s">
        <v>5737</v>
      </c>
      <c r="P3213" s="22" t="str">
        <f>HYPERLINK("https://ceds.ed.gov/cedselementdetails.aspx?termid=22485")</f>
        <v>https://ceds.ed.gov/cedselementdetails.aspx?termid=22485</v>
      </c>
      <c r="Q3213" s="22">
        <v>61620</v>
      </c>
    </row>
    <row r="3214" spans="1:17" ht="129.6" x14ac:dyDescent="0.3">
      <c r="A3214" s="22" t="s">
        <v>7870</v>
      </c>
      <c r="B3214" s="22" t="s">
        <v>7872</v>
      </c>
      <c r="C3214" s="22" t="s">
        <v>7739</v>
      </c>
      <c r="D3214" s="22" t="s">
        <v>7710</v>
      </c>
      <c r="E3214" s="22" t="s">
        <v>5743</v>
      </c>
      <c r="F3214" s="24" t="s">
        <v>5744</v>
      </c>
      <c r="G3214" s="23" t="s">
        <v>32</v>
      </c>
      <c r="H3214" s="24" t="s">
        <v>4119</v>
      </c>
      <c r="I3214" s="22"/>
      <c r="J3214" s="22" t="s">
        <v>132</v>
      </c>
      <c r="K3214" s="24"/>
      <c r="L3214" s="24"/>
      <c r="M3214" s="25" t="s">
        <v>5745</v>
      </c>
      <c r="N3214" s="22"/>
      <c r="O3214" s="22" t="s">
        <v>5746</v>
      </c>
      <c r="P3214" s="22" t="str">
        <f>HYPERLINK("https://ceds.ed.gov/cedselementdetails.aspx?termid=21206")</f>
        <v>https://ceds.ed.gov/cedselementdetails.aspx?termid=21206</v>
      </c>
      <c r="Q3214" s="22">
        <v>60888</v>
      </c>
    </row>
    <row r="3215" spans="1:17" ht="115.2" x14ac:dyDescent="0.3">
      <c r="A3215" s="22" t="s">
        <v>7870</v>
      </c>
      <c r="B3215" s="22" t="s">
        <v>7872</v>
      </c>
      <c r="C3215" s="22" t="s">
        <v>7739</v>
      </c>
      <c r="D3215" s="22" t="s">
        <v>7710</v>
      </c>
      <c r="E3215" s="22" t="s">
        <v>5747</v>
      </c>
      <c r="F3215" s="24" t="s">
        <v>5748</v>
      </c>
      <c r="G3215" s="26" t="s">
        <v>9055</v>
      </c>
      <c r="H3215" s="24" t="s">
        <v>5751</v>
      </c>
      <c r="I3215" s="22"/>
      <c r="J3215" s="22" t="s">
        <v>85</v>
      </c>
      <c r="K3215" s="24"/>
      <c r="L3215" s="24"/>
      <c r="M3215" s="25" t="s">
        <v>5749</v>
      </c>
      <c r="N3215" s="22"/>
      <c r="O3215" s="22" t="s">
        <v>5750</v>
      </c>
      <c r="P3215" s="22" t="str">
        <f>HYPERLINK("https://ceds.ed.gov/cedselementdetails.aspx?termid=21627")</f>
        <v>https://ceds.ed.gov/cedselementdetails.aspx?termid=21627</v>
      </c>
      <c r="Q3215" s="22">
        <v>60889</v>
      </c>
    </row>
    <row r="3216" spans="1:17" ht="172.8" x14ac:dyDescent="0.3">
      <c r="A3216" s="22" t="s">
        <v>7870</v>
      </c>
      <c r="B3216" s="22" t="s">
        <v>7872</v>
      </c>
      <c r="C3216" s="22" t="s">
        <v>7740</v>
      </c>
      <c r="D3216" s="22" t="s">
        <v>7710</v>
      </c>
      <c r="E3216" s="22" t="s">
        <v>7040</v>
      </c>
      <c r="F3216" s="24" t="s">
        <v>7041</v>
      </c>
      <c r="G3216" s="23" t="s">
        <v>32</v>
      </c>
      <c r="H3216" s="24" t="s">
        <v>7039</v>
      </c>
      <c r="I3216" s="22" t="s">
        <v>172</v>
      </c>
      <c r="J3216" s="22" t="s">
        <v>132</v>
      </c>
      <c r="K3216" s="24" t="s">
        <v>7946</v>
      </c>
      <c r="L3216" s="24" t="s">
        <v>7945</v>
      </c>
      <c r="M3216" s="25" t="s">
        <v>7042</v>
      </c>
      <c r="N3216" s="22"/>
      <c r="O3216" s="22" t="s">
        <v>7043</v>
      </c>
      <c r="P3216" s="22" t="str">
        <f>HYPERLINK("https://ceds.ed.gov/cedselementdetails.aspx?termid=21157")</f>
        <v>https://ceds.ed.gov/cedselementdetails.aspx?termid=21157</v>
      </c>
      <c r="Q3216" s="22">
        <v>59339</v>
      </c>
    </row>
    <row r="3217" spans="1:17" ht="144" x14ac:dyDescent="0.3">
      <c r="A3217" s="22" t="s">
        <v>7870</v>
      </c>
      <c r="B3217" s="22" t="s">
        <v>7872</v>
      </c>
      <c r="C3217" s="22" t="s">
        <v>7740</v>
      </c>
      <c r="D3217" s="22" t="s">
        <v>7710</v>
      </c>
      <c r="E3217" s="22" t="s">
        <v>7035</v>
      </c>
      <c r="F3217" s="24" t="s">
        <v>7036</v>
      </c>
      <c r="G3217" s="26" t="s">
        <v>8540</v>
      </c>
      <c r="H3217" s="24" t="s">
        <v>7039</v>
      </c>
      <c r="I3217" s="22" t="s">
        <v>172</v>
      </c>
      <c r="J3217" s="22"/>
      <c r="K3217" s="24" t="s">
        <v>7946</v>
      </c>
      <c r="L3217" s="24"/>
      <c r="M3217" s="25" t="s">
        <v>7037</v>
      </c>
      <c r="N3217" s="22"/>
      <c r="O3217" s="22" t="s">
        <v>7038</v>
      </c>
      <c r="P3217" s="22" t="str">
        <f>HYPERLINK("https://ceds.ed.gov/cedselementdetails.aspx?termid=21163")</f>
        <v>https://ceds.ed.gov/cedselementdetails.aspx?termid=21163</v>
      </c>
      <c r="Q3217" s="22">
        <v>59340</v>
      </c>
    </row>
    <row r="3218" spans="1:17" ht="403.2" x14ac:dyDescent="0.3">
      <c r="A3218" s="22" t="s">
        <v>7870</v>
      </c>
      <c r="B3218" s="22" t="s">
        <v>7872</v>
      </c>
      <c r="C3218" s="22" t="s">
        <v>7740</v>
      </c>
      <c r="D3218" s="22" t="s">
        <v>7710</v>
      </c>
      <c r="E3218" s="22" t="s">
        <v>5856</v>
      </c>
      <c r="F3218" s="24" t="s">
        <v>5857</v>
      </c>
      <c r="G3218" s="26" t="s">
        <v>8498</v>
      </c>
      <c r="H3218" s="22"/>
      <c r="I3218" s="22" t="s">
        <v>172</v>
      </c>
      <c r="J3218" s="22"/>
      <c r="K3218" s="24" t="s">
        <v>7946</v>
      </c>
      <c r="L3218" s="24"/>
      <c r="M3218" s="25" t="s">
        <v>5858</v>
      </c>
      <c r="N3218" s="22"/>
      <c r="O3218" s="22" t="s">
        <v>5859</v>
      </c>
      <c r="P3218" s="22" t="str">
        <f>HYPERLINK("https://ceds.ed.gov/cedselementdetails.aspx?termid=21611")</f>
        <v>https://ceds.ed.gov/cedselementdetails.aspx?termid=21611</v>
      </c>
      <c r="Q3218" s="22">
        <v>60220</v>
      </c>
    </row>
    <row r="3219" spans="1:17" ht="72" x14ac:dyDescent="0.3">
      <c r="A3219" s="22" t="s">
        <v>7870</v>
      </c>
      <c r="B3219" s="22" t="s">
        <v>7872</v>
      </c>
      <c r="C3219" s="22" t="s">
        <v>7740</v>
      </c>
      <c r="D3219" s="22" t="s">
        <v>7710</v>
      </c>
      <c r="E3219" s="22" t="s">
        <v>7621</v>
      </c>
      <c r="F3219" s="24" t="s">
        <v>7622</v>
      </c>
      <c r="G3219" s="26" t="s">
        <v>8496</v>
      </c>
      <c r="H3219" s="22"/>
      <c r="I3219" s="22" t="s">
        <v>172</v>
      </c>
      <c r="J3219" s="22"/>
      <c r="K3219" s="24" t="s">
        <v>7946</v>
      </c>
      <c r="L3219" s="24"/>
      <c r="M3219" s="25" t="s">
        <v>7623</v>
      </c>
      <c r="N3219" s="22"/>
      <c r="O3219" s="22" t="s">
        <v>7624</v>
      </c>
      <c r="P3219" s="22" t="str">
        <f>HYPERLINK("https://ceds.ed.gov/cedselementdetails.aspx?termid=22951")</f>
        <v>https://ceds.ed.gov/cedselementdetails.aspx?termid=22951</v>
      </c>
      <c r="Q3219" s="22">
        <v>63470</v>
      </c>
    </row>
    <row r="3220" spans="1:17" ht="172.8" x14ac:dyDescent="0.3">
      <c r="A3220" s="22" t="s">
        <v>7870</v>
      </c>
      <c r="B3220" s="22" t="s">
        <v>7872</v>
      </c>
      <c r="C3220" s="22" t="s">
        <v>7716</v>
      </c>
      <c r="D3220" s="22" t="s">
        <v>7710</v>
      </c>
      <c r="E3220" s="22" t="s">
        <v>194</v>
      </c>
      <c r="F3220" s="24" t="s">
        <v>195</v>
      </c>
      <c r="G3220" s="26" t="s">
        <v>8575</v>
      </c>
      <c r="H3220" s="24" t="s">
        <v>198</v>
      </c>
      <c r="I3220" s="22"/>
      <c r="J3220" s="22" t="s">
        <v>85</v>
      </c>
      <c r="K3220" s="24"/>
      <c r="L3220" s="24"/>
      <c r="M3220" s="25" t="s">
        <v>196</v>
      </c>
      <c r="N3220" s="22"/>
      <c r="O3220" s="22" t="s">
        <v>197</v>
      </c>
      <c r="P3220" s="22" t="str">
        <f>HYPERLINK("https://ceds.ed.gov/cedselementdetails.aspx?termid=21358")</f>
        <v>https://ceds.ed.gov/cedselementdetails.aspx?termid=21358</v>
      </c>
      <c r="Q3220" s="22">
        <v>60890</v>
      </c>
    </row>
    <row r="3221" spans="1:17" ht="187.2" x14ac:dyDescent="0.3">
      <c r="A3221" s="22" t="s">
        <v>7870</v>
      </c>
      <c r="B3221" s="22" t="s">
        <v>7872</v>
      </c>
      <c r="C3221" s="22" t="s">
        <v>7716</v>
      </c>
      <c r="D3221" s="22" t="s">
        <v>7710</v>
      </c>
      <c r="E3221" s="22" t="s">
        <v>189</v>
      </c>
      <c r="F3221" s="24" t="s">
        <v>190</v>
      </c>
      <c r="G3221" s="23" t="s">
        <v>32</v>
      </c>
      <c r="H3221" s="24" t="s">
        <v>175</v>
      </c>
      <c r="I3221" s="22" t="s">
        <v>172</v>
      </c>
      <c r="J3221" s="22" t="s">
        <v>191</v>
      </c>
      <c r="K3221" s="24" t="s">
        <v>7946</v>
      </c>
      <c r="L3221" s="24"/>
      <c r="M3221" s="25" t="s">
        <v>192</v>
      </c>
      <c r="N3221" s="22"/>
      <c r="O3221" s="22" t="s">
        <v>193</v>
      </c>
      <c r="P3221" s="22" t="str">
        <f>HYPERLINK("https://ceds.ed.gov/cedselementdetails.aspx?termid=21269")</f>
        <v>https://ceds.ed.gov/cedselementdetails.aspx?termid=21269</v>
      </c>
      <c r="Q3221" s="22">
        <v>59304</v>
      </c>
    </row>
    <row r="3222" spans="1:17" ht="187.2" x14ac:dyDescent="0.3">
      <c r="A3222" s="22" t="s">
        <v>7870</v>
      </c>
      <c r="B3222" s="22" t="s">
        <v>7872</v>
      </c>
      <c r="C3222" s="22" t="s">
        <v>7716</v>
      </c>
      <c r="D3222" s="22" t="s">
        <v>7710</v>
      </c>
      <c r="E3222" s="22" t="s">
        <v>170</v>
      </c>
      <c r="F3222" s="24" t="s">
        <v>171</v>
      </c>
      <c r="G3222" s="23" t="s">
        <v>32</v>
      </c>
      <c r="H3222" s="24" t="s">
        <v>175</v>
      </c>
      <c r="I3222" s="22" t="s">
        <v>172</v>
      </c>
      <c r="J3222" s="22" t="s">
        <v>157</v>
      </c>
      <c r="K3222" s="24" t="s">
        <v>7946</v>
      </c>
      <c r="L3222" s="24"/>
      <c r="M3222" s="25" t="s">
        <v>173</v>
      </c>
      <c r="N3222" s="22"/>
      <c r="O3222" s="22" t="s">
        <v>174</v>
      </c>
      <c r="P3222" s="22" t="str">
        <f>HYPERLINK("https://ceds.ed.gov/cedselementdetails.aspx?termid=21019")</f>
        <v>https://ceds.ed.gov/cedselementdetails.aspx?termid=21019</v>
      </c>
      <c r="Q3222" s="22">
        <v>59306</v>
      </c>
    </row>
    <row r="3223" spans="1:17" ht="187.2" x14ac:dyDescent="0.3">
      <c r="A3223" s="22" t="s">
        <v>7870</v>
      </c>
      <c r="B3223" s="22" t="s">
        <v>7872</v>
      </c>
      <c r="C3223" s="22" t="s">
        <v>7716</v>
      </c>
      <c r="D3223" s="22" t="s">
        <v>7710</v>
      </c>
      <c r="E3223" s="22" t="s">
        <v>176</v>
      </c>
      <c r="F3223" s="24" t="s">
        <v>177</v>
      </c>
      <c r="G3223" s="23" t="s">
        <v>32</v>
      </c>
      <c r="H3223" s="24" t="s">
        <v>175</v>
      </c>
      <c r="I3223" s="22" t="s">
        <v>172</v>
      </c>
      <c r="J3223" s="22" t="s">
        <v>85</v>
      </c>
      <c r="K3223" s="24" t="s">
        <v>7946</v>
      </c>
      <c r="L3223" s="24"/>
      <c r="M3223" s="25" t="s">
        <v>178</v>
      </c>
      <c r="N3223" s="22"/>
      <c r="O3223" s="22" t="s">
        <v>179</v>
      </c>
      <c r="P3223" s="22" t="str">
        <f>HYPERLINK("https://ceds.ed.gov/cedselementdetails.aspx?termid=21040")</f>
        <v>https://ceds.ed.gov/cedselementdetails.aspx?termid=21040</v>
      </c>
      <c r="Q3223" s="22">
        <v>59308</v>
      </c>
    </row>
    <row r="3224" spans="1:17" ht="409.6" x14ac:dyDescent="0.3">
      <c r="A3224" s="22" t="s">
        <v>7870</v>
      </c>
      <c r="B3224" s="22" t="s">
        <v>7872</v>
      </c>
      <c r="C3224" s="22" t="s">
        <v>7716</v>
      </c>
      <c r="D3224" s="22" t="s">
        <v>7710</v>
      </c>
      <c r="E3224" s="22" t="s">
        <v>6941</v>
      </c>
      <c r="F3224" s="24" t="s">
        <v>6942</v>
      </c>
      <c r="G3224" s="26" t="s">
        <v>8533</v>
      </c>
      <c r="H3224" s="24" t="s">
        <v>6945</v>
      </c>
      <c r="I3224" s="22" t="s">
        <v>172</v>
      </c>
      <c r="J3224" s="22"/>
      <c r="K3224" s="24" t="s">
        <v>8327</v>
      </c>
      <c r="L3224" s="24"/>
      <c r="M3224" s="25" t="s">
        <v>6943</v>
      </c>
      <c r="N3224" s="22"/>
      <c r="O3224" s="22" t="s">
        <v>6944</v>
      </c>
      <c r="P3224" s="22" t="str">
        <f>HYPERLINK("https://ceds.ed.gov/cedselementdetails.aspx?termid=21267")</f>
        <v>https://ceds.ed.gov/cedselementdetails.aspx?termid=21267</v>
      </c>
      <c r="Q3224" s="22">
        <v>59312</v>
      </c>
    </row>
    <row r="3225" spans="1:17" ht="187.2" x14ac:dyDescent="0.3">
      <c r="A3225" s="22" t="s">
        <v>7870</v>
      </c>
      <c r="B3225" s="22" t="s">
        <v>7872</v>
      </c>
      <c r="C3225" s="22" t="s">
        <v>7716</v>
      </c>
      <c r="D3225" s="22" t="s">
        <v>7710</v>
      </c>
      <c r="E3225" s="22" t="s">
        <v>184</v>
      </c>
      <c r="F3225" s="24" t="s">
        <v>185</v>
      </c>
      <c r="G3225" s="23" t="s">
        <v>32</v>
      </c>
      <c r="H3225" s="24" t="s">
        <v>175</v>
      </c>
      <c r="I3225" s="22" t="s">
        <v>172</v>
      </c>
      <c r="J3225" s="22" t="s">
        <v>186</v>
      </c>
      <c r="K3225" s="24" t="s">
        <v>7946</v>
      </c>
      <c r="L3225" s="24"/>
      <c r="M3225" s="25" t="s">
        <v>187</v>
      </c>
      <c r="N3225" s="22"/>
      <c r="O3225" s="22" t="s">
        <v>188</v>
      </c>
      <c r="P3225" s="22" t="str">
        <f>HYPERLINK("https://ceds.ed.gov/cedselementdetails.aspx?termid=21214")</f>
        <v>https://ceds.ed.gov/cedselementdetails.aspx?termid=21214</v>
      </c>
      <c r="Q3225" s="22">
        <v>59314</v>
      </c>
    </row>
    <row r="3226" spans="1:17" ht="187.2" x14ac:dyDescent="0.3">
      <c r="A3226" s="22" t="s">
        <v>7870</v>
      </c>
      <c r="B3226" s="22" t="s">
        <v>7872</v>
      </c>
      <c r="C3226" s="22" t="s">
        <v>7716</v>
      </c>
      <c r="D3226" s="22" t="s">
        <v>7710</v>
      </c>
      <c r="E3226" s="22" t="s">
        <v>180</v>
      </c>
      <c r="F3226" s="24" t="s">
        <v>181</v>
      </c>
      <c r="G3226" s="23" t="s">
        <v>32</v>
      </c>
      <c r="H3226" s="24" t="s">
        <v>175</v>
      </c>
      <c r="I3226" s="22" t="s">
        <v>172</v>
      </c>
      <c r="J3226" s="22" t="s">
        <v>85</v>
      </c>
      <c r="K3226" s="24" t="s">
        <v>7946</v>
      </c>
      <c r="L3226" s="24"/>
      <c r="M3226" s="25" t="s">
        <v>182</v>
      </c>
      <c r="N3226" s="22"/>
      <c r="O3226" s="22" t="s">
        <v>183</v>
      </c>
      <c r="P3226" s="22" t="str">
        <f>HYPERLINK("https://ceds.ed.gov/cedselementdetails.aspx?termid=21190")</f>
        <v>https://ceds.ed.gov/cedselementdetails.aspx?termid=21190</v>
      </c>
      <c r="Q3226" s="22">
        <v>59310</v>
      </c>
    </row>
    <row r="3227" spans="1:17" ht="409.6" x14ac:dyDescent="0.3">
      <c r="A3227" s="22" t="s">
        <v>7870</v>
      </c>
      <c r="B3227" s="22" t="s">
        <v>7872</v>
      </c>
      <c r="C3227" s="22" t="s">
        <v>7716</v>
      </c>
      <c r="D3227" s="22" t="s">
        <v>7710</v>
      </c>
      <c r="E3227" s="22" t="s">
        <v>2526</v>
      </c>
      <c r="F3227" s="24" t="s">
        <v>2527</v>
      </c>
      <c r="G3227" s="26" t="s">
        <v>8743</v>
      </c>
      <c r="H3227" s="24" t="s">
        <v>2530</v>
      </c>
      <c r="I3227" s="22"/>
      <c r="J3227" s="22"/>
      <c r="K3227" s="24"/>
      <c r="L3227" s="24" t="s">
        <v>8055</v>
      </c>
      <c r="M3227" s="25" t="s">
        <v>2528</v>
      </c>
      <c r="N3227" s="22"/>
      <c r="O3227" s="22" t="s">
        <v>2529</v>
      </c>
      <c r="P3227" s="22" t="str">
        <f>HYPERLINK("https://ceds.ed.gov/cedselementdetails.aspx?termid=21050")</f>
        <v>https://ceds.ed.gov/cedselementdetails.aspx?termid=21050</v>
      </c>
      <c r="Q3227" s="22">
        <v>60138</v>
      </c>
    </row>
    <row r="3228" spans="1:17" ht="57.6" x14ac:dyDescent="0.3">
      <c r="A3228" s="22" t="s">
        <v>7870</v>
      </c>
      <c r="B3228" s="22" t="s">
        <v>7872</v>
      </c>
      <c r="C3228" s="22" t="s">
        <v>7716</v>
      </c>
      <c r="D3228" s="22" t="s">
        <v>7710</v>
      </c>
      <c r="E3228" s="22" t="s">
        <v>4982</v>
      </c>
      <c r="F3228" s="24" t="s">
        <v>4983</v>
      </c>
      <c r="G3228" s="23" t="s">
        <v>32</v>
      </c>
      <c r="H3228" s="22"/>
      <c r="I3228" s="22"/>
      <c r="J3228" s="22" t="s">
        <v>1165</v>
      </c>
      <c r="K3228" s="24"/>
      <c r="L3228" s="24"/>
      <c r="M3228" s="25" t="s">
        <v>4984</v>
      </c>
      <c r="N3228" s="22"/>
      <c r="O3228" s="22" t="s">
        <v>4982</v>
      </c>
      <c r="P3228" s="22" t="str">
        <f>HYPERLINK("https://ceds.ed.gov/cedselementdetails.aspx?termid=21599")</f>
        <v>https://ceds.ed.gov/cedselementdetails.aspx?termid=21599</v>
      </c>
      <c r="Q3228" s="22">
        <v>62266</v>
      </c>
    </row>
    <row r="3229" spans="1:17" ht="57.6" x14ac:dyDescent="0.3">
      <c r="A3229" s="22" t="s">
        <v>7870</v>
      </c>
      <c r="B3229" s="22" t="s">
        <v>7872</v>
      </c>
      <c r="C3229" s="22" t="s">
        <v>7716</v>
      </c>
      <c r="D3229" s="22" t="s">
        <v>7710</v>
      </c>
      <c r="E3229" s="22" t="s">
        <v>5372</v>
      </c>
      <c r="F3229" s="24" t="s">
        <v>5373</v>
      </c>
      <c r="G3229" s="23" t="s">
        <v>32</v>
      </c>
      <c r="H3229" s="22"/>
      <c r="I3229" s="22"/>
      <c r="J3229" s="22" t="s">
        <v>1165</v>
      </c>
      <c r="K3229" s="24"/>
      <c r="L3229" s="24"/>
      <c r="M3229" s="25" t="s">
        <v>5374</v>
      </c>
      <c r="N3229" s="22"/>
      <c r="O3229" s="22" t="s">
        <v>5372</v>
      </c>
      <c r="P3229" s="22" t="str">
        <f>HYPERLINK("https://ceds.ed.gov/cedselementdetails.aspx?termid=21600")</f>
        <v>https://ceds.ed.gov/cedselementdetails.aspx?termid=21600</v>
      </c>
      <c r="Q3229" s="22">
        <v>62289</v>
      </c>
    </row>
    <row r="3230" spans="1:17" ht="158.4" x14ac:dyDescent="0.3">
      <c r="A3230" s="22" t="s">
        <v>7870</v>
      </c>
      <c r="B3230" s="22" t="s">
        <v>7872</v>
      </c>
      <c r="C3230" s="22" t="s">
        <v>7716</v>
      </c>
      <c r="D3230" s="22" t="s">
        <v>7710</v>
      </c>
      <c r="E3230" s="22" t="s">
        <v>2536</v>
      </c>
      <c r="F3230" s="24" t="s">
        <v>2537</v>
      </c>
      <c r="G3230" s="23" t="s">
        <v>32</v>
      </c>
      <c r="H3230" s="22"/>
      <c r="I3230" s="22"/>
      <c r="J3230" s="22" t="s">
        <v>2538</v>
      </c>
      <c r="K3230" s="24"/>
      <c r="L3230" s="24"/>
      <c r="M3230" s="25" t="s">
        <v>2539</v>
      </c>
      <c r="N3230" s="22"/>
      <c r="O3230" s="22" t="s">
        <v>2540</v>
      </c>
      <c r="P3230" s="22" t="str">
        <f>HYPERLINK("https://ceds.ed.gov/cedselementdetails.aspx?termid=22176")</f>
        <v>https://ceds.ed.gov/cedselementdetails.aspx?termid=22176</v>
      </c>
      <c r="Q3230" s="22">
        <v>63216</v>
      </c>
    </row>
    <row r="3231" spans="1:17" ht="57.6" x14ac:dyDescent="0.3">
      <c r="A3231" s="22" t="s">
        <v>7870</v>
      </c>
      <c r="B3231" s="22" t="s">
        <v>7872</v>
      </c>
      <c r="C3231" s="22" t="s">
        <v>7716</v>
      </c>
      <c r="D3231" s="22" t="s">
        <v>7710</v>
      </c>
      <c r="E3231" s="22" t="s">
        <v>3228</v>
      </c>
      <c r="F3231" s="24" t="s">
        <v>3229</v>
      </c>
      <c r="G3231" s="26" t="s">
        <v>3039</v>
      </c>
      <c r="H3231" s="22"/>
      <c r="I3231" s="22" t="s">
        <v>172</v>
      </c>
      <c r="J3231" s="22"/>
      <c r="K3231" s="24" t="s">
        <v>7946</v>
      </c>
      <c r="L3231" s="24"/>
      <c r="M3231" s="25" t="s">
        <v>3230</v>
      </c>
      <c r="N3231" s="22"/>
      <c r="O3231" s="22" t="s">
        <v>3231</v>
      </c>
      <c r="P3231" s="22" t="str">
        <f>HYPERLINK("https://ceds.ed.gov/cedselementdetails.aspx?termid=22905")</f>
        <v>https://ceds.ed.gov/cedselementdetails.aspx?termid=22905</v>
      </c>
      <c r="Q3231" s="22">
        <v>63217</v>
      </c>
    </row>
    <row r="3232" spans="1:17" ht="86.4" x14ac:dyDescent="0.3">
      <c r="A3232" s="22" t="s">
        <v>7870</v>
      </c>
      <c r="B3232" s="22" t="s">
        <v>7872</v>
      </c>
      <c r="C3232" s="22" t="s">
        <v>7717</v>
      </c>
      <c r="D3232" s="22" t="s">
        <v>7710</v>
      </c>
      <c r="E3232" s="22" t="s">
        <v>7168</v>
      </c>
      <c r="F3232" s="24" t="s">
        <v>7169</v>
      </c>
      <c r="G3232" s="26" t="s">
        <v>9168</v>
      </c>
      <c r="H3232" s="24" t="s">
        <v>64</v>
      </c>
      <c r="I3232" s="22"/>
      <c r="J3232" s="22" t="s">
        <v>2543</v>
      </c>
      <c r="K3232" s="24"/>
      <c r="L3232" s="24"/>
      <c r="M3232" s="25" t="s">
        <v>7170</v>
      </c>
      <c r="N3232" s="22"/>
      <c r="O3232" s="22" t="s">
        <v>7171</v>
      </c>
      <c r="P3232" s="22" t="str">
        <f>HYPERLINK("https://ceds.ed.gov/cedselementdetails.aspx?termid=21280")</f>
        <v>https://ceds.ed.gov/cedselementdetails.aspx?termid=21280</v>
      </c>
      <c r="Q3232" s="22">
        <v>59320</v>
      </c>
    </row>
    <row r="3233" spans="1:17" ht="72" x14ac:dyDescent="0.3">
      <c r="A3233" s="22" t="s">
        <v>7870</v>
      </c>
      <c r="B3233" s="22" t="s">
        <v>7872</v>
      </c>
      <c r="C3233" s="22" t="s">
        <v>7717</v>
      </c>
      <c r="D3233" s="22" t="s">
        <v>7710</v>
      </c>
      <c r="E3233" s="22" t="s">
        <v>5965</v>
      </c>
      <c r="F3233" s="24" t="s">
        <v>5966</v>
      </c>
      <c r="G3233" s="26" t="s">
        <v>22</v>
      </c>
      <c r="H3233" s="24" t="s">
        <v>64</v>
      </c>
      <c r="I3233" s="22"/>
      <c r="J3233" s="22"/>
      <c r="K3233" s="24"/>
      <c r="L3233" s="24"/>
      <c r="M3233" s="25" t="s">
        <v>5967</v>
      </c>
      <c r="N3233" s="22"/>
      <c r="O3233" s="22" t="s">
        <v>5968</v>
      </c>
      <c r="P3233" s="22" t="str">
        <f>HYPERLINK("https://ceds.ed.gov/cedselementdetails.aspx?termid=21219")</f>
        <v>https://ceds.ed.gov/cedselementdetails.aspx?termid=21219</v>
      </c>
      <c r="Q3233" s="22">
        <v>59321</v>
      </c>
    </row>
    <row r="3234" spans="1:17" ht="72" x14ac:dyDescent="0.3">
      <c r="A3234" s="22" t="s">
        <v>7870</v>
      </c>
      <c r="B3234" s="22" t="s">
        <v>7872</v>
      </c>
      <c r="C3234" s="22" t="s">
        <v>7717</v>
      </c>
      <c r="D3234" s="22" t="s">
        <v>7710</v>
      </c>
      <c r="E3234" s="22" t="s">
        <v>7159</v>
      </c>
      <c r="F3234" s="24" t="s">
        <v>7160</v>
      </c>
      <c r="G3234" s="23" t="s">
        <v>32</v>
      </c>
      <c r="H3234" s="24" t="s">
        <v>64</v>
      </c>
      <c r="I3234" s="22"/>
      <c r="J3234" s="22" t="s">
        <v>7161</v>
      </c>
      <c r="K3234" s="24"/>
      <c r="L3234" s="24"/>
      <c r="M3234" s="25" t="s">
        <v>7162</v>
      </c>
      <c r="N3234" s="22"/>
      <c r="O3234" s="22" t="s">
        <v>7163</v>
      </c>
      <c r="P3234" s="22" t="str">
        <f>HYPERLINK("https://ceds.ed.gov/cedselementdetails.aspx?termid=21279")</f>
        <v>https://ceds.ed.gov/cedselementdetails.aspx?termid=21279</v>
      </c>
      <c r="Q3234" s="22">
        <v>59319</v>
      </c>
    </row>
    <row r="3235" spans="1:17" ht="57.6" x14ac:dyDescent="0.3">
      <c r="A3235" s="22" t="s">
        <v>7870</v>
      </c>
      <c r="B3235" s="22" t="s">
        <v>7872</v>
      </c>
      <c r="C3235" s="22" t="s">
        <v>7717</v>
      </c>
      <c r="D3235" s="22" t="s">
        <v>7710</v>
      </c>
      <c r="E3235" s="22" t="s">
        <v>3228</v>
      </c>
      <c r="F3235" s="24" t="s">
        <v>3229</v>
      </c>
      <c r="G3235" s="26" t="s">
        <v>3039</v>
      </c>
      <c r="H3235" s="22"/>
      <c r="I3235" s="22" t="s">
        <v>172</v>
      </c>
      <c r="J3235" s="22"/>
      <c r="K3235" s="24" t="s">
        <v>7946</v>
      </c>
      <c r="L3235" s="24"/>
      <c r="M3235" s="25" t="s">
        <v>3230</v>
      </c>
      <c r="N3235" s="22"/>
      <c r="O3235" s="22" t="s">
        <v>3231</v>
      </c>
      <c r="P3235" s="22" t="str">
        <f>HYPERLINK("https://ceds.ed.gov/cedselementdetails.aspx?termid=22905")</f>
        <v>https://ceds.ed.gov/cedselementdetails.aspx?termid=22905</v>
      </c>
      <c r="Q3235" s="22">
        <v>63219</v>
      </c>
    </row>
    <row r="3236" spans="1:17" ht="57.6" x14ac:dyDescent="0.3">
      <c r="A3236" s="22" t="s">
        <v>7870</v>
      </c>
      <c r="B3236" s="22" t="s">
        <v>7872</v>
      </c>
      <c r="C3236" s="22" t="s">
        <v>7717</v>
      </c>
      <c r="D3236" s="22" t="s">
        <v>7710</v>
      </c>
      <c r="E3236" s="22" t="s">
        <v>7164</v>
      </c>
      <c r="F3236" s="24" t="s">
        <v>7165</v>
      </c>
      <c r="G3236" s="26" t="s">
        <v>9167</v>
      </c>
      <c r="H3236" s="22"/>
      <c r="I3236" s="22"/>
      <c r="J3236" s="22"/>
      <c r="K3236" s="24"/>
      <c r="L3236" s="24"/>
      <c r="M3236" s="25" t="s">
        <v>7166</v>
      </c>
      <c r="N3236" s="22"/>
      <c r="O3236" s="22" t="s">
        <v>7167</v>
      </c>
      <c r="P3236" s="22" t="str">
        <f>HYPERLINK("https://ceds.ed.gov/cedselementdetails.aspx?termid=22911")</f>
        <v>https://ceds.ed.gov/cedselementdetails.aspx?termid=22911</v>
      </c>
      <c r="Q3236" s="22">
        <v>63220</v>
      </c>
    </row>
    <row r="3237" spans="1:17" ht="72" x14ac:dyDescent="0.3">
      <c r="A3237" s="22" t="s">
        <v>7870</v>
      </c>
      <c r="B3237" s="22" t="s">
        <v>7872</v>
      </c>
      <c r="C3237" s="22" t="s">
        <v>7718</v>
      </c>
      <c r="D3237" s="22" t="s">
        <v>7710</v>
      </c>
      <c r="E3237" s="22" t="s">
        <v>3467</v>
      </c>
      <c r="F3237" s="24" t="s">
        <v>3468</v>
      </c>
      <c r="G3237" s="26" t="s">
        <v>8430</v>
      </c>
      <c r="H3237" s="24" t="s">
        <v>64</v>
      </c>
      <c r="I3237" s="22" t="s">
        <v>172</v>
      </c>
      <c r="J3237" s="22"/>
      <c r="K3237" s="24" t="s">
        <v>7946</v>
      </c>
      <c r="L3237" s="24"/>
      <c r="M3237" s="25" t="s">
        <v>3469</v>
      </c>
      <c r="N3237" s="22" t="s">
        <v>3470</v>
      </c>
      <c r="O3237" s="22" t="s">
        <v>3471</v>
      </c>
      <c r="P3237" s="22" t="str">
        <f>HYPERLINK("https://ceds.ed.gov/cedselementdetails.aspx?termid=21089")</f>
        <v>https://ceds.ed.gov/cedselementdetails.aspx?termid=21089</v>
      </c>
      <c r="Q3237" s="22">
        <v>59317</v>
      </c>
    </row>
    <row r="3238" spans="1:17" ht="72" x14ac:dyDescent="0.3">
      <c r="A3238" s="22" t="s">
        <v>7870</v>
      </c>
      <c r="B3238" s="22" t="s">
        <v>7872</v>
      </c>
      <c r="C3238" s="22" t="s">
        <v>7718</v>
      </c>
      <c r="D3238" s="22" t="s">
        <v>7710</v>
      </c>
      <c r="E3238" s="22" t="s">
        <v>3461</v>
      </c>
      <c r="F3238" s="24" t="s">
        <v>3462</v>
      </c>
      <c r="G3238" s="23" t="s">
        <v>32</v>
      </c>
      <c r="H3238" s="24" t="s">
        <v>64</v>
      </c>
      <c r="I3238" s="22" t="s">
        <v>172</v>
      </c>
      <c r="J3238" s="22" t="s">
        <v>3463</v>
      </c>
      <c r="K3238" s="24" t="s">
        <v>7946</v>
      </c>
      <c r="L3238" s="24"/>
      <c r="M3238" s="25" t="s">
        <v>3464</v>
      </c>
      <c r="N3238" s="22" t="s">
        <v>3465</v>
      </c>
      <c r="O3238" s="22" t="s">
        <v>3466</v>
      </c>
      <c r="P3238" s="22" t="str">
        <f>HYPERLINK("https://ceds.ed.gov/cedselementdetails.aspx?termid=21088")</f>
        <v>https://ceds.ed.gov/cedselementdetails.aspx?termid=21088</v>
      </c>
      <c r="Q3238" s="22">
        <v>59315</v>
      </c>
    </row>
    <row r="3239" spans="1:17" ht="57.6" x14ac:dyDescent="0.3">
      <c r="A3239" s="22" t="s">
        <v>7870</v>
      </c>
      <c r="B3239" s="22" t="s">
        <v>7872</v>
      </c>
      <c r="C3239" s="22" t="s">
        <v>7718</v>
      </c>
      <c r="D3239" s="22" t="s">
        <v>7710</v>
      </c>
      <c r="E3239" s="22" t="s">
        <v>3228</v>
      </c>
      <c r="F3239" s="24" t="s">
        <v>3229</v>
      </c>
      <c r="G3239" s="26" t="s">
        <v>3039</v>
      </c>
      <c r="H3239" s="22"/>
      <c r="I3239" s="22" t="s">
        <v>172</v>
      </c>
      <c r="J3239" s="22"/>
      <c r="K3239" s="24" t="s">
        <v>7946</v>
      </c>
      <c r="L3239" s="24"/>
      <c r="M3239" s="25" t="s">
        <v>3230</v>
      </c>
      <c r="N3239" s="22"/>
      <c r="O3239" s="22" t="s">
        <v>3231</v>
      </c>
      <c r="P3239" s="22" t="str">
        <f>HYPERLINK("https://ceds.ed.gov/cedselementdetails.aspx?termid=22905")</f>
        <v>https://ceds.ed.gov/cedselementdetails.aspx?termid=22905</v>
      </c>
      <c r="Q3239" s="22">
        <v>63218</v>
      </c>
    </row>
    <row r="3240" spans="1:17" ht="201.6" x14ac:dyDescent="0.3">
      <c r="A3240" s="22" t="s">
        <v>7870</v>
      </c>
      <c r="B3240" s="22" t="s">
        <v>7872</v>
      </c>
      <c r="C3240" s="22" t="s">
        <v>7742</v>
      </c>
      <c r="D3240" s="22" t="s">
        <v>7710</v>
      </c>
      <c r="E3240" s="22" t="s">
        <v>1544</v>
      </c>
      <c r="F3240" s="24" t="s">
        <v>1545</v>
      </c>
      <c r="G3240" s="23" t="s">
        <v>32</v>
      </c>
      <c r="H3240" s="24" t="s">
        <v>1547</v>
      </c>
      <c r="I3240" s="22"/>
      <c r="J3240" s="22" t="s">
        <v>118</v>
      </c>
      <c r="K3240" s="24"/>
      <c r="L3240" s="24"/>
      <c r="M3240" s="25" t="s">
        <v>1546</v>
      </c>
      <c r="N3240" s="22"/>
      <c r="O3240" s="22" t="s">
        <v>1544</v>
      </c>
      <c r="P3240" s="22" t="str">
        <f>HYPERLINK("https://ceds.ed.gov/cedselementdetails.aspx?termid=21033")</f>
        <v>https://ceds.ed.gov/cedselementdetails.aspx?termid=21033</v>
      </c>
      <c r="Q3240" s="22">
        <v>59322</v>
      </c>
    </row>
    <row r="3241" spans="1:17" ht="216" x14ac:dyDescent="0.3">
      <c r="A3241" s="22" t="s">
        <v>7870</v>
      </c>
      <c r="B3241" s="22" t="s">
        <v>7872</v>
      </c>
      <c r="C3241" s="22" t="s">
        <v>7742</v>
      </c>
      <c r="D3241" s="22" t="s">
        <v>7710</v>
      </c>
      <c r="E3241" s="22" t="s">
        <v>6763</v>
      </c>
      <c r="F3241" s="24" t="s">
        <v>6764</v>
      </c>
      <c r="G3241" s="26" t="s">
        <v>9142</v>
      </c>
      <c r="H3241" s="24" t="s">
        <v>6767</v>
      </c>
      <c r="I3241" s="22"/>
      <c r="J3241" s="22"/>
      <c r="K3241" s="24"/>
      <c r="L3241" s="24" t="s">
        <v>6765</v>
      </c>
      <c r="M3241" s="25" t="s">
        <v>6766</v>
      </c>
      <c r="N3241" s="22"/>
      <c r="O3241" s="22" t="s">
        <v>6763</v>
      </c>
      <c r="P3241" s="22" t="str">
        <f>HYPERLINK("https://ceds.ed.gov/cedselementdetails.aspx?termid=21255")</f>
        <v>https://ceds.ed.gov/cedselementdetails.aspx?termid=21255</v>
      </c>
      <c r="Q3241" s="22">
        <v>59323</v>
      </c>
    </row>
    <row r="3242" spans="1:17" ht="201.6" x14ac:dyDescent="0.3">
      <c r="A3242" s="22" t="s">
        <v>7870</v>
      </c>
      <c r="B3242" s="22" t="s">
        <v>7872</v>
      </c>
      <c r="C3242" s="22" t="s">
        <v>7742</v>
      </c>
      <c r="D3242" s="22" t="s">
        <v>7710</v>
      </c>
      <c r="E3242" s="22" t="s">
        <v>360</v>
      </c>
      <c r="F3242" s="24" t="s">
        <v>361</v>
      </c>
      <c r="G3242" s="26" t="s">
        <v>8601</v>
      </c>
      <c r="H3242" s="24" t="s">
        <v>365</v>
      </c>
      <c r="I3242" s="22"/>
      <c r="J3242" s="22"/>
      <c r="K3242" s="24"/>
      <c r="L3242" s="24" t="s">
        <v>7958</v>
      </c>
      <c r="M3242" s="25" t="s">
        <v>362</v>
      </c>
      <c r="N3242" s="22" t="s">
        <v>363</v>
      </c>
      <c r="O3242" s="22" t="s">
        <v>364</v>
      </c>
      <c r="P3242" s="22" t="str">
        <f>HYPERLINK("https://ceds.ed.gov/cedselementdetails.aspx?termid=21655")</f>
        <v>https://ceds.ed.gov/cedselementdetails.aspx?termid=21655</v>
      </c>
      <c r="Q3242" s="22">
        <v>59324</v>
      </c>
    </row>
    <row r="3243" spans="1:17" ht="201.6" x14ac:dyDescent="0.3">
      <c r="A3243" s="22" t="s">
        <v>7870</v>
      </c>
      <c r="B3243" s="22" t="s">
        <v>7872</v>
      </c>
      <c r="C3243" s="22" t="s">
        <v>7742</v>
      </c>
      <c r="D3243" s="22" t="s">
        <v>7710</v>
      </c>
      <c r="E3243" s="22" t="s">
        <v>400</v>
      </c>
      <c r="F3243" s="24" t="s">
        <v>401</v>
      </c>
      <c r="G3243" s="26" t="s">
        <v>8601</v>
      </c>
      <c r="H3243" s="24" t="s">
        <v>365</v>
      </c>
      <c r="I3243" s="22"/>
      <c r="J3243" s="22"/>
      <c r="K3243" s="24"/>
      <c r="L3243" s="24" t="s">
        <v>7958</v>
      </c>
      <c r="M3243" s="25" t="s">
        <v>402</v>
      </c>
      <c r="N3243" s="22" t="s">
        <v>403</v>
      </c>
      <c r="O3243" s="22" t="s">
        <v>400</v>
      </c>
      <c r="P3243" s="22" t="str">
        <f>HYPERLINK("https://ceds.ed.gov/cedselementdetails.aspx?termid=21656")</f>
        <v>https://ceds.ed.gov/cedselementdetails.aspx?termid=21656</v>
      </c>
      <c r="Q3243" s="22">
        <v>59325</v>
      </c>
    </row>
    <row r="3244" spans="1:17" ht="201.6" x14ac:dyDescent="0.3">
      <c r="A3244" s="22" t="s">
        <v>7870</v>
      </c>
      <c r="B3244" s="22" t="s">
        <v>7872</v>
      </c>
      <c r="C3244" s="22" t="s">
        <v>7742</v>
      </c>
      <c r="D3244" s="22" t="s">
        <v>7710</v>
      </c>
      <c r="E3244" s="22" t="s">
        <v>1554</v>
      </c>
      <c r="F3244" s="24" t="s">
        <v>1555</v>
      </c>
      <c r="G3244" s="26" t="s">
        <v>8601</v>
      </c>
      <c r="H3244" s="24" t="s">
        <v>365</v>
      </c>
      <c r="I3244" s="22"/>
      <c r="J3244" s="22"/>
      <c r="K3244" s="24"/>
      <c r="L3244" s="24" t="s">
        <v>7958</v>
      </c>
      <c r="M3244" s="25" t="s">
        <v>1556</v>
      </c>
      <c r="N3244" s="22" t="s">
        <v>1557</v>
      </c>
      <c r="O3244" s="22" t="s">
        <v>1558</v>
      </c>
      <c r="P3244" s="22" t="str">
        <f>HYPERLINK("https://ceds.ed.gov/cedselementdetails.aspx?termid=21657")</f>
        <v>https://ceds.ed.gov/cedselementdetails.aspx?termid=21657</v>
      </c>
      <c r="Q3244" s="22">
        <v>59326</v>
      </c>
    </row>
    <row r="3245" spans="1:17" ht="201.6" x14ac:dyDescent="0.3">
      <c r="A3245" s="22" t="s">
        <v>7870</v>
      </c>
      <c r="B3245" s="22" t="s">
        <v>7872</v>
      </c>
      <c r="C3245" s="22" t="s">
        <v>7742</v>
      </c>
      <c r="D3245" s="22" t="s">
        <v>7710</v>
      </c>
      <c r="E3245" s="22" t="s">
        <v>5548</v>
      </c>
      <c r="F3245" s="24" t="s">
        <v>5549</v>
      </c>
      <c r="G3245" s="26" t="s">
        <v>8601</v>
      </c>
      <c r="H3245" s="24" t="s">
        <v>365</v>
      </c>
      <c r="I3245" s="22"/>
      <c r="J3245" s="22"/>
      <c r="K3245" s="24"/>
      <c r="L3245" s="24" t="s">
        <v>7958</v>
      </c>
      <c r="M3245" s="25" t="s">
        <v>5550</v>
      </c>
      <c r="N3245" s="22" t="s">
        <v>5551</v>
      </c>
      <c r="O3245" s="22" t="s">
        <v>5552</v>
      </c>
      <c r="P3245" s="22" t="str">
        <f>HYPERLINK("https://ceds.ed.gov/cedselementdetails.aspx?termid=21658")</f>
        <v>https://ceds.ed.gov/cedselementdetails.aspx?termid=21658</v>
      </c>
      <c r="Q3245" s="22">
        <v>59327</v>
      </c>
    </row>
    <row r="3246" spans="1:17" ht="201.6" x14ac:dyDescent="0.3">
      <c r="A3246" s="22" t="s">
        <v>7870</v>
      </c>
      <c r="B3246" s="22" t="s">
        <v>7872</v>
      </c>
      <c r="C3246" s="22" t="s">
        <v>7742</v>
      </c>
      <c r="D3246" s="22" t="s">
        <v>7710</v>
      </c>
      <c r="E3246" s="22" t="s">
        <v>7390</v>
      </c>
      <c r="F3246" s="24" t="s">
        <v>7391</v>
      </c>
      <c r="G3246" s="26" t="s">
        <v>8601</v>
      </c>
      <c r="H3246" s="24" t="s">
        <v>365</v>
      </c>
      <c r="I3246" s="22"/>
      <c r="J3246" s="22"/>
      <c r="K3246" s="24"/>
      <c r="L3246" s="24" t="s">
        <v>7958</v>
      </c>
      <c r="M3246" s="25" t="s">
        <v>7392</v>
      </c>
      <c r="N3246" s="22" t="s">
        <v>7393</v>
      </c>
      <c r="O3246" s="22" t="s">
        <v>7390</v>
      </c>
      <c r="P3246" s="22" t="str">
        <f>HYPERLINK("https://ceds.ed.gov/cedselementdetails.aspx?termid=21659")</f>
        <v>https://ceds.ed.gov/cedselementdetails.aspx?termid=21659</v>
      </c>
      <c r="Q3246" s="22">
        <v>59328</v>
      </c>
    </row>
    <row r="3247" spans="1:17" ht="201.6" x14ac:dyDescent="0.3">
      <c r="A3247" s="22" t="s">
        <v>7870</v>
      </c>
      <c r="B3247" s="22" t="s">
        <v>7872</v>
      </c>
      <c r="C3247" s="22" t="s">
        <v>7742</v>
      </c>
      <c r="D3247" s="22" t="s">
        <v>7710</v>
      </c>
      <c r="E3247" s="22" t="s">
        <v>4347</v>
      </c>
      <c r="F3247" s="24" t="s">
        <v>4348</v>
      </c>
      <c r="G3247" s="26" t="s">
        <v>8601</v>
      </c>
      <c r="H3247" s="24" t="s">
        <v>365</v>
      </c>
      <c r="I3247" s="22"/>
      <c r="J3247" s="22"/>
      <c r="K3247" s="24"/>
      <c r="L3247" s="24" t="s">
        <v>7958</v>
      </c>
      <c r="M3247" s="25" t="s">
        <v>4349</v>
      </c>
      <c r="N3247" s="22"/>
      <c r="O3247" s="22" t="s">
        <v>4350</v>
      </c>
      <c r="P3247" s="22" t="str">
        <f>HYPERLINK("https://ceds.ed.gov/cedselementdetails.aspx?termid=21144")</f>
        <v>https://ceds.ed.gov/cedselementdetails.aspx?termid=21144</v>
      </c>
      <c r="Q3247" s="22">
        <v>59329</v>
      </c>
    </row>
    <row r="3248" spans="1:17" ht="100.8" x14ac:dyDescent="0.3">
      <c r="A3248" s="22" t="s">
        <v>7870</v>
      </c>
      <c r="B3248" s="22" t="s">
        <v>7872</v>
      </c>
      <c r="C3248" s="22" t="s">
        <v>7742</v>
      </c>
      <c r="D3248" s="22" t="s">
        <v>7710</v>
      </c>
      <c r="E3248" s="22" t="s">
        <v>5486</v>
      </c>
      <c r="F3248" s="24" t="s">
        <v>8254</v>
      </c>
      <c r="G3248" s="26" t="s">
        <v>9036</v>
      </c>
      <c r="H3248" s="22"/>
      <c r="I3248" s="22"/>
      <c r="J3248" s="22"/>
      <c r="K3248" s="24"/>
      <c r="L3248" s="24"/>
      <c r="M3248" s="25" t="s">
        <v>5487</v>
      </c>
      <c r="N3248" s="22"/>
      <c r="O3248" s="22" t="s">
        <v>5488</v>
      </c>
      <c r="P3248" s="22" t="str">
        <f>HYPERLINK("https://ceds.ed.gov/cedselementdetails.aspx?termid=22621")</f>
        <v>https://ceds.ed.gov/cedselementdetails.aspx?termid=22621</v>
      </c>
      <c r="Q3248" s="22">
        <v>62311</v>
      </c>
    </row>
    <row r="3249" spans="1:17" ht="57.6" x14ac:dyDescent="0.3">
      <c r="A3249" s="22" t="s">
        <v>7870</v>
      </c>
      <c r="B3249" s="22" t="s">
        <v>7872</v>
      </c>
      <c r="C3249" s="22" t="s">
        <v>7742</v>
      </c>
      <c r="D3249" s="22" t="s">
        <v>7710</v>
      </c>
      <c r="E3249" s="22" t="s">
        <v>5481</v>
      </c>
      <c r="F3249" s="24" t="s">
        <v>5482</v>
      </c>
      <c r="G3249" s="26" t="s">
        <v>9035</v>
      </c>
      <c r="H3249" s="22"/>
      <c r="I3249" s="22"/>
      <c r="J3249" s="22"/>
      <c r="K3249" s="24"/>
      <c r="L3249" s="24"/>
      <c r="M3249" s="25" t="s">
        <v>5484</v>
      </c>
      <c r="N3249" s="22"/>
      <c r="O3249" s="22" t="s">
        <v>5485</v>
      </c>
      <c r="P3249" s="22" t="str">
        <f>HYPERLINK("https://ceds.ed.gov/cedselementdetails.aspx?termid=22556")</f>
        <v>https://ceds.ed.gov/cedselementdetails.aspx?termid=22556</v>
      </c>
      <c r="Q3249" s="22">
        <v>61935</v>
      </c>
    </row>
    <row r="3250" spans="1:17" ht="57.6" x14ac:dyDescent="0.3">
      <c r="A3250" s="22" t="s">
        <v>7870</v>
      </c>
      <c r="B3250" s="22" t="s">
        <v>7872</v>
      </c>
      <c r="C3250" s="22" t="s">
        <v>7742</v>
      </c>
      <c r="D3250" s="22" t="s">
        <v>7710</v>
      </c>
      <c r="E3250" s="22" t="s">
        <v>5497</v>
      </c>
      <c r="F3250" s="24" t="s">
        <v>5498</v>
      </c>
      <c r="G3250" s="26" t="s">
        <v>9038</v>
      </c>
      <c r="H3250" s="22"/>
      <c r="I3250" s="22"/>
      <c r="J3250" s="22"/>
      <c r="K3250" s="24"/>
      <c r="L3250" s="24"/>
      <c r="M3250" s="25" t="s">
        <v>5499</v>
      </c>
      <c r="N3250" s="22"/>
      <c r="O3250" s="22" t="s">
        <v>5500</v>
      </c>
      <c r="P3250" s="22" t="str">
        <f>HYPERLINK("https://ceds.ed.gov/cedselementdetails.aspx?termid=22557")</f>
        <v>https://ceds.ed.gov/cedselementdetails.aspx?termid=22557</v>
      </c>
      <c r="Q3250" s="22">
        <v>61937</v>
      </c>
    </row>
    <row r="3251" spans="1:17" ht="72" x14ac:dyDescent="0.3">
      <c r="A3251" s="22" t="s">
        <v>7870</v>
      </c>
      <c r="B3251" s="22" t="s">
        <v>7872</v>
      </c>
      <c r="C3251" s="22" t="s">
        <v>7742</v>
      </c>
      <c r="D3251" s="22" t="s">
        <v>7710</v>
      </c>
      <c r="E3251" s="22" t="s">
        <v>3090</v>
      </c>
      <c r="F3251" s="24" t="s">
        <v>3091</v>
      </c>
      <c r="G3251" s="26" t="s">
        <v>22</v>
      </c>
      <c r="H3251" s="22"/>
      <c r="I3251" s="22"/>
      <c r="J3251" s="22"/>
      <c r="K3251" s="24"/>
      <c r="L3251" s="24" t="s">
        <v>3092</v>
      </c>
      <c r="M3251" s="25" t="s">
        <v>3093</v>
      </c>
      <c r="N3251" s="22"/>
      <c r="O3251" s="22" t="s">
        <v>3094</v>
      </c>
      <c r="P3251" s="22" t="str">
        <f>HYPERLINK("https://ceds.ed.gov/cedselementdetails.aspx?termid=21974")</f>
        <v>https://ceds.ed.gov/cedselementdetails.aspx?termid=21974</v>
      </c>
      <c r="Q3251" s="22">
        <v>63157</v>
      </c>
    </row>
    <row r="3252" spans="1:17" ht="409.6" x14ac:dyDescent="0.3">
      <c r="A3252" s="22" t="s">
        <v>7870</v>
      </c>
      <c r="B3252" s="22" t="s">
        <v>7872</v>
      </c>
      <c r="C3252" s="22" t="s">
        <v>7742</v>
      </c>
      <c r="D3252" s="22" t="s">
        <v>7710</v>
      </c>
      <c r="E3252" s="22" t="s">
        <v>2531</v>
      </c>
      <c r="F3252" s="24" t="s">
        <v>2532</v>
      </c>
      <c r="G3252" s="26" t="s">
        <v>8743</v>
      </c>
      <c r="H3252" s="24" t="s">
        <v>2535</v>
      </c>
      <c r="I3252" s="22"/>
      <c r="J3252" s="22"/>
      <c r="K3252" s="24"/>
      <c r="L3252" s="24" t="s">
        <v>8055</v>
      </c>
      <c r="M3252" s="25" t="s">
        <v>2533</v>
      </c>
      <c r="N3252" s="22"/>
      <c r="O3252" s="22" t="s">
        <v>2534</v>
      </c>
      <c r="P3252" s="22" t="str">
        <f>HYPERLINK("https://ceds.ed.gov/cedselementdetails.aspx?termid=21051")</f>
        <v>https://ceds.ed.gov/cedselementdetails.aspx?termid=21051</v>
      </c>
      <c r="Q3252" s="22">
        <v>63221</v>
      </c>
    </row>
    <row r="3253" spans="1:17" ht="57.6" x14ac:dyDescent="0.3">
      <c r="A3253" s="22" t="s">
        <v>7870</v>
      </c>
      <c r="B3253" s="22" t="s">
        <v>7872</v>
      </c>
      <c r="C3253" s="22" t="s">
        <v>7742</v>
      </c>
      <c r="D3253" s="22" t="s">
        <v>7710</v>
      </c>
      <c r="E3253" s="22" t="s">
        <v>7288</v>
      </c>
      <c r="F3253" s="24" t="s">
        <v>7289</v>
      </c>
      <c r="G3253" s="23" t="s">
        <v>7423</v>
      </c>
      <c r="H3253" s="22"/>
      <c r="I3253" s="22"/>
      <c r="J3253" s="22"/>
      <c r="K3253" s="24"/>
      <c r="L3253" s="24"/>
      <c r="M3253" s="25" t="s">
        <v>7290</v>
      </c>
      <c r="N3253" s="22"/>
      <c r="O3253" s="22" t="s">
        <v>7291</v>
      </c>
      <c r="P3253" s="22" t="str">
        <f>HYPERLINK("https://ceds.ed.gov/cedselementdetails.aspx?termid=22638")</f>
        <v>https://ceds.ed.gov/cedselementdetails.aspx?termid=22638</v>
      </c>
      <c r="Q3253" s="22">
        <v>63222</v>
      </c>
    </row>
    <row r="3254" spans="1:17" ht="57.6" x14ac:dyDescent="0.3">
      <c r="A3254" s="22" t="s">
        <v>7870</v>
      </c>
      <c r="B3254" s="22" t="s">
        <v>7872</v>
      </c>
      <c r="C3254" s="22" t="s">
        <v>7742</v>
      </c>
      <c r="D3254" s="22" t="s">
        <v>7710</v>
      </c>
      <c r="E3254" s="22" t="s">
        <v>7528</v>
      </c>
      <c r="F3254" s="24" t="s">
        <v>7529</v>
      </c>
      <c r="G3254" s="26" t="s">
        <v>22</v>
      </c>
      <c r="H3254" s="22"/>
      <c r="I3254" s="22"/>
      <c r="J3254" s="22"/>
      <c r="K3254" s="24"/>
      <c r="L3254" s="24"/>
      <c r="M3254" s="25" t="s">
        <v>7530</v>
      </c>
      <c r="N3254" s="22"/>
      <c r="O3254" s="22" t="s">
        <v>7531</v>
      </c>
      <c r="P3254" s="22" t="str">
        <f>HYPERLINK("https://ceds.ed.gov/cedselementdetails.aspx?termid=22932")</f>
        <v>https://ceds.ed.gov/cedselementdetails.aspx?termid=22932</v>
      </c>
      <c r="Q3254" s="22">
        <v>63463</v>
      </c>
    </row>
    <row r="3255" spans="1:17" ht="115.2" x14ac:dyDescent="0.3">
      <c r="A3255" s="22" t="s">
        <v>7870</v>
      </c>
      <c r="B3255" s="22" t="s">
        <v>7872</v>
      </c>
      <c r="C3255" s="22" t="s">
        <v>7742</v>
      </c>
      <c r="D3255" s="22" t="s">
        <v>7710</v>
      </c>
      <c r="E3255" s="22" t="s">
        <v>7532</v>
      </c>
      <c r="F3255" s="24" t="s">
        <v>7533</v>
      </c>
      <c r="G3255" s="26" t="s">
        <v>3039</v>
      </c>
      <c r="H3255" s="22"/>
      <c r="I3255" s="22"/>
      <c r="J3255" s="22"/>
      <c r="K3255" s="24"/>
      <c r="L3255" s="24"/>
      <c r="M3255" s="25" t="s">
        <v>7534</v>
      </c>
      <c r="N3255" s="22"/>
      <c r="O3255" s="22" t="s">
        <v>7535</v>
      </c>
      <c r="P3255" s="22" t="str">
        <f>HYPERLINK("https://ceds.ed.gov/cedselementdetails.aspx?termid=22933")</f>
        <v>https://ceds.ed.gov/cedselementdetails.aspx?termid=22933</v>
      </c>
      <c r="Q3255" s="22">
        <v>63464</v>
      </c>
    </row>
    <row r="3256" spans="1:17" ht="144" x14ac:dyDescent="0.3">
      <c r="A3256" s="22" t="s">
        <v>7870</v>
      </c>
      <c r="B3256" s="22" t="s">
        <v>7872</v>
      </c>
      <c r="C3256" s="22" t="s">
        <v>7742</v>
      </c>
      <c r="D3256" s="22" t="s">
        <v>7710</v>
      </c>
      <c r="E3256" s="22" t="s">
        <v>7640</v>
      </c>
      <c r="F3256" s="24" t="s">
        <v>7641</v>
      </c>
      <c r="G3256" s="26" t="s">
        <v>9121</v>
      </c>
      <c r="H3256" s="22"/>
      <c r="I3256" s="22"/>
      <c r="J3256" s="22"/>
      <c r="K3256" s="24"/>
      <c r="L3256" s="24" t="s">
        <v>7642</v>
      </c>
      <c r="M3256" s="25" t="s">
        <v>7643</v>
      </c>
      <c r="N3256" s="22"/>
      <c r="O3256" s="22" t="s">
        <v>7640</v>
      </c>
      <c r="P3256" s="22" t="str">
        <f>HYPERLINK("https://ceds.ed.gov/cedselementdetails.aspx?termid=22955")</f>
        <v>https://ceds.ed.gov/cedselementdetails.aspx?termid=22955</v>
      </c>
      <c r="Q3256" s="22">
        <v>63465</v>
      </c>
    </row>
    <row r="3257" spans="1:17" ht="100.8" x14ac:dyDescent="0.3">
      <c r="A3257" s="22" t="s">
        <v>7870</v>
      </c>
      <c r="B3257" s="22" t="s">
        <v>7872</v>
      </c>
      <c r="C3257" s="22" t="s">
        <v>7797</v>
      </c>
      <c r="D3257" s="22" t="s">
        <v>7710</v>
      </c>
      <c r="E3257" s="22" t="s">
        <v>5599</v>
      </c>
      <c r="F3257" s="24" t="s">
        <v>5600</v>
      </c>
      <c r="G3257" s="23" t="s">
        <v>32</v>
      </c>
      <c r="H3257" s="24" t="s">
        <v>5342</v>
      </c>
      <c r="I3257" s="22"/>
      <c r="J3257" s="22" t="s">
        <v>1518</v>
      </c>
      <c r="K3257" s="24"/>
      <c r="L3257" s="24"/>
      <c r="M3257" s="25" t="s">
        <v>5601</v>
      </c>
      <c r="N3257" s="22"/>
      <c r="O3257" s="22" t="s">
        <v>5602</v>
      </c>
      <c r="P3257" s="22" t="str">
        <f>HYPERLINK("https://ceds.ed.gov/cedselementdetails.aspx?termid=21200")</f>
        <v>https://ceds.ed.gov/cedselementdetails.aspx?termid=21200</v>
      </c>
      <c r="Q3257" s="22">
        <v>61981</v>
      </c>
    </row>
    <row r="3258" spans="1:17" ht="409.6" x14ac:dyDescent="0.3">
      <c r="A3258" s="22" t="s">
        <v>7870</v>
      </c>
      <c r="B3258" s="22" t="s">
        <v>7872</v>
      </c>
      <c r="C3258" s="22" t="s">
        <v>7797</v>
      </c>
      <c r="D3258" s="22" t="s">
        <v>7710</v>
      </c>
      <c r="E3258" s="22" t="s">
        <v>4332</v>
      </c>
      <c r="F3258" s="24" t="s">
        <v>4333</v>
      </c>
      <c r="G3258" s="26" t="s">
        <v>8734</v>
      </c>
      <c r="H3258" s="24" t="s">
        <v>4336</v>
      </c>
      <c r="I3258" s="22"/>
      <c r="J3258" s="22"/>
      <c r="K3258" s="24"/>
      <c r="L3258" s="24"/>
      <c r="M3258" s="25" t="s">
        <v>4334</v>
      </c>
      <c r="N3258" s="22"/>
      <c r="O3258" s="22" t="s">
        <v>4335</v>
      </c>
      <c r="P3258" s="22" t="str">
        <f>HYPERLINK("https://ceds.ed.gov/cedselementdetails.aspx?termid=21141")</f>
        <v>https://ceds.ed.gov/cedselementdetails.aspx?termid=21141</v>
      </c>
      <c r="Q3258" s="22">
        <v>59343</v>
      </c>
    </row>
    <row r="3259" spans="1:17" ht="115.2" x14ac:dyDescent="0.3">
      <c r="A3259" s="22" t="s">
        <v>7870</v>
      </c>
      <c r="B3259" s="22" t="s">
        <v>7872</v>
      </c>
      <c r="C3259" s="22" t="s">
        <v>7799</v>
      </c>
      <c r="D3259" s="22" t="s">
        <v>7710</v>
      </c>
      <c r="E3259" s="22" t="s">
        <v>3142</v>
      </c>
      <c r="F3259" s="24" t="s">
        <v>3143</v>
      </c>
      <c r="G3259" s="23" t="s">
        <v>32</v>
      </c>
      <c r="H3259" s="24" t="s">
        <v>3148</v>
      </c>
      <c r="I3259" s="22"/>
      <c r="J3259" s="22" t="s">
        <v>3145</v>
      </c>
      <c r="K3259" s="24"/>
      <c r="L3259" s="24"/>
      <c r="M3259" s="25" t="s">
        <v>3146</v>
      </c>
      <c r="N3259" s="22"/>
      <c r="O3259" s="22" t="s">
        <v>3147</v>
      </c>
      <c r="P3259" s="22" t="str">
        <f>HYPERLINK("https://ceds.ed.gov/cedselementdetails.aspx?termid=21081")</f>
        <v>https://ceds.ed.gov/cedselementdetails.aspx?termid=21081</v>
      </c>
      <c r="Q3259" s="22">
        <v>59336</v>
      </c>
    </row>
    <row r="3260" spans="1:17" ht="201.6" x14ac:dyDescent="0.3">
      <c r="A3260" s="22" t="s">
        <v>7870</v>
      </c>
      <c r="B3260" s="22" t="s">
        <v>7872</v>
      </c>
      <c r="C3260" s="22" t="s">
        <v>7799</v>
      </c>
      <c r="D3260" s="22" t="s">
        <v>7710</v>
      </c>
      <c r="E3260" s="22" t="s">
        <v>4307</v>
      </c>
      <c r="F3260" s="24" t="s">
        <v>4308</v>
      </c>
      <c r="G3260" s="26" t="s">
        <v>8919</v>
      </c>
      <c r="H3260" s="24" t="s">
        <v>4313</v>
      </c>
      <c r="I3260" s="22"/>
      <c r="J3260" s="22"/>
      <c r="K3260" s="24"/>
      <c r="L3260" s="24" t="s">
        <v>4310</v>
      </c>
      <c r="M3260" s="25" t="s">
        <v>4311</v>
      </c>
      <c r="N3260" s="22"/>
      <c r="O3260" s="22" t="s">
        <v>4312</v>
      </c>
      <c r="P3260" s="22" t="str">
        <f>HYPERLINK("https://ceds.ed.gov/cedselementdetails.aspx?termid=21138")</f>
        <v>https://ceds.ed.gov/cedselementdetails.aspx?termid=21138</v>
      </c>
      <c r="Q3260" s="22">
        <v>59335</v>
      </c>
    </row>
    <row r="3261" spans="1:17" ht="100.8" x14ac:dyDescent="0.3">
      <c r="A3261" s="22" t="s">
        <v>7870</v>
      </c>
      <c r="B3261" s="22" t="s">
        <v>7872</v>
      </c>
      <c r="C3261" s="22" t="s">
        <v>7799</v>
      </c>
      <c r="D3261" s="22" t="s">
        <v>7710</v>
      </c>
      <c r="E3261" s="22" t="s">
        <v>4302</v>
      </c>
      <c r="F3261" s="24" t="s">
        <v>4303</v>
      </c>
      <c r="G3261" s="26" t="s">
        <v>8918</v>
      </c>
      <c r="H3261" s="22"/>
      <c r="I3261" s="22"/>
      <c r="J3261" s="22"/>
      <c r="K3261" s="24"/>
      <c r="L3261" s="24"/>
      <c r="M3261" s="25" t="s">
        <v>4305</v>
      </c>
      <c r="N3261" s="22"/>
      <c r="O3261" s="22" t="s">
        <v>4306</v>
      </c>
      <c r="P3261" s="22" t="str">
        <f>HYPERLINK("https://ceds.ed.gov/cedselementdetails.aspx?termid=21689")</f>
        <v>https://ceds.ed.gov/cedselementdetails.aspx?termid=21689</v>
      </c>
      <c r="Q3261" s="22">
        <v>62721</v>
      </c>
    </row>
    <row r="3262" spans="1:17" ht="57.6" x14ac:dyDescent="0.3">
      <c r="A3262" s="22" t="s">
        <v>7870</v>
      </c>
      <c r="B3262" s="22" t="s">
        <v>7872</v>
      </c>
      <c r="C3262" s="22" t="s">
        <v>7799</v>
      </c>
      <c r="D3262" s="22" t="s">
        <v>7710</v>
      </c>
      <c r="E3262" s="22" t="s">
        <v>30</v>
      </c>
      <c r="F3262" s="24" t="s">
        <v>31</v>
      </c>
      <c r="G3262" s="23" t="s">
        <v>32</v>
      </c>
      <c r="H3262" s="24" t="s">
        <v>37</v>
      </c>
      <c r="I3262" s="22"/>
      <c r="J3262" s="22" t="s">
        <v>34</v>
      </c>
      <c r="K3262" s="24"/>
      <c r="L3262" s="24"/>
      <c r="M3262" s="25" t="s">
        <v>35</v>
      </c>
      <c r="N3262" s="22"/>
      <c r="O3262" s="22" t="s">
        <v>36</v>
      </c>
      <c r="P3262" s="22" t="str">
        <f>HYPERLINK("https://ceds.ed.gov/cedselementdetails.aspx?termid=21001")</f>
        <v>https://ceds.ed.gov/cedselementdetails.aspx?termid=21001</v>
      </c>
      <c r="Q3262" s="22">
        <v>62724</v>
      </c>
    </row>
    <row r="3263" spans="1:17" ht="216" x14ac:dyDescent="0.3">
      <c r="A3263" s="22" t="s">
        <v>7870</v>
      </c>
      <c r="B3263" s="22" t="s">
        <v>7872</v>
      </c>
      <c r="C3263" s="22" t="s">
        <v>7799</v>
      </c>
      <c r="D3263" s="22" t="s">
        <v>7710</v>
      </c>
      <c r="E3263" s="22" t="s">
        <v>38</v>
      </c>
      <c r="F3263" s="24" t="s">
        <v>7941</v>
      </c>
      <c r="G3263" s="26" t="s">
        <v>8562</v>
      </c>
      <c r="H3263" s="24" t="s">
        <v>42</v>
      </c>
      <c r="I3263" s="22"/>
      <c r="J3263" s="22"/>
      <c r="K3263" s="24"/>
      <c r="L3263" s="24"/>
      <c r="M3263" s="25" t="s">
        <v>40</v>
      </c>
      <c r="N3263" s="22"/>
      <c r="O3263" s="22" t="s">
        <v>41</v>
      </c>
      <c r="P3263" s="22" t="str">
        <f>HYPERLINK("https://ceds.ed.gov/cedselementdetails.aspx?termid=21002")</f>
        <v>https://ceds.ed.gov/cedselementdetails.aspx?termid=21002</v>
      </c>
      <c r="Q3263" s="22">
        <v>61043</v>
      </c>
    </row>
    <row r="3264" spans="1:17" ht="28.8" x14ac:dyDescent="0.3">
      <c r="A3264" s="22" t="s">
        <v>7870</v>
      </c>
      <c r="B3264" s="22" t="s">
        <v>7872</v>
      </c>
      <c r="C3264" s="22" t="s">
        <v>7799</v>
      </c>
      <c r="D3264" s="22" t="s">
        <v>7710</v>
      </c>
      <c r="E3264" s="22" t="s">
        <v>53</v>
      </c>
      <c r="F3264" s="24" t="s">
        <v>54</v>
      </c>
      <c r="G3264" s="23" t="s">
        <v>32</v>
      </c>
      <c r="H3264" s="22" t="s">
        <v>58</v>
      </c>
      <c r="I3264" s="22"/>
      <c r="J3264" s="22" t="s">
        <v>55</v>
      </c>
      <c r="K3264" s="24"/>
      <c r="L3264" s="24"/>
      <c r="M3264" s="25" t="s">
        <v>56</v>
      </c>
      <c r="N3264" s="22"/>
      <c r="O3264" s="22" t="s">
        <v>57</v>
      </c>
      <c r="P3264" s="22" t="str">
        <f>HYPERLINK("https://ceds.ed.gov/cedselementdetails.aspx?termid=21003")</f>
        <v>https://ceds.ed.gov/cedselementdetails.aspx?termid=21003</v>
      </c>
      <c r="Q3264" s="22">
        <v>62725</v>
      </c>
    </row>
    <row r="3265" spans="1:17" ht="172.8" x14ac:dyDescent="0.3">
      <c r="A3265" s="22" t="s">
        <v>7870</v>
      </c>
      <c r="B3265" s="22" t="s">
        <v>7872</v>
      </c>
      <c r="C3265" s="22" t="s">
        <v>7799</v>
      </c>
      <c r="D3265" s="22" t="s">
        <v>7710</v>
      </c>
      <c r="E3265" s="22" t="s">
        <v>2965</v>
      </c>
      <c r="F3265" s="24" t="s">
        <v>2966</v>
      </c>
      <c r="G3265" s="26" t="s">
        <v>8776</v>
      </c>
      <c r="H3265" s="22"/>
      <c r="I3265" s="22"/>
      <c r="J3265" s="22"/>
      <c r="K3265" s="24"/>
      <c r="L3265" s="24"/>
      <c r="M3265" s="25" t="s">
        <v>2968</v>
      </c>
      <c r="N3265" s="22"/>
      <c r="O3265" s="22" t="s">
        <v>2969</v>
      </c>
      <c r="P3265" s="22" t="str">
        <f>HYPERLINK("https://ceds.ed.gov/cedselementdetails.aspx?termid=22283")</f>
        <v>https://ceds.ed.gov/cedselementdetails.aspx?termid=22283</v>
      </c>
      <c r="Q3265" s="22">
        <v>62730</v>
      </c>
    </row>
    <row r="3266" spans="1:17" ht="115.2" x14ac:dyDescent="0.3">
      <c r="A3266" s="22" t="s">
        <v>7870</v>
      </c>
      <c r="B3266" s="22" t="s">
        <v>7872</v>
      </c>
      <c r="C3266" s="22" t="s">
        <v>7799</v>
      </c>
      <c r="D3266" s="22" t="s">
        <v>7710</v>
      </c>
      <c r="E3266" s="22" t="s">
        <v>6134</v>
      </c>
      <c r="F3266" s="24" t="s">
        <v>6135</v>
      </c>
      <c r="G3266" s="26" t="s">
        <v>9103</v>
      </c>
      <c r="H3266" s="22"/>
      <c r="I3266" s="22"/>
      <c r="J3266" s="22"/>
      <c r="K3266" s="24"/>
      <c r="L3266" s="24"/>
      <c r="M3266" s="25" t="s">
        <v>6137</v>
      </c>
      <c r="N3266" s="22"/>
      <c r="O3266" s="22" t="s">
        <v>6138</v>
      </c>
      <c r="P3266" s="22" t="str">
        <f>HYPERLINK("https://ceds.ed.gov/cedselementdetails.aspx?termid=21780")</f>
        <v>https://ceds.ed.gov/cedselementdetails.aspx?termid=21780</v>
      </c>
      <c r="Q3266" s="22">
        <v>60841</v>
      </c>
    </row>
    <row r="3267" spans="1:17" ht="172.8" x14ac:dyDescent="0.3">
      <c r="A3267" s="22" t="s">
        <v>7870</v>
      </c>
      <c r="B3267" s="22" t="s">
        <v>7872</v>
      </c>
      <c r="C3267" s="22" t="s">
        <v>7799</v>
      </c>
      <c r="D3267" s="22" t="s">
        <v>7710</v>
      </c>
      <c r="E3267" s="22" t="s">
        <v>6174</v>
      </c>
      <c r="F3267" s="24" t="s">
        <v>6175</v>
      </c>
      <c r="G3267" s="23" t="s">
        <v>32</v>
      </c>
      <c r="H3267" s="22" t="s">
        <v>2608</v>
      </c>
      <c r="I3267" s="22" t="s">
        <v>172</v>
      </c>
      <c r="J3267" s="22" t="s">
        <v>132</v>
      </c>
      <c r="K3267" s="24" t="s">
        <v>8282</v>
      </c>
      <c r="L3267" s="24" t="s">
        <v>7945</v>
      </c>
      <c r="M3267" s="25" t="s">
        <v>6176</v>
      </c>
      <c r="N3267" s="22"/>
      <c r="O3267" s="22" t="s">
        <v>6177</v>
      </c>
      <c r="P3267" s="22" t="str">
        <f>HYPERLINK("https://ceds.ed.gov/cedselementdetails.aspx?termid=21618")</f>
        <v>https://ceds.ed.gov/cedselementdetails.aspx?termid=21618</v>
      </c>
      <c r="Q3267" s="22">
        <v>62729</v>
      </c>
    </row>
    <row r="3268" spans="1:17" ht="129.6" x14ac:dyDescent="0.3">
      <c r="A3268" s="22" t="s">
        <v>7870</v>
      </c>
      <c r="B3268" s="22" t="s">
        <v>7872</v>
      </c>
      <c r="C3268" s="22" t="s">
        <v>7799</v>
      </c>
      <c r="D3268" s="22" t="s">
        <v>7710</v>
      </c>
      <c r="E3268" s="22" t="s">
        <v>3249</v>
      </c>
      <c r="F3268" s="24" t="s">
        <v>3250</v>
      </c>
      <c r="G3268" s="26" t="s">
        <v>8809</v>
      </c>
      <c r="H3268" s="22"/>
      <c r="I3268" s="22"/>
      <c r="J3268" s="22"/>
      <c r="K3268" s="24"/>
      <c r="L3268" s="24" t="s">
        <v>8081</v>
      </c>
      <c r="M3268" s="25" t="s">
        <v>3252</v>
      </c>
      <c r="N3268" s="22"/>
      <c r="O3268" s="22" t="s">
        <v>3253</v>
      </c>
      <c r="P3268" s="22" t="str">
        <f>HYPERLINK("https://ceds.ed.gov/cedselementdetails.aspx?termid=22622")</f>
        <v>https://ceds.ed.gov/cedselementdetails.aspx?termid=22622</v>
      </c>
      <c r="Q3268" s="22">
        <v>62732</v>
      </c>
    </row>
    <row r="3269" spans="1:17" ht="72" x14ac:dyDescent="0.3">
      <c r="A3269" s="22" t="s">
        <v>7870</v>
      </c>
      <c r="B3269" s="22" t="s">
        <v>7872</v>
      </c>
      <c r="C3269" s="22" t="s">
        <v>7799</v>
      </c>
      <c r="D3269" s="22" t="s">
        <v>7710</v>
      </c>
      <c r="E3269" s="22" t="s">
        <v>5909</v>
      </c>
      <c r="F3269" s="24" t="s">
        <v>5910</v>
      </c>
      <c r="G3269" s="26" t="s">
        <v>9070</v>
      </c>
      <c r="H3269" s="24" t="s">
        <v>5913</v>
      </c>
      <c r="I3269" s="22"/>
      <c r="J3269" s="22"/>
      <c r="K3269" s="24"/>
      <c r="L3269" s="24"/>
      <c r="M3269" s="25" t="s">
        <v>5911</v>
      </c>
      <c r="N3269" s="22"/>
      <c r="O3269" s="22" t="s">
        <v>5912</v>
      </c>
      <c r="P3269" s="22" t="str">
        <f>HYPERLINK("https://ceds.ed.gov/cedselementdetails.aspx?termid=22595")</f>
        <v>https://ceds.ed.gov/cedselementdetails.aspx?termid=22595</v>
      </c>
      <c r="Q3269" s="22">
        <v>62731</v>
      </c>
    </row>
    <row r="3270" spans="1:17" ht="72" x14ac:dyDescent="0.3">
      <c r="A3270" s="22" t="s">
        <v>7870</v>
      </c>
      <c r="B3270" s="22" t="s">
        <v>7872</v>
      </c>
      <c r="C3270" s="22" t="s">
        <v>7799</v>
      </c>
      <c r="D3270" s="22" t="s">
        <v>7710</v>
      </c>
      <c r="E3270" s="22" t="s">
        <v>2082</v>
      </c>
      <c r="F3270" s="24" t="s">
        <v>2083</v>
      </c>
      <c r="G3270" s="23" t="s">
        <v>7422</v>
      </c>
      <c r="H3270" s="24" t="s">
        <v>42</v>
      </c>
      <c r="I3270" s="22"/>
      <c r="J3270" s="22"/>
      <c r="K3270" s="24"/>
      <c r="L3270" s="24"/>
      <c r="M3270" s="25" t="s">
        <v>2085</v>
      </c>
      <c r="N3270" s="22" t="s">
        <v>2086</v>
      </c>
      <c r="O3270" s="22" t="s">
        <v>2087</v>
      </c>
      <c r="P3270" s="22" t="str">
        <f>HYPERLINK("https://ceds.ed.gov/cedselementdetails.aspx?termid=21043")</f>
        <v>https://ceds.ed.gov/cedselementdetails.aspx?termid=21043</v>
      </c>
      <c r="Q3270" s="22">
        <v>62726</v>
      </c>
    </row>
    <row r="3271" spans="1:17" ht="72" x14ac:dyDescent="0.3">
      <c r="A3271" s="22" t="s">
        <v>7870</v>
      </c>
      <c r="B3271" s="22" t="s">
        <v>7872</v>
      </c>
      <c r="C3271" s="22" t="s">
        <v>7799</v>
      </c>
      <c r="D3271" s="22" t="s">
        <v>7710</v>
      </c>
      <c r="E3271" s="22" t="s">
        <v>2088</v>
      </c>
      <c r="F3271" s="24" t="s">
        <v>2089</v>
      </c>
      <c r="G3271" s="26" t="s">
        <v>8727</v>
      </c>
      <c r="H3271" s="24" t="s">
        <v>198</v>
      </c>
      <c r="I3271" s="22"/>
      <c r="J3271" s="22"/>
      <c r="K3271" s="24"/>
      <c r="L3271" s="24"/>
      <c r="M3271" s="25" t="s">
        <v>2091</v>
      </c>
      <c r="N3271" s="22" t="s">
        <v>2092</v>
      </c>
      <c r="O3271" s="22" t="s">
        <v>2093</v>
      </c>
      <c r="P3271" s="22" t="str">
        <f>HYPERLINK("https://ceds.ed.gov/cedselementdetails.aspx?termid=21044")</f>
        <v>https://ceds.ed.gov/cedselementdetails.aspx?termid=21044</v>
      </c>
      <c r="Q3271" s="22">
        <v>62727</v>
      </c>
    </row>
    <row r="3272" spans="1:17" ht="86.4" x14ac:dyDescent="0.3">
      <c r="A3272" s="22" t="s">
        <v>7870</v>
      </c>
      <c r="B3272" s="22" t="s">
        <v>7872</v>
      </c>
      <c r="C3272" s="22" t="s">
        <v>7799</v>
      </c>
      <c r="D3272" s="22" t="s">
        <v>7710</v>
      </c>
      <c r="E3272" s="22" t="s">
        <v>2094</v>
      </c>
      <c r="F3272" s="24" t="s">
        <v>2095</v>
      </c>
      <c r="G3272" s="26" t="s">
        <v>8728</v>
      </c>
      <c r="H3272" s="24" t="s">
        <v>198</v>
      </c>
      <c r="I3272" s="22"/>
      <c r="J3272" s="22"/>
      <c r="K3272" s="24"/>
      <c r="L3272" s="24"/>
      <c r="M3272" s="25" t="s">
        <v>2097</v>
      </c>
      <c r="N3272" s="22" t="s">
        <v>2098</v>
      </c>
      <c r="O3272" s="22" t="s">
        <v>2099</v>
      </c>
      <c r="P3272" s="22" t="str">
        <f>HYPERLINK("https://ceds.ed.gov/cedselementdetails.aspx?termid=21045")</f>
        <v>https://ceds.ed.gov/cedselementdetails.aspx?termid=21045</v>
      </c>
      <c r="Q3272" s="22">
        <v>62728</v>
      </c>
    </row>
    <row r="3273" spans="1:17" ht="72" x14ac:dyDescent="0.3">
      <c r="A3273" s="22" t="s">
        <v>7870</v>
      </c>
      <c r="B3273" s="22" t="s">
        <v>7872</v>
      </c>
      <c r="C3273" s="22" t="s">
        <v>7831</v>
      </c>
      <c r="D3273" s="22" t="s">
        <v>7710</v>
      </c>
      <c r="E3273" s="22" t="s">
        <v>2663</v>
      </c>
      <c r="F3273" s="24" t="s">
        <v>8063</v>
      </c>
      <c r="G3273" s="23" t="s">
        <v>32</v>
      </c>
      <c r="H3273" s="22"/>
      <c r="I3273" s="22"/>
      <c r="J3273" s="22" t="s">
        <v>85</v>
      </c>
      <c r="K3273" s="24"/>
      <c r="L3273" s="24"/>
      <c r="M3273" s="25" t="s">
        <v>2665</v>
      </c>
      <c r="N3273" s="22"/>
      <c r="O3273" s="22" t="s">
        <v>2666</v>
      </c>
      <c r="P3273" s="22" t="str">
        <f>HYPERLINK("https://ceds.ed.gov/cedselementdetails.aspx?termid=22280")</f>
        <v>https://ceds.ed.gov/cedselementdetails.aspx?termid=22280</v>
      </c>
      <c r="Q3273" s="22">
        <v>62125</v>
      </c>
    </row>
    <row r="3274" spans="1:17" ht="230.4" x14ac:dyDescent="0.3">
      <c r="A3274" s="22" t="s">
        <v>7870</v>
      </c>
      <c r="B3274" s="22" t="s">
        <v>7872</v>
      </c>
      <c r="C3274" s="22" t="s">
        <v>7756</v>
      </c>
      <c r="D3274" s="22" t="s">
        <v>7710</v>
      </c>
      <c r="E3274" s="22" t="s">
        <v>4411</v>
      </c>
      <c r="F3274" s="24" t="s">
        <v>4412</v>
      </c>
      <c r="G3274" s="26" t="s">
        <v>22</v>
      </c>
      <c r="H3274" s="24" t="s">
        <v>4415</v>
      </c>
      <c r="I3274" s="22"/>
      <c r="J3274" s="22"/>
      <c r="K3274" s="24"/>
      <c r="L3274" s="24"/>
      <c r="M3274" s="25" t="s">
        <v>4413</v>
      </c>
      <c r="N3274" s="22"/>
      <c r="O3274" s="22" t="s">
        <v>4414</v>
      </c>
      <c r="P3274" s="22" t="str">
        <f>HYPERLINK("https://ceds.ed.gov/cedselementdetails.aspx?termid=21151")</f>
        <v>https://ceds.ed.gov/cedselementdetails.aspx?termid=21151</v>
      </c>
      <c r="Q3274" s="22">
        <v>59331</v>
      </c>
    </row>
    <row r="3275" spans="1:17" ht="43.2" x14ac:dyDescent="0.3">
      <c r="A3275" s="22" t="s">
        <v>7870</v>
      </c>
      <c r="B3275" s="22" t="s">
        <v>7872</v>
      </c>
      <c r="C3275" s="22" t="s">
        <v>7756</v>
      </c>
      <c r="D3275" s="22" t="s">
        <v>7710</v>
      </c>
      <c r="E3275" s="22" t="s">
        <v>3169</v>
      </c>
      <c r="F3275" s="24" t="s">
        <v>3170</v>
      </c>
      <c r="G3275" s="26" t="s">
        <v>22</v>
      </c>
      <c r="H3275" s="22" t="s">
        <v>226</v>
      </c>
      <c r="I3275" s="22"/>
      <c r="J3275" s="22"/>
      <c r="K3275" s="24"/>
      <c r="L3275" s="24"/>
      <c r="M3275" s="25" t="s">
        <v>3171</v>
      </c>
      <c r="N3275" s="22"/>
      <c r="O3275" s="22" t="s">
        <v>3172</v>
      </c>
      <c r="P3275" s="22" t="str">
        <f>HYPERLINK("https://ceds.ed.gov/cedselementdetails.aspx?termid=21569")</f>
        <v>https://ceds.ed.gov/cedselementdetails.aspx?termid=21569</v>
      </c>
      <c r="Q3275" s="22">
        <v>59332</v>
      </c>
    </row>
    <row r="3276" spans="1:17" ht="144" x14ac:dyDescent="0.3">
      <c r="A3276" s="22" t="s">
        <v>7870</v>
      </c>
      <c r="B3276" s="22" t="s">
        <v>7872</v>
      </c>
      <c r="C3276" s="22" t="s">
        <v>7756</v>
      </c>
      <c r="D3276" s="22" t="s">
        <v>7710</v>
      </c>
      <c r="E3276" s="22" t="s">
        <v>3165</v>
      </c>
      <c r="F3276" s="24" t="s">
        <v>3166</v>
      </c>
      <c r="G3276" s="26" t="s">
        <v>8798</v>
      </c>
      <c r="H3276" s="22"/>
      <c r="I3276" s="22"/>
      <c r="J3276" s="22"/>
      <c r="K3276" s="24"/>
      <c r="L3276" s="24" t="s">
        <v>3162</v>
      </c>
      <c r="M3276" s="25" t="s">
        <v>3167</v>
      </c>
      <c r="N3276" s="22"/>
      <c r="O3276" s="22" t="s">
        <v>3168</v>
      </c>
      <c r="P3276" s="22" t="str">
        <f>HYPERLINK("https://ceds.ed.gov/cedselementdetails.aspx?termid=22287")</f>
        <v>https://ceds.ed.gov/cedselementdetails.aspx?termid=22287</v>
      </c>
      <c r="Q3276" s="22">
        <v>62760</v>
      </c>
    </row>
    <row r="3277" spans="1:17" ht="158.4" x14ac:dyDescent="0.3">
      <c r="A3277" s="22" t="s">
        <v>7870</v>
      </c>
      <c r="B3277" s="22" t="s">
        <v>7872</v>
      </c>
      <c r="C3277" s="22" t="s">
        <v>4</v>
      </c>
      <c r="D3277" s="22" t="s">
        <v>7710</v>
      </c>
      <c r="E3277" s="22" t="s">
        <v>5375</v>
      </c>
      <c r="F3277" s="24" t="s">
        <v>5376</v>
      </c>
      <c r="G3277" s="26" t="s">
        <v>22</v>
      </c>
      <c r="H3277" s="22"/>
      <c r="I3277" s="22"/>
      <c r="J3277" s="22"/>
      <c r="K3277" s="24"/>
      <c r="L3277" s="24"/>
      <c r="M3277" s="25" t="s">
        <v>5377</v>
      </c>
      <c r="N3277" s="22"/>
      <c r="O3277" s="22" t="s">
        <v>5378</v>
      </c>
      <c r="P3277" s="22" t="str">
        <f>HYPERLINK("https://ceds.ed.gov/cedselementdetails.aspx?termid=21758")</f>
        <v>https://ceds.ed.gov/cedselementdetails.aspx?termid=21758</v>
      </c>
      <c r="Q3277" s="22">
        <v>59279</v>
      </c>
    </row>
    <row r="3278" spans="1:17" ht="115.2" x14ac:dyDescent="0.3">
      <c r="A3278" s="22" t="s">
        <v>7870</v>
      </c>
      <c r="B3278" s="22" t="s">
        <v>7872</v>
      </c>
      <c r="C3278" s="22" t="s">
        <v>4</v>
      </c>
      <c r="D3278" s="22" t="s">
        <v>7710</v>
      </c>
      <c r="E3278" s="22" t="s">
        <v>3207</v>
      </c>
      <c r="F3278" s="24" t="s">
        <v>3208</v>
      </c>
      <c r="G3278" s="26" t="s">
        <v>22</v>
      </c>
      <c r="H3278" s="22"/>
      <c r="I3278" s="22"/>
      <c r="J3278" s="22"/>
      <c r="K3278" s="24"/>
      <c r="L3278" s="24"/>
      <c r="M3278" s="25" t="s">
        <v>3210</v>
      </c>
      <c r="N3278" s="22"/>
      <c r="O3278" s="22" t="s">
        <v>3211</v>
      </c>
      <c r="P3278" s="22" t="str">
        <f>HYPERLINK("https://ceds.ed.gov/cedselementdetails.aspx?termid=21759")</f>
        <v>https://ceds.ed.gov/cedselementdetails.aspx?termid=21759</v>
      </c>
      <c r="Q3278" s="22">
        <v>59280</v>
      </c>
    </row>
    <row r="3279" spans="1:17" ht="57.6" x14ac:dyDescent="0.3">
      <c r="A3279" s="22" t="s">
        <v>7870</v>
      </c>
      <c r="B3279" s="22" t="s">
        <v>7872</v>
      </c>
      <c r="C3279" s="22" t="s">
        <v>4</v>
      </c>
      <c r="D3279" s="22" t="s">
        <v>7710</v>
      </c>
      <c r="E3279" s="22" t="s">
        <v>6262</v>
      </c>
      <c r="F3279" s="24" t="s">
        <v>6263</v>
      </c>
      <c r="G3279" s="26" t="s">
        <v>22</v>
      </c>
      <c r="H3279" s="22"/>
      <c r="I3279" s="22"/>
      <c r="J3279" s="22"/>
      <c r="K3279" s="24"/>
      <c r="L3279" s="24"/>
      <c r="M3279" s="25" t="s">
        <v>6264</v>
      </c>
      <c r="N3279" s="22"/>
      <c r="O3279" s="22" t="s">
        <v>6265</v>
      </c>
      <c r="P3279" s="22" t="str">
        <f>HYPERLINK("https://ceds.ed.gov/cedselementdetails.aspx?termid=21760")</f>
        <v>https://ceds.ed.gov/cedselementdetails.aspx?termid=21760</v>
      </c>
      <c r="Q3279" s="22">
        <v>59281</v>
      </c>
    </row>
    <row r="3280" spans="1:17" ht="72" x14ac:dyDescent="0.3">
      <c r="A3280" s="22" t="s">
        <v>7870</v>
      </c>
      <c r="B3280" s="22" t="s">
        <v>7872</v>
      </c>
      <c r="C3280" s="22" t="s">
        <v>4</v>
      </c>
      <c r="D3280" s="22" t="s">
        <v>7710</v>
      </c>
      <c r="E3280" s="22" t="s">
        <v>6535</v>
      </c>
      <c r="F3280" s="24" t="s">
        <v>6536</v>
      </c>
      <c r="G3280" s="26" t="s">
        <v>22</v>
      </c>
      <c r="H3280" s="22"/>
      <c r="I3280" s="22"/>
      <c r="J3280" s="22"/>
      <c r="K3280" s="24"/>
      <c r="L3280" s="24"/>
      <c r="M3280" s="25" t="s">
        <v>6537</v>
      </c>
      <c r="N3280" s="22"/>
      <c r="O3280" s="22" t="s">
        <v>6538</v>
      </c>
      <c r="P3280" s="22" t="str">
        <f>HYPERLINK("https://ceds.ed.gov/cedselementdetails.aspx?termid=21761")</f>
        <v>https://ceds.ed.gov/cedselementdetails.aspx?termid=21761</v>
      </c>
      <c r="Q3280" s="22">
        <v>59282</v>
      </c>
    </row>
    <row r="3281" spans="1:17" ht="86.4" x14ac:dyDescent="0.3">
      <c r="A3281" s="22" t="s">
        <v>7870</v>
      </c>
      <c r="B3281" s="22" t="s">
        <v>7872</v>
      </c>
      <c r="C3281" s="22" t="s">
        <v>4</v>
      </c>
      <c r="D3281" s="22" t="s">
        <v>7710</v>
      </c>
      <c r="E3281" s="22" t="s">
        <v>6782</v>
      </c>
      <c r="F3281" s="24" t="s">
        <v>6783</v>
      </c>
      <c r="G3281" s="26" t="s">
        <v>22</v>
      </c>
      <c r="H3281" s="24" t="s">
        <v>2121</v>
      </c>
      <c r="I3281" s="22"/>
      <c r="J3281" s="22"/>
      <c r="K3281" s="24"/>
      <c r="L3281" s="24"/>
      <c r="M3281" s="25" t="s">
        <v>6785</v>
      </c>
      <c r="N3281" s="22"/>
      <c r="O3281" s="22" t="s">
        <v>6786</v>
      </c>
      <c r="P3281" s="22" t="str">
        <f>HYPERLINK("https://ceds.ed.gov/cedselementdetails.aspx?termid=21573")</f>
        <v>https://ceds.ed.gov/cedselementdetails.aspx?termid=21573</v>
      </c>
      <c r="Q3281" s="22">
        <v>59330</v>
      </c>
    </row>
    <row r="3282" spans="1:17" ht="230.4" x14ac:dyDescent="0.3">
      <c r="A3282" s="22" t="s">
        <v>7870</v>
      </c>
      <c r="B3282" s="22" t="s">
        <v>7872</v>
      </c>
      <c r="C3282" s="22" t="s">
        <v>4</v>
      </c>
      <c r="D3282" s="22" t="s">
        <v>7710</v>
      </c>
      <c r="E3282" s="22" t="s">
        <v>1955</v>
      </c>
      <c r="F3282" s="24" t="s">
        <v>8035</v>
      </c>
      <c r="G3282" s="26" t="s">
        <v>22</v>
      </c>
      <c r="H3282" s="22" t="s">
        <v>226</v>
      </c>
      <c r="I3282" s="22"/>
      <c r="J3282" s="22"/>
      <c r="K3282" s="24"/>
      <c r="L3282" s="24"/>
      <c r="M3282" s="25" t="s">
        <v>1957</v>
      </c>
      <c r="N3282" s="22" t="s">
        <v>1958</v>
      </c>
      <c r="O3282" s="22" t="s">
        <v>1959</v>
      </c>
      <c r="P3282" s="22" t="str">
        <f>HYPERLINK("https://ceds.ed.gov/cedselementdetails.aspx?termid=21084")</f>
        <v>https://ceds.ed.gov/cedselementdetails.aspx?termid=21084</v>
      </c>
      <c r="Q3282" s="22">
        <v>59345</v>
      </c>
    </row>
    <row r="3283" spans="1:17" ht="244.8" x14ac:dyDescent="0.3">
      <c r="A3283" s="22" t="s">
        <v>7870</v>
      </c>
      <c r="B3283" s="22" t="s">
        <v>7872</v>
      </c>
      <c r="C3283" s="22" t="s">
        <v>4</v>
      </c>
      <c r="D3283" s="22" t="s">
        <v>7710</v>
      </c>
      <c r="E3283" s="22" t="s">
        <v>5761</v>
      </c>
      <c r="F3283" s="24" t="s">
        <v>5762</v>
      </c>
      <c r="G3283" s="26" t="s">
        <v>3039</v>
      </c>
      <c r="H3283" s="22"/>
      <c r="I3283" s="22"/>
      <c r="J3283" s="22"/>
      <c r="K3283" s="24"/>
      <c r="L3283" s="24"/>
      <c r="M3283" s="25" t="s">
        <v>5763</v>
      </c>
      <c r="N3283" s="22"/>
      <c r="O3283" s="22" t="s">
        <v>5764</v>
      </c>
      <c r="P3283" s="22" t="str">
        <f>HYPERLINK("https://ceds.ed.gov/cedselementdetails.aspx?termid=22908")</f>
        <v>https://ceds.ed.gov/cedselementdetails.aspx?termid=22908</v>
      </c>
      <c r="Q3283" s="22">
        <v>63229</v>
      </c>
    </row>
    <row r="3284" spans="1:17" ht="43.2" x14ac:dyDescent="0.3">
      <c r="A3284" s="22" t="s">
        <v>7870</v>
      </c>
      <c r="B3284" s="22" t="s">
        <v>7872</v>
      </c>
      <c r="C3284" s="22" t="s">
        <v>7772</v>
      </c>
      <c r="D3284" s="22" t="s">
        <v>7710</v>
      </c>
      <c r="E3284" s="22" t="s">
        <v>3528</v>
      </c>
      <c r="F3284" s="24" t="s">
        <v>3529</v>
      </c>
      <c r="G3284" s="23" t="s">
        <v>2887</v>
      </c>
      <c r="H3284" s="22"/>
      <c r="I3284" s="22"/>
      <c r="J3284" s="22" t="s">
        <v>2888</v>
      </c>
      <c r="K3284" s="24"/>
      <c r="L3284" s="24"/>
      <c r="M3284" s="25" t="s">
        <v>3531</v>
      </c>
      <c r="N3284" s="22"/>
      <c r="O3284" s="22" t="s">
        <v>3532</v>
      </c>
      <c r="P3284" s="22" t="str">
        <f>HYPERLINK("https://ceds.ed.gov/cedselementdetails.aspx?termid=22070")</f>
        <v>https://ceds.ed.gov/cedselementdetails.aspx?termid=22070</v>
      </c>
      <c r="Q3284" s="22">
        <v>59713</v>
      </c>
    </row>
    <row r="3285" spans="1:17" ht="201.6" x14ac:dyDescent="0.3">
      <c r="A3285" s="22" t="s">
        <v>7870</v>
      </c>
      <c r="B3285" s="22" t="s">
        <v>7872</v>
      </c>
      <c r="C3285" s="22" t="s">
        <v>7772</v>
      </c>
      <c r="D3285" s="22" t="s">
        <v>7710</v>
      </c>
      <c r="E3285" s="22" t="s">
        <v>3514</v>
      </c>
      <c r="F3285" s="24" t="s">
        <v>3515</v>
      </c>
      <c r="G3285" s="26" t="s">
        <v>3503</v>
      </c>
      <c r="H3285" s="22" t="s">
        <v>3507</v>
      </c>
      <c r="I3285" s="22"/>
      <c r="J3285" s="22"/>
      <c r="K3285" s="24"/>
      <c r="L3285" s="24" t="s">
        <v>3516</v>
      </c>
      <c r="M3285" s="25" t="s">
        <v>3517</v>
      </c>
      <c r="N3285" s="22"/>
      <c r="O3285" s="22" t="s">
        <v>3518</v>
      </c>
      <c r="P3285" s="22" t="str">
        <f>HYPERLINK("https://ceds.ed.gov/cedselementdetails.aspx?termid=21989")</f>
        <v>https://ceds.ed.gov/cedselementdetails.aspx?termid=21989</v>
      </c>
      <c r="Q3285" s="22">
        <v>59712</v>
      </c>
    </row>
    <row r="3286" spans="1:17" ht="230.4" x14ac:dyDescent="0.3">
      <c r="A3286" s="22" t="s">
        <v>7870</v>
      </c>
      <c r="B3286" s="22" t="s">
        <v>7872</v>
      </c>
      <c r="C3286" s="22" t="s">
        <v>7772</v>
      </c>
      <c r="D3286" s="22" t="s">
        <v>7710</v>
      </c>
      <c r="E3286" s="22" t="s">
        <v>3501</v>
      </c>
      <c r="F3286" s="24" t="s">
        <v>3502</v>
      </c>
      <c r="G3286" s="26" t="s">
        <v>3503</v>
      </c>
      <c r="H3286" s="22" t="s">
        <v>3507</v>
      </c>
      <c r="I3286" s="22"/>
      <c r="J3286" s="22"/>
      <c r="K3286" s="24"/>
      <c r="L3286" s="24" t="s">
        <v>8106</v>
      </c>
      <c r="M3286" s="25" t="s">
        <v>3505</v>
      </c>
      <c r="N3286" s="22"/>
      <c r="O3286" s="22" t="s">
        <v>3506</v>
      </c>
      <c r="P3286" s="22" t="str">
        <f>HYPERLINK("https://ceds.ed.gov/cedselementdetails.aspx?termid=21990")</f>
        <v>https://ceds.ed.gov/cedselementdetails.aspx?termid=21990</v>
      </c>
      <c r="Q3286" s="22">
        <v>59711</v>
      </c>
    </row>
    <row r="3287" spans="1:17" ht="57.6" x14ac:dyDescent="0.3">
      <c r="A3287" s="22" t="s">
        <v>7870</v>
      </c>
      <c r="B3287" s="22" t="s">
        <v>7872</v>
      </c>
      <c r="C3287" s="22" t="s">
        <v>7772</v>
      </c>
      <c r="D3287" s="22" t="s">
        <v>7710</v>
      </c>
      <c r="E3287" s="22" t="s">
        <v>3555</v>
      </c>
      <c r="F3287" s="24" t="s">
        <v>3556</v>
      </c>
      <c r="G3287" s="23" t="s">
        <v>32</v>
      </c>
      <c r="H3287" s="24" t="s">
        <v>3559</v>
      </c>
      <c r="I3287" s="22"/>
      <c r="J3287" s="22" t="s">
        <v>118</v>
      </c>
      <c r="K3287" s="24"/>
      <c r="L3287" s="24"/>
      <c r="M3287" s="25" t="s">
        <v>3557</v>
      </c>
      <c r="N3287" s="22"/>
      <c r="O3287" s="22" t="s">
        <v>3558</v>
      </c>
      <c r="P3287" s="22" t="str">
        <f>HYPERLINK("https://ceds.ed.gov/cedselementdetails.aspx?termid=21345")</f>
        <v>https://ceds.ed.gov/cedselementdetails.aspx?termid=21345</v>
      </c>
      <c r="Q3287" s="22">
        <v>61703</v>
      </c>
    </row>
    <row r="3288" spans="1:17" ht="57.6" x14ac:dyDescent="0.3">
      <c r="A3288" s="22" t="s">
        <v>7870</v>
      </c>
      <c r="B3288" s="22" t="s">
        <v>7872</v>
      </c>
      <c r="C3288" s="22" t="s">
        <v>7772</v>
      </c>
      <c r="D3288" s="22" t="s">
        <v>7710</v>
      </c>
      <c r="E3288" s="22" t="s">
        <v>3519</v>
      </c>
      <c r="F3288" s="24" t="s">
        <v>3520</v>
      </c>
      <c r="G3288" s="23" t="s">
        <v>32</v>
      </c>
      <c r="H3288" s="22" t="s">
        <v>207</v>
      </c>
      <c r="I3288" s="22"/>
      <c r="J3288" s="22" t="s">
        <v>118</v>
      </c>
      <c r="K3288" s="24"/>
      <c r="L3288" s="24" t="s">
        <v>143</v>
      </c>
      <c r="M3288" s="25" t="s">
        <v>3521</v>
      </c>
      <c r="N3288" s="22"/>
      <c r="O3288" s="22" t="s">
        <v>3522</v>
      </c>
      <c r="P3288" s="22" t="str">
        <f>HYPERLINK("https://ceds.ed.gov/cedselementdetails.aspx?termid=21794")</f>
        <v>https://ceds.ed.gov/cedselementdetails.aspx?termid=21794</v>
      </c>
      <c r="Q3288" s="22">
        <v>61698</v>
      </c>
    </row>
    <row r="3289" spans="1:17" ht="216" x14ac:dyDescent="0.3">
      <c r="A3289" s="22" t="s">
        <v>7870</v>
      </c>
      <c r="B3289" s="22" t="s">
        <v>7872</v>
      </c>
      <c r="C3289" s="22" t="s">
        <v>7772</v>
      </c>
      <c r="D3289" s="22" t="s">
        <v>7710</v>
      </c>
      <c r="E3289" s="22" t="s">
        <v>7656</v>
      </c>
      <c r="F3289" s="24" t="s">
        <v>7657</v>
      </c>
      <c r="G3289" s="26" t="s">
        <v>8514</v>
      </c>
      <c r="H3289" s="22"/>
      <c r="I3289" s="22" t="s">
        <v>172</v>
      </c>
      <c r="J3289" s="22"/>
      <c r="K3289" s="24" t="s">
        <v>7995</v>
      </c>
      <c r="L3289" s="24"/>
      <c r="M3289" s="25" t="s">
        <v>7658</v>
      </c>
      <c r="N3289" s="22"/>
      <c r="O3289" s="22" t="s">
        <v>7656</v>
      </c>
      <c r="P3289" s="22" t="str">
        <f>HYPERLINK("https://ceds.ed.gov/cedselementdetails.aspx?termid=22959")</f>
        <v>https://ceds.ed.gov/cedselementdetails.aspx?termid=22959</v>
      </c>
      <c r="Q3289" s="22">
        <v>63469</v>
      </c>
    </row>
    <row r="3290" spans="1:17" ht="86.4" x14ac:dyDescent="0.3">
      <c r="A3290" s="22" t="s">
        <v>7870</v>
      </c>
      <c r="B3290" s="22" t="s">
        <v>7872</v>
      </c>
      <c r="C3290" s="22" t="s">
        <v>7862</v>
      </c>
      <c r="D3290" s="22" t="s">
        <v>7710</v>
      </c>
      <c r="E3290" s="22" t="s">
        <v>256</v>
      </c>
      <c r="F3290" s="24" t="s">
        <v>257</v>
      </c>
      <c r="G3290" s="26" t="s">
        <v>8586</v>
      </c>
      <c r="H3290" s="22"/>
      <c r="I3290" s="22"/>
      <c r="J3290" s="22"/>
      <c r="K3290" s="24"/>
      <c r="L3290" s="24"/>
      <c r="M3290" s="25" t="s">
        <v>259</v>
      </c>
      <c r="N3290" s="22"/>
      <c r="O3290" s="22" t="s">
        <v>260</v>
      </c>
      <c r="P3290" s="22" t="str">
        <f>HYPERLINK("https://ceds.ed.gov/cedselementdetails.aspx?termid=21765")</f>
        <v>https://ceds.ed.gov/cedselementdetails.aspx?termid=21765</v>
      </c>
      <c r="Q3290" s="22">
        <v>59285</v>
      </c>
    </row>
    <row r="3291" spans="1:17" ht="187.2" x14ac:dyDescent="0.3">
      <c r="A3291" s="22" t="s">
        <v>7870</v>
      </c>
      <c r="B3291" s="22" t="s">
        <v>7872</v>
      </c>
      <c r="C3291" s="22" t="s">
        <v>7862</v>
      </c>
      <c r="D3291" s="22" t="s">
        <v>7710</v>
      </c>
      <c r="E3291" s="22" t="s">
        <v>283</v>
      </c>
      <c r="F3291" s="24" t="s">
        <v>284</v>
      </c>
      <c r="G3291" s="26" t="s">
        <v>8591</v>
      </c>
      <c r="H3291" s="22"/>
      <c r="I3291" s="22"/>
      <c r="J3291" s="22"/>
      <c r="K3291" s="24"/>
      <c r="L3291" s="24" t="s">
        <v>285</v>
      </c>
      <c r="M3291" s="25" t="s">
        <v>286</v>
      </c>
      <c r="N3291" s="22"/>
      <c r="O3291" s="22" t="s">
        <v>287</v>
      </c>
      <c r="P3291" s="22" t="str">
        <f>HYPERLINK("https://ceds.ed.gov/cedselementdetails.aspx?termid=21766")</f>
        <v>https://ceds.ed.gov/cedselementdetails.aspx?termid=21766</v>
      </c>
      <c r="Q3291" s="22">
        <v>59286</v>
      </c>
    </row>
    <row r="3292" spans="1:17" ht="187.2" x14ac:dyDescent="0.3">
      <c r="A3292" s="22" t="s">
        <v>7870</v>
      </c>
      <c r="B3292" s="22" t="s">
        <v>7872</v>
      </c>
      <c r="C3292" s="22" t="s">
        <v>7862</v>
      </c>
      <c r="D3292" s="22" t="s">
        <v>7710</v>
      </c>
      <c r="E3292" s="22" t="s">
        <v>297</v>
      </c>
      <c r="F3292" s="24" t="s">
        <v>298</v>
      </c>
      <c r="G3292" s="26" t="s">
        <v>8594</v>
      </c>
      <c r="H3292" s="22"/>
      <c r="I3292" s="22"/>
      <c r="J3292" s="22"/>
      <c r="K3292" s="24"/>
      <c r="L3292" s="24"/>
      <c r="M3292" s="25" t="s">
        <v>299</v>
      </c>
      <c r="N3292" s="22"/>
      <c r="O3292" s="22" t="s">
        <v>300</v>
      </c>
      <c r="P3292" s="22" t="str">
        <f>HYPERLINK("https://ceds.ed.gov/cedselementdetails.aspx?termid=21763")</f>
        <v>https://ceds.ed.gov/cedselementdetails.aspx?termid=21763</v>
      </c>
      <c r="Q3292" s="22">
        <v>59283</v>
      </c>
    </row>
    <row r="3293" spans="1:17" ht="187.2" x14ac:dyDescent="0.3">
      <c r="A3293" s="22" t="s">
        <v>7870</v>
      </c>
      <c r="B3293" s="22" t="s">
        <v>7872</v>
      </c>
      <c r="C3293" s="22" t="s">
        <v>7862</v>
      </c>
      <c r="D3293" s="22" t="s">
        <v>7710</v>
      </c>
      <c r="E3293" s="22" t="s">
        <v>301</v>
      </c>
      <c r="F3293" s="24" t="s">
        <v>302</v>
      </c>
      <c r="G3293" s="26" t="s">
        <v>8594</v>
      </c>
      <c r="H3293" s="22"/>
      <c r="I3293" s="22"/>
      <c r="J3293" s="22"/>
      <c r="K3293" s="24"/>
      <c r="L3293" s="24"/>
      <c r="M3293" s="25" t="s">
        <v>303</v>
      </c>
      <c r="N3293" s="22"/>
      <c r="O3293" s="22" t="s">
        <v>304</v>
      </c>
      <c r="P3293" s="22" t="str">
        <f>HYPERLINK("https://ceds.ed.gov/cedselementdetails.aspx?termid=21764")</f>
        <v>https://ceds.ed.gov/cedselementdetails.aspx?termid=21764</v>
      </c>
      <c r="Q3293" s="22">
        <v>59284</v>
      </c>
    </row>
    <row r="3294" spans="1:17" ht="100.8" x14ac:dyDescent="0.3">
      <c r="A3294" s="22" t="s">
        <v>7870</v>
      </c>
      <c r="B3294" s="22" t="s">
        <v>7872</v>
      </c>
      <c r="C3294" s="22" t="s">
        <v>7862</v>
      </c>
      <c r="D3294" s="22" t="s">
        <v>7710</v>
      </c>
      <c r="E3294" s="22" t="s">
        <v>261</v>
      </c>
      <c r="F3294" s="24" t="s">
        <v>262</v>
      </c>
      <c r="G3294" s="26" t="s">
        <v>8587</v>
      </c>
      <c r="H3294" s="22"/>
      <c r="I3294" s="22"/>
      <c r="J3294" s="22"/>
      <c r="K3294" s="24"/>
      <c r="L3294" s="24"/>
      <c r="M3294" s="25" t="s">
        <v>263</v>
      </c>
      <c r="N3294" s="22"/>
      <c r="O3294" s="22" t="s">
        <v>264</v>
      </c>
      <c r="P3294" s="22" t="str">
        <f>HYPERLINK("https://ceds.ed.gov/cedselementdetails.aspx?termid=21768")</f>
        <v>https://ceds.ed.gov/cedselementdetails.aspx?termid=21768</v>
      </c>
      <c r="Q3294" s="22">
        <v>59288</v>
      </c>
    </row>
    <row r="3295" spans="1:17" ht="72" x14ac:dyDescent="0.3">
      <c r="A3295" s="22" t="s">
        <v>7870</v>
      </c>
      <c r="B3295" s="22" t="s">
        <v>7872</v>
      </c>
      <c r="C3295" s="22" t="s">
        <v>7862</v>
      </c>
      <c r="D3295" s="22" t="s">
        <v>7710</v>
      </c>
      <c r="E3295" s="22" t="s">
        <v>265</v>
      </c>
      <c r="F3295" s="24" t="s">
        <v>266</v>
      </c>
      <c r="G3295" s="23" t="s">
        <v>32</v>
      </c>
      <c r="H3295" s="22"/>
      <c r="I3295" s="22"/>
      <c r="J3295" s="22" t="s">
        <v>118</v>
      </c>
      <c r="K3295" s="24"/>
      <c r="L3295" s="24"/>
      <c r="M3295" s="25" t="s">
        <v>267</v>
      </c>
      <c r="N3295" s="22"/>
      <c r="O3295" s="22" t="s">
        <v>268</v>
      </c>
      <c r="P3295" s="22" t="str">
        <f>HYPERLINK("https://ceds.ed.gov/cedselementdetails.aspx?termid=21769")</f>
        <v>https://ceds.ed.gov/cedselementdetails.aspx?termid=21769</v>
      </c>
      <c r="Q3295" s="22">
        <v>59289</v>
      </c>
    </row>
    <row r="3296" spans="1:17" ht="43.2" x14ac:dyDescent="0.3">
      <c r="A3296" s="22" t="s">
        <v>7870</v>
      </c>
      <c r="B3296" s="22" t="s">
        <v>7872</v>
      </c>
      <c r="C3296" s="22" t="s">
        <v>7862</v>
      </c>
      <c r="D3296" s="22" t="s">
        <v>7710</v>
      </c>
      <c r="E3296" s="22" t="s">
        <v>3581</v>
      </c>
      <c r="F3296" s="24" t="s">
        <v>3582</v>
      </c>
      <c r="G3296" s="23" t="s">
        <v>32</v>
      </c>
      <c r="H3296" s="24" t="s">
        <v>399</v>
      </c>
      <c r="I3296" s="22"/>
      <c r="J3296" s="22" t="s">
        <v>118</v>
      </c>
      <c r="K3296" s="24"/>
      <c r="L3296" s="24"/>
      <c r="M3296" s="25" t="s">
        <v>3583</v>
      </c>
      <c r="N3296" s="22"/>
      <c r="O3296" s="22" t="s">
        <v>3584</v>
      </c>
      <c r="P3296" s="22" t="str">
        <f>HYPERLINK("https://ceds.ed.gov/cedselementdetails.aspx?termid=21324")</f>
        <v>https://ceds.ed.gov/cedselementdetails.aspx?termid=21324</v>
      </c>
      <c r="Q3296" s="22">
        <v>59333</v>
      </c>
    </row>
    <row r="3297" spans="1:17" ht="57.6" x14ac:dyDescent="0.3">
      <c r="A3297" s="22" t="s">
        <v>7870</v>
      </c>
      <c r="B3297" s="22" t="s">
        <v>7872</v>
      </c>
      <c r="C3297" s="22" t="s">
        <v>7862</v>
      </c>
      <c r="D3297" s="22" t="s">
        <v>7710</v>
      </c>
      <c r="E3297" s="22" t="s">
        <v>3590</v>
      </c>
      <c r="F3297" s="24" t="s">
        <v>3591</v>
      </c>
      <c r="G3297" s="23" t="s">
        <v>32</v>
      </c>
      <c r="H3297" s="22" t="s">
        <v>58</v>
      </c>
      <c r="I3297" s="22"/>
      <c r="J3297" s="22" t="s">
        <v>118</v>
      </c>
      <c r="K3297" s="24"/>
      <c r="L3297" s="24" t="s">
        <v>143</v>
      </c>
      <c r="M3297" s="25" t="s">
        <v>3592</v>
      </c>
      <c r="N3297" s="22"/>
      <c r="O3297" s="22" t="s">
        <v>3593</v>
      </c>
      <c r="P3297" s="22" t="str">
        <f>HYPERLINK("https://ceds.ed.gov/cedselementdetails.aspx?termid=21107")</f>
        <v>https://ceds.ed.gov/cedselementdetails.aspx?termid=21107</v>
      </c>
      <c r="Q3297" s="22">
        <v>59334</v>
      </c>
    </row>
    <row r="3298" spans="1:17" ht="144" x14ac:dyDescent="0.3">
      <c r="A3298" s="22" t="s">
        <v>7870</v>
      </c>
      <c r="B3298" s="22" t="s">
        <v>7872</v>
      </c>
      <c r="C3298" s="22" t="s">
        <v>7862</v>
      </c>
      <c r="D3298" s="22" t="s">
        <v>7710</v>
      </c>
      <c r="E3298" s="22" t="s">
        <v>4185</v>
      </c>
      <c r="F3298" s="24" t="s">
        <v>4186</v>
      </c>
      <c r="G3298" s="26" t="s">
        <v>8910</v>
      </c>
      <c r="H3298" s="22"/>
      <c r="I3298" s="22"/>
      <c r="J3298" s="22"/>
      <c r="K3298" s="24"/>
      <c r="L3298" s="24"/>
      <c r="M3298" s="25" t="s">
        <v>4187</v>
      </c>
      <c r="N3298" s="22"/>
      <c r="O3298" s="22" t="s">
        <v>4188</v>
      </c>
      <c r="P3298" s="22" t="str">
        <f>HYPERLINK("https://ceds.ed.gov/cedselementdetails.aspx?termid=21767")</f>
        <v>https://ceds.ed.gov/cedselementdetails.aspx?termid=21767</v>
      </c>
      <c r="Q3298" s="22">
        <v>59287</v>
      </c>
    </row>
    <row r="3299" spans="1:17" ht="43.2" x14ac:dyDescent="0.3">
      <c r="A3299" s="22" t="s">
        <v>7870</v>
      </c>
      <c r="B3299" s="22" t="s">
        <v>7872</v>
      </c>
      <c r="C3299" s="22" t="s">
        <v>7862</v>
      </c>
      <c r="D3299" s="22" t="s">
        <v>7710</v>
      </c>
      <c r="E3299" s="22" t="s">
        <v>6258</v>
      </c>
      <c r="F3299" s="24" t="s">
        <v>6259</v>
      </c>
      <c r="G3299" s="23" t="s">
        <v>32</v>
      </c>
      <c r="H3299" s="22"/>
      <c r="I3299" s="22"/>
      <c r="J3299" s="22" t="s">
        <v>3842</v>
      </c>
      <c r="K3299" s="24"/>
      <c r="L3299" s="24"/>
      <c r="M3299" s="25" t="s">
        <v>6260</v>
      </c>
      <c r="N3299" s="22"/>
      <c r="O3299" s="22" t="s">
        <v>6261</v>
      </c>
      <c r="P3299" s="22" t="str">
        <f>HYPERLINK("https://ceds.ed.gov/cedselementdetails.aspx?termid=21776")</f>
        <v>https://ceds.ed.gov/cedselementdetails.aspx?termid=21776</v>
      </c>
      <c r="Q3299" s="22">
        <v>59294</v>
      </c>
    </row>
    <row r="3300" spans="1:17" ht="244.8" x14ac:dyDescent="0.3">
      <c r="A3300" s="22" t="s">
        <v>7870</v>
      </c>
      <c r="B3300" s="22" t="s">
        <v>7872</v>
      </c>
      <c r="C3300" s="22" t="s">
        <v>7862</v>
      </c>
      <c r="D3300" s="22" t="s">
        <v>7710</v>
      </c>
      <c r="E3300" s="22" t="s">
        <v>1925</v>
      </c>
      <c r="F3300" s="24" t="s">
        <v>1926</v>
      </c>
      <c r="G3300" s="26" t="s">
        <v>8710</v>
      </c>
      <c r="H3300" s="22"/>
      <c r="I3300" s="22"/>
      <c r="J3300" s="22"/>
      <c r="K3300" s="24"/>
      <c r="L3300" s="24" t="s">
        <v>8034</v>
      </c>
      <c r="M3300" s="25" t="s">
        <v>1927</v>
      </c>
      <c r="N3300" s="22"/>
      <c r="O3300" s="22" t="s">
        <v>1928</v>
      </c>
      <c r="P3300" s="22" t="str">
        <f>HYPERLINK("https://ceds.ed.gov/cedselementdetails.aspx?termid=22254")</f>
        <v>https://ceds.ed.gov/cedselementdetails.aspx?termid=22254</v>
      </c>
      <c r="Q3300" s="22">
        <v>61077</v>
      </c>
    </row>
    <row r="3301" spans="1:17" ht="72" x14ac:dyDescent="0.3">
      <c r="A3301" s="22" t="s">
        <v>7870</v>
      </c>
      <c r="B3301" s="22" t="s">
        <v>7872</v>
      </c>
      <c r="C3301" s="22" t="s">
        <v>7862</v>
      </c>
      <c r="D3301" s="22" t="s">
        <v>7710</v>
      </c>
      <c r="E3301" s="22" t="s">
        <v>1942</v>
      </c>
      <c r="F3301" s="24" t="s">
        <v>1943</v>
      </c>
      <c r="G3301" s="26" t="s">
        <v>22</v>
      </c>
      <c r="H3301" s="22"/>
      <c r="I3301" s="22"/>
      <c r="J3301" s="22"/>
      <c r="K3301" s="24"/>
      <c r="L3301" s="24"/>
      <c r="M3301" s="25" t="s">
        <v>1944</v>
      </c>
      <c r="N3301" s="22"/>
      <c r="O3301" s="22" t="s">
        <v>1945</v>
      </c>
      <c r="P3301" s="22" t="str">
        <f>HYPERLINK("https://ceds.ed.gov/cedselementdetails.aspx?termid=22257")</f>
        <v>https://ceds.ed.gov/cedselementdetails.aspx?termid=22257</v>
      </c>
      <c r="Q3301" s="22">
        <v>61085</v>
      </c>
    </row>
    <row r="3302" spans="1:17" ht="43.2" x14ac:dyDescent="0.3">
      <c r="A3302" s="22" t="s">
        <v>7870</v>
      </c>
      <c r="B3302" s="22" t="s">
        <v>7872</v>
      </c>
      <c r="C3302" s="22" t="s">
        <v>7862</v>
      </c>
      <c r="D3302" s="22" t="s">
        <v>7710</v>
      </c>
      <c r="E3302" s="22" t="s">
        <v>1946</v>
      </c>
      <c r="F3302" s="24" t="s">
        <v>1947</v>
      </c>
      <c r="G3302" s="23" t="s">
        <v>32</v>
      </c>
      <c r="H3302" s="22"/>
      <c r="I3302" s="22"/>
      <c r="J3302" s="22" t="s">
        <v>118</v>
      </c>
      <c r="K3302" s="24"/>
      <c r="L3302" s="24"/>
      <c r="M3302" s="25" t="s">
        <v>1948</v>
      </c>
      <c r="N3302" s="22"/>
      <c r="O3302" s="22" t="s">
        <v>1949</v>
      </c>
      <c r="P3302" s="22" t="str">
        <f>HYPERLINK("https://ceds.ed.gov/cedselementdetails.aspx?termid=22563")</f>
        <v>https://ceds.ed.gov/cedselementdetails.aspx?termid=22563</v>
      </c>
      <c r="Q3302" s="22">
        <v>62043</v>
      </c>
    </row>
    <row r="3303" spans="1:17" ht="57.6" x14ac:dyDescent="0.3">
      <c r="A3303" s="22" t="s">
        <v>7870</v>
      </c>
      <c r="B3303" s="22" t="s">
        <v>7872</v>
      </c>
      <c r="C3303" s="22" t="s">
        <v>7862</v>
      </c>
      <c r="D3303" s="22" t="s">
        <v>7710</v>
      </c>
      <c r="E3303" s="22" t="s">
        <v>1937</v>
      </c>
      <c r="F3303" s="24" t="s">
        <v>1938</v>
      </c>
      <c r="G3303" s="23" t="s">
        <v>32</v>
      </c>
      <c r="H3303" s="22"/>
      <c r="I3303" s="22"/>
      <c r="J3303" s="22" t="s">
        <v>118</v>
      </c>
      <c r="K3303" s="24"/>
      <c r="L3303" s="24" t="s">
        <v>143</v>
      </c>
      <c r="M3303" s="25" t="s">
        <v>1940</v>
      </c>
      <c r="N3303" s="22"/>
      <c r="O3303" s="22" t="s">
        <v>1941</v>
      </c>
      <c r="P3303" s="22" t="str">
        <f>HYPERLINK("https://ceds.ed.gov/cedselementdetails.aspx?termid=22562")</f>
        <v>https://ceds.ed.gov/cedselementdetails.aspx?termid=22562</v>
      </c>
      <c r="Q3303" s="22">
        <v>62038</v>
      </c>
    </row>
    <row r="3304" spans="1:17" ht="72" x14ac:dyDescent="0.3">
      <c r="A3304" s="22" t="s">
        <v>7870</v>
      </c>
      <c r="B3304" s="22" t="s">
        <v>7872</v>
      </c>
      <c r="C3304" s="22" t="s">
        <v>7862</v>
      </c>
      <c r="D3304" s="22" t="s">
        <v>7710</v>
      </c>
      <c r="E3304" s="22" t="s">
        <v>2511</v>
      </c>
      <c r="F3304" s="24" t="s">
        <v>2512</v>
      </c>
      <c r="G3304" s="26" t="s">
        <v>22</v>
      </c>
      <c r="H3304" s="22"/>
      <c r="I3304" s="22"/>
      <c r="J3304" s="22"/>
      <c r="K3304" s="24"/>
      <c r="L3304" s="24"/>
      <c r="M3304" s="25" t="s">
        <v>2513</v>
      </c>
      <c r="N3304" s="22"/>
      <c r="O3304" s="22" t="s">
        <v>2514</v>
      </c>
      <c r="P3304" s="22" t="str">
        <f>HYPERLINK("https://ceds.ed.gov/cedselementdetails.aspx?termid=22263")</f>
        <v>https://ceds.ed.gov/cedselementdetails.aspx?termid=22263</v>
      </c>
      <c r="Q3304" s="22">
        <v>61092</v>
      </c>
    </row>
    <row r="3305" spans="1:17" ht="86.4" x14ac:dyDescent="0.3">
      <c r="A3305" s="22" t="s">
        <v>7870</v>
      </c>
      <c r="B3305" s="22" t="s">
        <v>7872</v>
      </c>
      <c r="C3305" s="22" t="s">
        <v>7862</v>
      </c>
      <c r="D3305" s="22" t="s">
        <v>7710</v>
      </c>
      <c r="E3305" s="22" t="s">
        <v>2507</v>
      </c>
      <c r="F3305" s="24" t="s">
        <v>2508</v>
      </c>
      <c r="G3305" s="26" t="s">
        <v>8741</v>
      </c>
      <c r="H3305" s="22"/>
      <c r="I3305" s="22"/>
      <c r="J3305" s="22"/>
      <c r="K3305" s="24"/>
      <c r="L3305" s="24"/>
      <c r="M3305" s="25" t="s">
        <v>2509</v>
      </c>
      <c r="N3305" s="22"/>
      <c r="O3305" s="22" t="s">
        <v>2510</v>
      </c>
      <c r="P3305" s="22" t="str">
        <f>HYPERLINK("https://ceds.ed.gov/cedselementdetails.aspx?termid=22262")</f>
        <v>https://ceds.ed.gov/cedselementdetails.aspx?termid=22262</v>
      </c>
      <c r="Q3305" s="22">
        <v>61091</v>
      </c>
    </row>
    <row r="3306" spans="1:17" ht="331.2" x14ac:dyDescent="0.3">
      <c r="A3306" s="22" t="s">
        <v>7870</v>
      </c>
      <c r="B3306" s="22" t="s">
        <v>7872</v>
      </c>
      <c r="C3306" s="22" t="s">
        <v>7862</v>
      </c>
      <c r="D3306" s="22" t="s">
        <v>7710</v>
      </c>
      <c r="E3306" s="22" t="s">
        <v>3607</v>
      </c>
      <c r="F3306" s="24" t="s">
        <v>3608</v>
      </c>
      <c r="G3306" s="26" t="s">
        <v>8458</v>
      </c>
      <c r="H3306" s="24" t="s">
        <v>1901</v>
      </c>
      <c r="I3306" s="22"/>
      <c r="J3306" s="22"/>
      <c r="K3306" s="24"/>
      <c r="L3306" s="24"/>
      <c r="M3306" s="25" t="s">
        <v>3610</v>
      </c>
      <c r="N3306" s="22"/>
      <c r="O3306" s="22" t="s">
        <v>3611</v>
      </c>
      <c r="P3306" s="22" t="str">
        <f>HYPERLINK("https://ceds.ed.gov/cedselementdetails.aspx?termid=21100")</f>
        <v>https://ceds.ed.gov/cedselementdetails.aspx?termid=21100</v>
      </c>
      <c r="Q3306" s="22">
        <v>61157</v>
      </c>
    </row>
    <row r="3307" spans="1:17" ht="331.2" x14ac:dyDescent="0.3">
      <c r="A3307" s="22" t="s">
        <v>7870</v>
      </c>
      <c r="B3307" s="22" t="s">
        <v>7872</v>
      </c>
      <c r="C3307" s="22" t="s">
        <v>7862</v>
      </c>
      <c r="D3307" s="22" t="s">
        <v>7710</v>
      </c>
      <c r="E3307" s="22" t="s">
        <v>3616</v>
      </c>
      <c r="F3307" s="24" t="s">
        <v>3617</v>
      </c>
      <c r="G3307" s="26" t="s">
        <v>8433</v>
      </c>
      <c r="H3307" s="22"/>
      <c r="I3307" s="22" t="s">
        <v>172</v>
      </c>
      <c r="J3307" s="22"/>
      <c r="K3307" s="24" t="s">
        <v>7995</v>
      </c>
      <c r="L3307" s="24"/>
      <c r="M3307" s="25" t="s">
        <v>3618</v>
      </c>
      <c r="N3307" s="22"/>
      <c r="O3307" s="22" t="s">
        <v>3619</v>
      </c>
      <c r="P3307" s="22" t="str">
        <f>HYPERLINK("https://ceds.ed.gov/cedselementdetails.aspx?termid=22177")</f>
        <v>https://ceds.ed.gov/cedselementdetails.aspx?termid=22177</v>
      </c>
      <c r="Q3307" s="22">
        <v>61158</v>
      </c>
    </row>
    <row r="3308" spans="1:17" ht="43.2" x14ac:dyDescent="0.3">
      <c r="A3308" s="22" t="s">
        <v>7870</v>
      </c>
      <c r="B3308" s="22" t="s">
        <v>7872</v>
      </c>
      <c r="C3308" s="22" t="s">
        <v>7862</v>
      </c>
      <c r="D3308" s="22" t="s">
        <v>7710</v>
      </c>
      <c r="E3308" s="22" t="s">
        <v>4796</v>
      </c>
      <c r="F3308" s="24" t="s">
        <v>4797</v>
      </c>
      <c r="G3308" s="23" t="s">
        <v>32</v>
      </c>
      <c r="H3308" s="22" t="s">
        <v>4801</v>
      </c>
      <c r="I3308" s="22"/>
      <c r="J3308" s="22" t="s">
        <v>1518</v>
      </c>
      <c r="K3308" s="24"/>
      <c r="L3308" s="24"/>
      <c r="M3308" s="25" t="s">
        <v>4799</v>
      </c>
      <c r="N3308" s="22"/>
      <c r="O3308" s="22" t="s">
        <v>4800</v>
      </c>
      <c r="P3308" s="22" t="str">
        <f>HYPERLINK("https://ceds.ed.gov/cedselementdetails.aspx?termid=21361")</f>
        <v>https://ceds.ed.gov/cedselementdetails.aspx?termid=21361</v>
      </c>
      <c r="Q3308" s="22">
        <v>61230</v>
      </c>
    </row>
    <row r="3309" spans="1:17" ht="28.8" x14ac:dyDescent="0.3">
      <c r="A3309" s="22" t="s">
        <v>7870</v>
      </c>
      <c r="B3309" s="22" t="s">
        <v>7872</v>
      </c>
      <c r="C3309" s="22" t="s">
        <v>7862</v>
      </c>
      <c r="D3309" s="22" t="s">
        <v>7710</v>
      </c>
      <c r="E3309" s="22" t="s">
        <v>6157</v>
      </c>
      <c r="F3309" s="24" t="s">
        <v>6158</v>
      </c>
      <c r="G3309" s="23" t="s">
        <v>32</v>
      </c>
      <c r="H3309" s="22"/>
      <c r="I3309" s="22"/>
      <c r="J3309" s="22" t="s">
        <v>113</v>
      </c>
      <c r="K3309" s="24"/>
      <c r="L3309" s="24"/>
      <c r="M3309" s="25" t="s">
        <v>6159</v>
      </c>
      <c r="N3309" s="22"/>
      <c r="O3309" s="22" t="s">
        <v>6160</v>
      </c>
      <c r="P3309" s="22" t="str">
        <f>HYPERLINK("https://ceds.ed.gov/cedselementdetails.aspx?termid=22909")</f>
        <v>https://ceds.ed.gov/cedselementdetails.aspx?termid=22909</v>
      </c>
      <c r="Q3309" s="22">
        <v>63227</v>
      </c>
    </row>
    <row r="3310" spans="1:17" ht="115.2" x14ac:dyDescent="0.3">
      <c r="A3310" s="22" t="s">
        <v>7870</v>
      </c>
      <c r="B3310" s="22" t="s">
        <v>7872</v>
      </c>
      <c r="C3310" s="22" t="s">
        <v>7862</v>
      </c>
      <c r="D3310" s="22" t="s">
        <v>7710</v>
      </c>
      <c r="E3310" s="22" t="s">
        <v>7425</v>
      </c>
      <c r="F3310" s="24" t="s">
        <v>7426</v>
      </c>
      <c r="G3310" s="26" t="s">
        <v>3039</v>
      </c>
      <c r="H3310" s="22"/>
      <c r="I3310" s="22"/>
      <c r="J3310" s="22"/>
      <c r="K3310" s="24"/>
      <c r="L3310" s="24"/>
      <c r="M3310" s="25" t="s">
        <v>7427</v>
      </c>
      <c r="N3310" s="22"/>
      <c r="O3310" s="22" t="s">
        <v>7428</v>
      </c>
      <c r="P3310" s="22" t="str">
        <f>HYPERLINK("https://ceds.ed.gov/cedselementdetails.aspx?termid=22912")</f>
        <v>https://ceds.ed.gov/cedselementdetails.aspx?termid=22912</v>
      </c>
      <c r="Q3310" s="22">
        <v>63471</v>
      </c>
    </row>
    <row r="3311" spans="1:17" ht="86.4" x14ac:dyDescent="0.3">
      <c r="A3311" s="22" t="s">
        <v>7870</v>
      </c>
      <c r="B3311" s="22" t="s">
        <v>7872</v>
      </c>
      <c r="C3311" s="22" t="s">
        <v>7862</v>
      </c>
      <c r="D3311" s="22" t="s">
        <v>7710</v>
      </c>
      <c r="E3311" s="22" t="s">
        <v>7429</v>
      </c>
      <c r="F3311" s="24" t="s">
        <v>7430</v>
      </c>
      <c r="G3311" s="26" t="s">
        <v>3039</v>
      </c>
      <c r="H3311" s="22"/>
      <c r="I3311" s="22"/>
      <c r="J3311" s="22"/>
      <c r="K3311" s="24"/>
      <c r="L3311" s="24"/>
      <c r="M3311" s="25" t="s">
        <v>7431</v>
      </c>
      <c r="N3311" s="22"/>
      <c r="O3311" s="22" t="s">
        <v>7432</v>
      </c>
      <c r="P3311" s="22" t="str">
        <f>HYPERLINK("https://ceds.ed.gov/cedselementdetails.aspx?termid=22913")</f>
        <v>https://ceds.ed.gov/cedselementdetails.aspx?termid=22913</v>
      </c>
      <c r="Q3311" s="22">
        <v>63472</v>
      </c>
    </row>
    <row r="3312" spans="1:17" ht="129.6" x14ac:dyDescent="0.3">
      <c r="A3312" s="22" t="s">
        <v>7870</v>
      </c>
      <c r="B3312" s="22" t="s">
        <v>7872</v>
      </c>
      <c r="C3312" s="22" t="s">
        <v>7862</v>
      </c>
      <c r="D3312" s="22" t="s">
        <v>7710</v>
      </c>
      <c r="E3312" s="22" t="s">
        <v>7433</v>
      </c>
      <c r="F3312" s="24" t="s">
        <v>7434</v>
      </c>
      <c r="G3312" s="26" t="s">
        <v>3039</v>
      </c>
      <c r="H3312" s="22"/>
      <c r="I3312" s="22"/>
      <c r="J3312" s="22"/>
      <c r="K3312" s="24"/>
      <c r="L3312" s="24"/>
      <c r="M3312" s="25" t="s">
        <v>7435</v>
      </c>
      <c r="N3312" s="22"/>
      <c r="O3312" s="22" t="s">
        <v>7436</v>
      </c>
      <c r="P3312" s="22" t="str">
        <f>HYPERLINK("https://ceds.ed.gov/cedselementdetails.aspx?termid=22914")</f>
        <v>https://ceds.ed.gov/cedselementdetails.aspx?termid=22914</v>
      </c>
      <c r="Q3312" s="22">
        <v>63473</v>
      </c>
    </row>
    <row r="3313" spans="1:17" ht="201.6" x14ac:dyDescent="0.3">
      <c r="A3313" s="22" t="s">
        <v>7870</v>
      </c>
      <c r="B3313" s="22" t="s">
        <v>7872</v>
      </c>
      <c r="C3313" s="22" t="s">
        <v>7862</v>
      </c>
      <c r="D3313" s="22" t="s">
        <v>7710</v>
      </c>
      <c r="E3313" s="22" t="s">
        <v>7437</v>
      </c>
      <c r="F3313" s="24" t="s">
        <v>7438</v>
      </c>
      <c r="G3313" s="26" t="s">
        <v>8588</v>
      </c>
      <c r="H3313" s="22"/>
      <c r="I3313" s="22"/>
      <c r="J3313" s="22"/>
      <c r="K3313" s="24"/>
      <c r="L3313" s="24"/>
      <c r="M3313" s="25" t="s">
        <v>7439</v>
      </c>
      <c r="N3313" s="22"/>
      <c r="O3313" s="22" t="s">
        <v>7440</v>
      </c>
      <c r="P3313" s="22" t="str">
        <f>HYPERLINK("https://ceds.ed.gov/cedselementdetails.aspx?termid=22915")</f>
        <v>https://ceds.ed.gov/cedselementdetails.aspx?termid=22915</v>
      </c>
      <c r="Q3313" s="22">
        <v>63474</v>
      </c>
    </row>
    <row r="3314" spans="1:17" ht="43.2" x14ac:dyDescent="0.3">
      <c r="A3314" s="22" t="s">
        <v>7870</v>
      </c>
      <c r="B3314" s="22" t="s">
        <v>7872</v>
      </c>
      <c r="C3314" s="22" t="s">
        <v>7862</v>
      </c>
      <c r="D3314" s="22" t="s">
        <v>7710</v>
      </c>
      <c r="E3314" s="22" t="s">
        <v>396</v>
      </c>
      <c r="F3314" s="24" t="s">
        <v>7963</v>
      </c>
      <c r="G3314" s="23" t="s">
        <v>32</v>
      </c>
      <c r="H3314" s="24" t="s">
        <v>399</v>
      </c>
      <c r="I3314" s="22"/>
      <c r="J3314" s="22" t="s">
        <v>118</v>
      </c>
      <c r="K3314" s="24"/>
      <c r="L3314" s="24"/>
      <c r="M3314" s="25" t="s">
        <v>397</v>
      </c>
      <c r="N3314" s="22"/>
      <c r="O3314" s="22" t="s">
        <v>398</v>
      </c>
      <c r="P3314" s="22" t="str">
        <f>HYPERLINK("https://ceds.ed.gov/cedselementdetails.aspx?termid=21323")</f>
        <v>https://ceds.ed.gov/cedselementdetails.aspx?termid=21323</v>
      </c>
      <c r="Q3314" s="22">
        <v>63475</v>
      </c>
    </row>
    <row r="3315" spans="1:17" ht="216" x14ac:dyDescent="0.3">
      <c r="A3315" s="22" t="s">
        <v>7870</v>
      </c>
      <c r="B3315" s="22" t="s">
        <v>7872</v>
      </c>
      <c r="C3315" s="22" t="s">
        <v>7862</v>
      </c>
      <c r="D3315" s="22" t="s">
        <v>7710</v>
      </c>
      <c r="E3315" s="22" t="s">
        <v>7656</v>
      </c>
      <c r="F3315" s="24" t="s">
        <v>7657</v>
      </c>
      <c r="G3315" s="26" t="s">
        <v>8514</v>
      </c>
      <c r="H3315" s="22"/>
      <c r="I3315" s="22" t="s">
        <v>172</v>
      </c>
      <c r="J3315" s="22"/>
      <c r="K3315" s="24" t="s">
        <v>7995</v>
      </c>
      <c r="L3315" s="24"/>
      <c r="M3315" s="25" t="s">
        <v>7658</v>
      </c>
      <c r="N3315" s="22"/>
      <c r="O3315" s="22" t="s">
        <v>7656</v>
      </c>
      <c r="P3315" s="22" t="str">
        <f>HYPERLINK("https://ceds.ed.gov/cedselementdetails.aspx?termid=22959")</f>
        <v>https://ceds.ed.gov/cedselementdetails.aspx?termid=22959</v>
      </c>
      <c r="Q3315" s="22">
        <v>63476</v>
      </c>
    </row>
    <row r="3316" spans="1:17" ht="216" x14ac:dyDescent="0.3">
      <c r="A3316" s="22" t="s">
        <v>7870</v>
      </c>
      <c r="B3316" s="22" t="s">
        <v>7872</v>
      </c>
      <c r="C3316" s="22" t="s">
        <v>7862</v>
      </c>
      <c r="D3316" s="22" t="s">
        <v>7710</v>
      </c>
      <c r="E3316" s="22" t="s">
        <v>7697</v>
      </c>
      <c r="F3316" s="24" t="s">
        <v>7698</v>
      </c>
      <c r="G3316" s="26" t="s">
        <v>9189</v>
      </c>
      <c r="H3316" s="22"/>
      <c r="I3316" s="22"/>
      <c r="J3316" s="22"/>
      <c r="K3316" s="24"/>
      <c r="L3316" s="24"/>
      <c r="M3316" s="25" t="s">
        <v>7699</v>
      </c>
      <c r="N3316" s="22"/>
      <c r="O3316" s="22" t="s">
        <v>7700</v>
      </c>
      <c r="P3316" s="22" t="str">
        <f>HYPERLINK("https://ceds.ed.gov/cedselementdetails.aspx?termid=22969")</f>
        <v>https://ceds.ed.gov/cedselementdetails.aspx?termid=22969</v>
      </c>
      <c r="Q3316" s="22">
        <v>63477</v>
      </c>
    </row>
    <row r="3317" spans="1:17" ht="100.8" x14ac:dyDescent="0.3">
      <c r="A3317" s="22" t="s">
        <v>7870</v>
      </c>
      <c r="B3317" s="22" t="s">
        <v>7872</v>
      </c>
      <c r="C3317" s="22" t="s">
        <v>7862</v>
      </c>
      <c r="D3317" s="22" t="s">
        <v>7710</v>
      </c>
      <c r="E3317" s="22" t="s">
        <v>7701</v>
      </c>
      <c r="F3317" s="24" t="s">
        <v>7702</v>
      </c>
      <c r="G3317" s="26" t="s">
        <v>3039</v>
      </c>
      <c r="H3317" s="22"/>
      <c r="I3317" s="22"/>
      <c r="J3317" s="22"/>
      <c r="K3317" s="24"/>
      <c r="L3317" s="24"/>
      <c r="M3317" s="25" t="s">
        <v>7703</v>
      </c>
      <c r="N3317" s="22"/>
      <c r="O3317" s="22" t="s">
        <v>7704</v>
      </c>
      <c r="P3317" s="22" t="str">
        <f>HYPERLINK("https://ceds.ed.gov/cedselementdetails.aspx?termid=22970")</f>
        <v>https://ceds.ed.gov/cedselementdetails.aspx?termid=22970</v>
      </c>
      <c r="Q3317" s="22">
        <v>63478</v>
      </c>
    </row>
    <row r="3318" spans="1:17" ht="273.60000000000002" x14ac:dyDescent="0.3">
      <c r="A3318" s="22" t="s">
        <v>7870</v>
      </c>
      <c r="B3318" s="22" t="s">
        <v>7872</v>
      </c>
      <c r="C3318" s="22" t="s">
        <v>7862</v>
      </c>
      <c r="D3318" s="22" t="s">
        <v>7710</v>
      </c>
      <c r="E3318" s="22" t="s">
        <v>7705</v>
      </c>
      <c r="F3318" s="24" t="s">
        <v>7706</v>
      </c>
      <c r="G3318" s="26" t="s">
        <v>3039</v>
      </c>
      <c r="H3318" s="22"/>
      <c r="I3318" s="22"/>
      <c r="J3318" s="22"/>
      <c r="K3318" s="24"/>
      <c r="L3318" s="24"/>
      <c r="M3318" s="25" t="s">
        <v>7707</v>
      </c>
      <c r="N3318" s="22"/>
      <c r="O3318" s="22" t="s">
        <v>7708</v>
      </c>
      <c r="P3318" s="22" t="str">
        <f>HYPERLINK("https://ceds.ed.gov/cedselementdetails.aspx?termid=22971")</f>
        <v>https://ceds.ed.gov/cedselementdetails.aspx?termid=22971</v>
      </c>
      <c r="Q3318" s="22">
        <v>63479</v>
      </c>
    </row>
    <row r="3319" spans="1:17" ht="115.2" x14ac:dyDescent="0.3">
      <c r="A3319" s="22" t="s">
        <v>7870</v>
      </c>
      <c r="B3319" s="22" t="s">
        <v>7872</v>
      </c>
      <c r="C3319" s="22" t="s">
        <v>7754</v>
      </c>
      <c r="D3319" s="22" t="s">
        <v>7710</v>
      </c>
      <c r="E3319" s="22" t="s">
        <v>4923</v>
      </c>
      <c r="F3319" s="24" t="s">
        <v>4924</v>
      </c>
      <c r="G3319" s="23" t="s">
        <v>7423</v>
      </c>
      <c r="H3319" s="24" t="s">
        <v>4927</v>
      </c>
      <c r="I3319" s="22"/>
      <c r="J3319" s="22"/>
      <c r="K3319" s="24"/>
      <c r="L3319" s="24" t="s">
        <v>7994</v>
      </c>
      <c r="M3319" s="25" t="s">
        <v>4925</v>
      </c>
      <c r="N3319" s="22"/>
      <c r="O3319" s="22" t="s">
        <v>4926</v>
      </c>
      <c r="P3319" s="22" t="str">
        <f>HYPERLINK("https://ceds.ed.gov/cedselementdetails.aspx?termid=21317")</f>
        <v>https://ceds.ed.gov/cedselementdetails.aspx?termid=21317</v>
      </c>
      <c r="Q3319" s="22">
        <v>63223</v>
      </c>
    </row>
    <row r="3320" spans="1:17" ht="115.2" x14ac:dyDescent="0.3">
      <c r="A3320" s="22" t="s">
        <v>7870</v>
      </c>
      <c r="B3320" s="22" t="s">
        <v>7872</v>
      </c>
      <c r="C3320" s="22" t="s">
        <v>7754</v>
      </c>
      <c r="D3320" s="22" t="s">
        <v>7710</v>
      </c>
      <c r="E3320" s="22" t="s">
        <v>4928</v>
      </c>
      <c r="F3320" s="24" t="s">
        <v>4924</v>
      </c>
      <c r="G3320" s="23" t="s">
        <v>7423</v>
      </c>
      <c r="H3320" s="22"/>
      <c r="I3320" s="22" t="s">
        <v>172</v>
      </c>
      <c r="J3320" s="22"/>
      <c r="K3320" s="24" t="s">
        <v>8231</v>
      </c>
      <c r="L3320" s="24" t="s">
        <v>8232</v>
      </c>
      <c r="M3320" s="25" t="s">
        <v>4929</v>
      </c>
      <c r="N3320" s="22"/>
      <c r="O3320" s="22" t="s">
        <v>4930</v>
      </c>
      <c r="P3320" s="22" t="str">
        <f>HYPERLINK("https://ceds.ed.gov/cedselementdetails.aspx?termid=22618")</f>
        <v>https://ceds.ed.gov/cedselementdetails.aspx?termid=22618</v>
      </c>
      <c r="Q3320" s="22">
        <v>63224</v>
      </c>
    </row>
    <row r="3321" spans="1:17" ht="409.6" x14ac:dyDescent="0.3">
      <c r="A3321" s="22" t="s">
        <v>7870</v>
      </c>
      <c r="B3321" s="22" t="s">
        <v>7872</v>
      </c>
      <c r="C3321" s="22" t="s">
        <v>7754</v>
      </c>
      <c r="D3321" s="22" t="s">
        <v>7710</v>
      </c>
      <c r="E3321" s="22" t="s">
        <v>4931</v>
      </c>
      <c r="F3321" s="24" t="s">
        <v>4932</v>
      </c>
      <c r="G3321" s="26" t="s">
        <v>8988</v>
      </c>
      <c r="H3321" s="22"/>
      <c r="I3321" s="22"/>
      <c r="J3321" s="22"/>
      <c r="K3321" s="24"/>
      <c r="L3321" s="24" t="s">
        <v>8233</v>
      </c>
      <c r="M3321" s="25" t="s">
        <v>4933</v>
      </c>
      <c r="N3321" s="22"/>
      <c r="O3321" s="22" t="s">
        <v>4934</v>
      </c>
      <c r="P3321" s="22" t="str">
        <f>HYPERLINK("https://ceds.ed.gov/cedselementdetails.aspx?termid=22619")</f>
        <v>https://ceds.ed.gov/cedselementdetails.aspx?termid=22619</v>
      </c>
      <c r="Q3321" s="22">
        <v>63225</v>
      </c>
    </row>
    <row r="3322" spans="1:17" ht="129.6" x14ac:dyDescent="0.3">
      <c r="A3322" s="22" t="s">
        <v>7870</v>
      </c>
      <c r="B3322" s="22" t="s">
        <v>7872</v>
      </c>
      <c r="C3322" s="22" t="s">
        <v>7754</v>
      </c>
      <c r="D3322" s="22" t="s">
        <v>7710</v>
      </c>
      <c r="E3322" s="22" t="s">
        <v>4965</v>
      </c>
      <c r="F3322" s="24" t="s">
        <v>4966</v>
      </c>
      <c r="G3322" s="26" t="s">
        <v>8993</v>
      </c>
      <c r="H3322" s="24" t="s">
        <v>4927</v>
      </c>
      <c r="I3322" s="22"/>
      <c r="J3322" s="22"/>
      <c r="K3322" s="24"/>
      <c r="L3322" s="24"/>
      <c r="M3322" s="25" t="s">
        <v>4967</v>
      </c>
      <c r="N3322" s="22"/>
      <c r="O3322" s="22" t="s">
        <v>4968</v>
      </c>
      <c r="P3322" s="22" t="str">
        <f>HYPERLINK("https://ceds.ed.gov/cedselementdetails.aspx?termid=21316")</f>
        <v>https://ceds.ed.gov/cedselementdetails.aspx?termid=21316</v>
      </c>
      <c r="Q3322" s="22">
        <v>63226</v>
      </c>
    </row>
    <row r="3323" spans="1:17" ht="409.6" x14ac:dyDescent="0.3">
      <c r="A3323" s="22" t="s">
        <v>7870</v>
      </c>
      <c r="B3323" s="22" t="s">
        <v>7872</v>
      </c>
      <c r="C3323" s="22" t="s">
        <v>7766</v>
      </c>
      <c r="D3323" s="22" t="s">
        <v>7710</v>
      </c>
      <c r="E3323" s="22" t="s">
        <v>5851</v>
      </c>
      <c r="F3323" s="24" t="s">
        <v>5852</v>
      </c>
      <c r="G3323" s="26" t="s">
        <v>9062</v>
      </c>
      <c r="H3323" s="22" t="s">
        <v>1553</v>
      </c>
      <c r="I3323" s="22"/>
      <c r="J3323" s="22"/>
      <c r="K3323" s="24"/>
      <c r="L3323" s="24" t="s">
        <v>5853</v>
      </c>
      <c r="M3323" s="25" t="s">
        <v>5854</v>
      </c>
      <c r="N3323" s="22"/>
      <c r="O3323" s="22" t="s">
        <v>5855</v>
      </c>
      <c r="P3323" s="22" t="str">
        <f>HYPERLINK("https://ceds.ed.gov/cedselementdetails.aspx?termid=21415")</f>
        <v>https://ceds.ed.gov/cedselementdetails.aspx?termid=21415</v>
      </c>
      <c r="Q3323" s="22">
        <v>63228</v>
      </c>
    </row>
    <row r="3324" spans="1:17" ht="57.6" x14ac:dyDescent="0.3">
      <c r="A3324" s="22" t="s">
        <v>7870</v>
      </c>
      <c r="B3324" s="22" t="s">
        <v>7872</v>
      </c>
      <c r="C3324" s="22" t="s">
        <v>7767</v>
      </c>
      <c r="D3324" s="22" t="s">
        <v>7710</v>
      </c>
      <c r="E3324" s="22" t="s">
        <v>7559</v>
      </c>
      <c r="F3324" s="24" t="s">
        <v>7560</v>
      </c>
      <c r="G3324" s="23" t="s">
        <v>32</v>
      </c>
      <c r="H3324" s="22"/>
      <c r="I3324" s="22"/>
      <c r="J3324" s="22" t="s">
        <v>148</v>
      </c>
      <c r="K3324" s="24"/>
      <c r="L3324" s="24" t="s">
        <v>7561</v>
      </c>
      <c r="M3324" s="25" t="s">
        <v>7562</v>
      </c>
      <c r="N3324" s="22"/>
      <c r="O3324" s="22" t="s">
        <v>7563</v>
      </c>
      <c r="P3324" s="22" t="str">
        <f>HYPERLINK("https://ceds.ed.gov/cedselementdetails.aspx?termid=22938")</f>
        <v>https://ceds.ed.gov/cedselementdetails.aspx?termid=22938</v>
      </c>
      <c r="Q3324" s="22">
        <v>63466</v>
      </c>
    </row>
    <row r="3325" spans="1:17" ht="43.2" x14ac:dyDescent="0.3">
      <c r="A3325" s="22" t="s">
        <v>7870</v>
      </c>
      <c r="B3325" s="22" t="s">
        <v>7872</v>
      </c>
      <c r="C3325" s="22" t="s">
        <v>7767</v>
      </c>
      <c r="D3325" s="22" t="s">
        <v>7710</v>
      </c>
      <c r="E3325" s="22" t="s">
        <v>7569</v>
      </c>
      <c r="F3325" s="24" t="s">
        <v>7570</v>
      </c>
      <c r="G3325" s="23" t="s">
        <v>32</v>
      </c>
      <c r="H3325" s="22"/>
      <c r="I3325" s="22"/>
      <c r="J3325" s="22" t="s">
        <v>845</v>
      </c>
      <c r="K3325" s="24"/>
      <c r="L3325" s="24" t="s">
        <v>7571</v>
      </c>
      <c r="M3325" s="25" t="s">
        <v>7572</v>
      </c>
      <c r="N3325" s="22"/>
      <c r="O3325" s="22" t="s">
        <v>7573</v>
      </c>
      <c r="P3325" s="22" t="str">
        <f>HYPERLINK("https://ceds.ed.gov/cedselementdetails.aspx?termid=22940")</f>
        <v>https://ceds.ed.gov/cedselementdetails.aspx?termid=22940</v>
      </c>
      <c r="Q3325" s="22">
        <v>63467</v>
      </c>
    </row>
    <row r="3326" spans="1:17" ht="57.6" x14ac:dyDescent="0.3">
      <c r="A3326" s="22" t="s">
        <v>7870</v>
      </c>
      <c r="B3326" s="22" t="s">
        <v>7872</v>
      </c>
      <c r="C3326" s="22" t="s">
        <v>7767</v>
      </c>
      <c r="D3326" s="22" t="s">
        <v>7710</v>
      </c>
      <c r="E3326" s="22" t="s">
        <v>7574</v>
      </c>
      <c r="F3326" s="24" t="s">
        <v>7575</v>
      </c>
      <c r="G3326" s="23" t="s">
        <v>32</v>
      </c>
      <c r="H3326" s="22"/>
      <c r="I3326" s="22"/>
      <c r="J3326" s="22" t="s">
        <v>148</v>
      </c>
      <c r="K3326" s="24"/>
      <c r="L3326" s="24" t="s">
        <v>7576</v>
      </c>
      <c r="M3326" s="25" t="s">
        <v>7577</v>
      </c>
      <c r="N3326" s="22"/>
      <c r="O3326" s="22" t="s">
        <v>7578</v>
      </c>
      <c r="P3326" s="22" t="str">
        <f>HYPERLINK("https://ceds.ed.gov/cedselementdetails.aspx?termid=22941")</f>
        <v>https://ceds.ed.gov/cedselementdetails.aspx?termid=22941</v>
      </c>
      <c r="Q3326" s="22">
        <v>63468</v>
      </c>
    </row>
    <row r="3327" spans="1:17" ht="158.4" x14ac:dyDescent="0.3">
      <c r="A3327" s="22" t="s">
        <v>7870</v>
      </c>
      <c r="B3327" s="22" t="s">
        <v>7873</v>
      </c>
      <c r="C3327" s="22" t="s">
        <v>7738</v>
      </c>
      <c r="D3327" s="22" t="s">
        <v>7710</v>
      </c>
      <c r="E3327" s="22" t="s">
        <v>4050</v>
      </c>
      <c r="F3327" s="24" t="s">
        <v>4051</v>
      </c>
      <c r="G3327" s="23" t="s">
        <v>32</v>
      </c>
      <c r="H3327" s="24" t="s">
        <v>4054</v>
      </c>
      <c r="I3327" s="22"/>
      <c r="J3327" s="22" t="s">
        <v>7536</v>
      </c>
      <c r="K3327" s="24"/>
      <c r="L3327" s="24" t="s">
        <v>8200</v>
      </c>
      <c r="M3327" s="25" t="s">
        <v>4052</v>
      </c>
      <c r="N3327" s="22"/>
      <c r="O3327" s="22" t="s">
        <v>4053</v>
      </c>
      <c r="P3327" s="22" t="str">
        <f>HYPERLINK("https://ceds.ed.gov/cedselementdetails.aspx?termid=21115")</f>
        <v>https://ceds.ed.gov/cedselementdetails.aspx?termid=21115</v>
      </c>
      <c r="Q3327" s="22">
        <v>59299</v>
      </c>
    </row>
    <row r="3328" spans="1:17" ht="158.4" x14ac:dyDescent="0.3">
      <c r="A3328" s="22" t="s">
        <v>7870</v>
      </c>
      <c r="B3328" s="22" t="s">
        <v>7873</v>
      </c>
      <c r="C3328" s="22" t="s">
        <v>7738</v>
      </c>
      <c r="D3328" s="22" t="s">
        <v>7710</v>
      </c>
      <c r="E3328" s="22" t="s">
        <v>5415</v>
      </c>
      <c r="F3328" s="24" t="s">
        <v>5416</v>
      </c>
      <c r="G3328" s="23" t="s">
        <v>32</v>
      </c>
      <c r="H3328" s="24" t="s">
        <v>4054</v>
      </c>
      <c r="I3328" s="22"/>
      <c r="J3328" s="22" t="s">
        <v>7536</v>
      </c>
      <c r="K3328" s="24"/>
      <c r="L3328" s="24" t="s">
        <v>8207</v>
      </c>
      <c r="M3328" s="25" t="s">
        <v>5417</v>
      </c>
      <c r="N3328" s="22"/>
      <c r="O3328" s="22" t="s">
        <v>5418</v>
      </c>
      <c r="P3328" s="22" t="str">
        <f>HYPERLINK("https://ceds.ed.gov/cedselementdetails.aspx?termid=21184")</f>
        <v>https://ceds.ed.gov/cedselementdetails.aspx?termid=21184</v>
      </c>
      <c r="Q3328" s="22">
        <v>59301</v>
      </c>
    </row>
    <row r="3329" spans="1:17" ht="158.4" x14ac:dyDescent="0.3">
      <c r="A3329" s="22" t="s">
        <v>7870</v>
      </c>
      <c r="B3329" s="22" t="s">
        <v>7873</v>
      </c>
      <c r="C3329" s="22" t="s">
        <v>7738</v>
      </c>
      <c r="D3329" s="22" t="s">
        <v>7710</v>
      </c>
      <c r="E3329" s="22" t="s">
        <v>4973</v>
      </c>
      <c r="F3329" s="24" t="s">
        <v>4974</v>
      </c>
      <c r="G3329" s="23" t="s">
        <v>32</v>
      </c>
      <c r="H3329" s="24" t="s">
        <v>4054</v>
      </c>
      <c r="I3329" s="22"/>
      <c r="J3329" s="22" t="s">
        <v>7536</v>
      </c>
      <c r="K3329" s="24"/>
      <c r="L3329" s="24" t="s">
        <v>8207</v>
      </c>
      <c r="M3329" s="25" t="s">
        <v>4975</v>
      </c>
      <c r="N3329" s="22" t="s">
        <v>4976</v>
      </c>
      <c r="O3329" s="22" t="s">
        <v>4977</v>
      </c>
      <c r="P3329" s="22" t="str">
        <f>HYPERLINK("https://ceds.ed.gov/cedselementdetails.aspx?termid=21172")</f>
        <v>https://ceds.ed.gov/cedselementdetails.aspx?termid=21172</v>
      </c>
      <c r="Q3329" s="22">
        <v>59303</v>
      </c>
    </row>
    <row r="3330" spans="1:17" ht="129.6" x14ac:dyDescent="0.3">
      <c r="A3330" s="22" t="s">
        <v>7870</v>
      </c>
      <c r="B3330" s="22" t="s">
        <v>7873</v>
      </c>
      <c r="C3330" s="22" t="s">
        <v>7738</v>
      </c>
      <c r="D3330" s="22" t="s">
        <v>7710</v>
      </c>
      <c r="E3330" s="22" t="s">
        <v>4114</v>
      </c>
      <c r="F3330" s="24" t="s">
        <v>4115</v>
      </c>
      <c r="G3330" s="23" t="s">
        <v>32</v>
      </c>
      <c r="H3330" s="24" t="s">
        <v>4119</v>
      </c>
      <c r="I3330" s="22"/>
      <c r="J3330" s="22" t="s">
        <v>2743</v>
      </c>
      <c r="K3330" s="24"/>
      <c r="L3330" s="24" t="s">
        <v>8207</v>
      </c>
      <c r="M3330" s="25" t="s">
        <v>4117</v>
      </c>
      <c r="N3330" s="22"/>
      <c r="O3330" s="22" t="s">
        <v>4118</v>
      </c>
      <c r="P3330" s="22" t="str">
        <f>HYPERLINK("https://ceds.ed.gov/cedselementdetails.aspx?termid=21121")</f>
        <v>https://ceds.ed.gov/cedselementdetails.aspx?termid=21121</v>
      </c>
      <c r="Q3330" s="22">
        <v>60039</v>
      </c>
    </row>
    <row r="3331" spans="1:17" ht="86.4" x14ac:dyDescent="0.3">
      <c r="A3331" s="22" t="s">
        <v>7870</v>
      </c>
      <c r="B3331" s="22" t="s">
        <v>7873</v>
      </c>
      <c r="C3331" s="22" t="s">
        <v>7738</v>
      </c>
      <c r="D3331" s="22" t="s">
        <v>7710</v>
      </c>
      <c r="E3331" s="22" t="s">
        <v>5860</v>
      </c>
      <c r="F3331" s="24" t="s">
        <v>5861</v>
      </c>
      <c r="G3331" s="23" t="s">
        <v>32</v>
      </c>
      <c r="H3331" s="24" t="s">
        <v>5865</v>
      </c>
      <c r="I3331" s="22"/>
      <c r="J3331" s="22" t="s">
        <v>85</v>
      </c>
      <c r="K3331" s="24"/>
      <c r="L3331" s="24"/>
      <c r="M3331" s="25" t="s">
        <v>5862</v>
      </c>
      <c r="N3331" s="22" t="s">
        <v>5863</v>
      </c>
      <c r="O3331" s="22" t="s">
        <v>5864</v>
      </c>
      <c r="P3331" s="22" t="str">
        <f>HYPERLINK("https://ceds.ed.gov/cedselementdetails.aspx?termid=21212")</f>
        <v>https://ceds.ed.gov/cedselementdetails.aspx?termid=21212</v>
      </c>
      <c r="Q3331" s="22">
        <v>60040</v>
      </c>
    </row>
    <row r="3332" spans="1:17" ht="28.8" x14ac:dyDescent="0.3">
      <c r="A3332" s="22" t="s">
        <v>7870</v>
      </c>
      <c r="B3332" s="22" t="s">
        <v>7873</v>
      </c>
      <c r="C3332" s="22" t="s">
        <v>7739</v>
      </c>
      <c r="D3332" s="22" t="s">
        <v>7710</v>
      </c>
      <c r="E3332" s="22" t="s">
        <v>5728</v>
      </c>
      <c r="F3332" s="24" t="s">
        <v>5729</v>
      </c>
      <c r="G3332" s="23" t="s">
        <v>32</v>
      </c>
      <c r="H3332" s="22"/>
      <c r="I3332" s="22"/>
      <c r="J3332" s="22" t="s">
        <v>1301</v>
      </c>
      <c r="K3332" s="24"/>
      <c r="L3332" s="24" t="s">
        <v>5730</v>
      </c>
      <c r="M3332" s="25" t="s">
        <v>5731</v>
      </c>
      <c r="N3332" s="22"/>
      <c r="O3332" s="22" t="s">
        <v>5732</v>
      </c>
      <c r="P3332" s="22" t="str">
        <f>HYPERLINK("https://ceds.ed.gov/cedselementdetails.aspx?termid=22486")</f>
        <v>https://ceds.ed.gov/cedselementdetails.aspx?termid=22486</v>
      </c>
      <c r="Q3332" s="22">
        <v>61638</v>
      </c>
    </row>
    <row r="3333" spans="1:17" ht="28.8" x14ac:dyDescent="0.3">
      <c r="A3333" s="22" t="s">
        <v>7870</v>
      </c>
      <c r="B3333" s="22" t="s">
        <v>7873</v>
      </c>
      <c r="C3333" s="22" t="s">
        <v>7739</v>
      </c>
      <c r="D3333" s="22" t="s">
        <v>7710</v>
      </c>
      <c r="E3333" s="22" t="s">
        <v>5738</v>
      </c>
      <c r="F3333" s="24" t="s">
        <v>5739</v>
      </c>
      <c r="G3333" s="23" t="s">
        <v>32</v>
      </c>
      <c r="H3333" s="22"/>
      <c r="I3333" s="22"/>
      <c r="J3333" s="22" t="s">
        <v>1301</v>
      </c>
      <c r="K3333" s="24"/>
      <c r="L3333" s="24" t="s">
        <v>5740</v>
      </c>
      <c r="M3333" s="25" t="s">
        <v>5741</v>
      </c>
      <c r="N3333" s="22"/>
      <c r="O3333" s="22" t="s">
        <v>5742</v>
      </c>
      <c r="P3333" s="22" t="str">
        <f>HYPERLINK("https://ceds.ed.gov/cedselementdetails.aspx?termid=22487")</f>
        <v>https://ceds.ed.gov/cedselementdetails.aspx?termid=22487</v>
      </c>
      <c r="Q3333" s="22">
        <v>61654</v>
      </c>
    </row>
    <row r="3334" spans="1:17" ht="28.8" x14ac:dyDescent="0.3">
      <c r="A3334" s="22" t="s">
        <v>7870</v>
      </c>
      <c r="B3334" s="22" t="s">
        <v>7873</v>
      </c>
      <c r="C3334" s="22" t="s">
        <v>7739</v>
      </c>
      <c r="D3334" s="22" t="s">
        <v>7710</v>
      </c>
      <c r="E3334" s="22" t="s">
        <v>5733</v>
      </c>
      <c r="F3334" s="24" t="s">
        <v>5734</v>
      </c>
      <c r="G3334" s="23" t="s">
        <v>32</v>
      </c>
      <c r="H3334" s="22"/>
      <c r="I3334" s="22"/>
      <c r="J3334" s="22" t="s">
        <v>1301</v>
      </c>
      <c r="K3334" s="24"/>
      <c r="L3334" s="24" t="s">
        <v>5735</v>
      </c>
      <c r="M3334" s="25" t="s">
        <v>5736</v>
      </c>
      <c r="N3334" s="22"/>
      <c r="O3334" s="22" t="s">
        <v>5737</v>
      </c>
      <c r="P3334" s="22" t="str">
        <f>HYPERLINK("https://ceds.ed.gov/cedselementdetails.aspx?termid=22485")</f>
        <v>https://ceds.ed.gov/cedselementdetails.aspx?termid=22485</v>
      </c>
      <c r="Q3334" s="22">
        <v>61622</v>
      </c>
    </row>
    <row r="3335" spans="1:17" ht="129.6" x14ac:dyDescent="0.3">
      <c r="A3335" s="22" t="s">
        <v>7870</v>
      </c>
      <c r="B3335" s="22" t="s">
        <v>7873</v>
      </c>
      <c r="C3335" s="22" t="s">
        <v>7739</v>
      </c>
      <c r="D3335" s="22" t="s">
        <v>7710</v>
      </c>
      <c r="E3335" s="22" t="s">
        <v>5743</v>
      </c>
      <c r="F3335" s="24" t="s">
        <v>5744</v>
      </c>
      <c r="G3335" s="23" t="s">
        <v>32</v>
      </c>
      <c r="H3335" s="24" t="s">
        <v>4119</v>
      </c>
      <c r="I3335" s="22"/>
      <c r="J3335" s="22" t="s">
        <v>132</v>
      </c>
      <c r="K3335" s="24"/>
      <c r="L3335" s="24"/>
      <c r="M3335" s="25" t="s">
        <v>5745</v>
      </c>
      <c r="N3335" s="22"/>
      <c r="O3335" s="22" t="s">
        <v>5746</v>
      </c>
      <c r="P3335" s="22" t="str">
        <f>HYPERLINK("https://ceds.ed.gov/cedselementdetails.aspx?termid=21206")</f>
        <v>https://ceds.ed.gov/cedselementdetails.aspx?termid=21206</v>
      </c>
      <c r="Q3335" s="22">
        <v>60041</v>
      </c>
    </row>
    <row r="3336" spans="1:17" ht="115.2" x14ac:dyDescent="0.3">
      <c r="A3336" s="22" t="s">
        <v>7870</v>
      </c>
      <c r="B3336" s="22" t="s">
        <v>7873</v>
      </c>
      <c r="C3336" s="22" t="s">
        <v>7739</v>
      </c>
      <c r="D3336" s="22" t="s">
        <v>7710</v>
      </c>
      <c r="E3336" s="22" t="s">
        <v>5747</v>
      </c>
      <c r="F3336" s="24" t="s">
        <v>5748</v>
      </c>
      <c r="G3336" s="26" t="s">
        <v>9055</v>
      </c>
      <c r="H3336" s="24" t="s">
        <v>5751</v>
      </c>
      <c r="I3336" s="22"/>
      <c r="J3336" s="22" t="s">
        <v>85</v>
      </c>
      <c r="K3336" s="24"/>
      <c r="L3336" s="24"/>
      <c r="M3336" s="25" t="s">
        <v>5749</v>
      </c>
      <c r="N3336" s="22"/>
      <c r="O3336" s="22" t="s">
        <v>5750</v>
      </c>
      <c r="P3336" s="22" t="str">
        <f>HYPERLINK("https://ceds.ed.gov/cedselementdetails.aspx?termid=21627")</f>
        <v>https://ceds.ed.gov/cedselementdetails.aspx?termid=21627</v>
      </c>
      <c r="Q3336" s="22">
        <v>60042</v>
      </c>
    </row>
    <row r="3337" spans="1:17" ht="172.8" x14ac:dyDescent="0.3">
      <c r="A3337" s="22" t="s">
        <v>7870</v>
      </c>
      <c r="B3337" s="22" t="s">
        <v>7873</v>
      </c>
      <c r="C3337" s="22" t="s">
        <v>7740</v>
      </c>
      <c r="D3337" s="22" t="s">
        <v>7710</v>
      </c>
      <c r="E3337" s="22" t="s">
        <v>6911</v>
      </c>
      <c r="F3337" s="24" t="s">
        <v>6912</v>
      </c>
      <c r="G3337" s="23" t="s">
        <v>32</v>
      </c>
      <c r="H3337" s="24" t="s">
        <v>6915</v>
      </c>
      <c r="I3337" s="22" t="s">
        <v>172</v>
      </c>
      <c r="J3337" s="22" t="s">
        <v>132</v>
      </c>
      <c r="K3337" s="24" t="s">
        <v>7946</v>
      </c>
      <c r="L3337" s="24" t="s">
        <v>7945</v>
      </c>
      <c r="M3337" s="25" t="s">
        <v>6913</v>
      </c>
      <c r="N3337" s="22"/>
      <c r="O3337" s="22" t="s">
        <v>6914</v>
      </c>
      <c r="P3337" s="22" t="str">
        <f>HYPERLINK("https://ceds.ed.gov/cedselementdetails.aspx?termid=21156")</f>
        <v>https://ceds.ed.gov/cedselementdetails.aspx?termid=21156</v>
      </c>
      <c r="Q3337" s="22">
        <v>59337</v>
      </c>
    </row>
    <row r="3338" spans="1:17" ht="244.8" x14ac:dyDescent="0.3">
      <c r="A3338" s="22" t="s">
        <v>7870</v>
      </c>
      <c r="B3338" s="22" t="s">
        <v>7873</v>
      </c>
      <c r="C3338" s="22" t="s">
        <v>7740</v>
      </c>
      <c r="D3338" s="22" t="s">
        <v>7710</v>
      </c>
      <c r="E3338" s="22" t="s">
        <v>6906</v>
      </c>
      <c r="F3338" s="24" t="s">
        <v>6907</v>
      </c>
      <c r="G3338" s="26" t="s">
        <v>8531</v>
      </c>
      <c r="H3338" s="24" t="s">
        <v>6910</v>
      </c>
      <c r="I3338" s="22" t="s">
        <v>172</v>
      </c>
      <c r="J3338" s="22"/>
      <c r="K3338" s="24" t="s">
        <v>7946</v>
      </c>
      <c r="L3338" s="24"/>
      <c r="M3338" s="25" t="s">
        <v>6908</v>
      </c>
      <c r="N3338" s="22"/>
      <c r="O3338" s="22" t="s">
        <v>6909</v>
      </c>
      <c r="P3338" s="22" t="str">
        <f>HYPERLINK("https://ceds.ed.gov/cedselementdetails.aspx?termid=21162")</f>
        <v>https://ceds.ed.gov/cedselementdetails.aspx?termid=21162</v>
      </c>
      <c r="Q3338" s="22">
        <v>59338</v>
      </c>
    </row>
    <row r="3339" spans="1:17" ht="403.2" x14ac:dyDescent="0.3">
      <c r="A3339" s="22" t="s">
        <v>7870</v>
      </c>
      <c r="B3339" s="22" t="s">
        <v>7873</v>
      </c>
      <c r="C3339" s="22" t="s">
        <v>7740</v>
      </c>
      <c r="D3339" s="22" t="s">
        <v>7710</v>
      </c>
      <c r="E3339" s="22" t="s">
        <v>5856</v>
      </c>
      <c r="F3339" s="24" t="s">
        <v>5857</v>
      </c>
      <c r="G3339" s="26" t="s">
        <v>8498</v>
      </c>
      <c r="H3339" s="22"/>
      <c r="I3339" s="22" t="s">
        <v>172</v>
      </c>
      <c r="J3339" s="22"/>
      <c r="K3339" s="24" t="s">
        <v>7946</v>
      </c>
      <c r="L3339" s="24"/>
      <c r="M3339" s="25" t="s">
        <v>5858</v>
      </c>
      <c r="N3339" s="22"/>
      <c r="O3339" s="22" t="s">
        <v>5859</v>
      </c>
      <c r="P3339" s="22" t="str">
        <f>HYPERLINK("https://ceds.ed.gov/cedselementdetails.aspx?termid=21611")</f>
        <v>https://ceds.ed.gov/cedselementdetails.aspx?termid=21611</v>
      </c>
      <c r="Q3339" s="22">
        <v>60222</v>
      </c>
    </row>
    <row r="3340" spans="1:17" ht="72" x14ac:dyDescent="0.3">
      <c r="A3340" s="22" t="s">
        <v>7870</v>
      </c>
      <c r="B3340" s="22" t="s">
        <v>7873</v>
      </c>
      <c r="C3340" s="22" t="s">
        <v>7740</v>
      </c>
      <c r="D3340" s="22" t="s">
        <v>7710</v>
      </c>
      <c r="E3340" s="22" t="s">
        <v>7621</v>
      </c>
      <c r="F3340" s="24" t="s">
        <v>7622</v>
      </c>
      <c r="G3340" s="26" t="s">
        <v>8496</v>
      </c>
      <c r="H3340" s="22"/>
      <c r="I3340" s="22" t="s">
        <v>172</v>
      </c>
      <c r="J3340" s="22"/>
      <c r="K3340" s="24" t="s">
        <v>7946</v>
      </c>
      <c r="L3340" s="24"/>
      <c r="M3340" s="25" t="s">
        <v>7623</v>
      </c>
      <c r="N3340" s="22"/>
      <c r="O3340" s="22" t="s">
        <v>7624</v>
      </c>
      <c r="P3340" s="22" t="str">
        <f>HYPERLINK("https://ceds.ed.gov/cedselementdetails.aspx?termid=22951")</f>
        <v>https://ceds.ed.gov/cedselementdetails.aspx?termid=22951</v>
      </c>
      <c r="Q3340" s="22">
        <v>63462</v>
      </c>
    </row>
    <row r="3341" spans="1:17" ht="100.8" x14ac:dyDescent="0.3">
      <c r="A3341" s="22" t="s">
        <v>7870</v>
      </c>
      <c r="B3341" s="22" t="s">
        <v>7873</v>
      </c>
      <c r="C3341" s="22" t="s">
        <v>7716</v>
      </c>
      <c r="D3341" s="22" t="s">
        <v>7710</v>
      </c>
      <c r="E3341" s="22" t="s">
        <v>203</v>
      </c>
      <c r="F3341" s="24" t="s">
        <v>204</v>
      </c>
      <c r="G3341" s="26" t="s">
        <v>8577</v>
      </c>
      <c r="H3341" s="22" t="s">
        <v>207</v>
      </c>
      <c r="I3341" s="22"/>
      <c r="J3341" s="22" t="s">
        <v>85</v>
      </c>
      <c r="K3341" s="24"/>
      <c r="L3341" s="24"/>
      <c r="M3341" s="25" t="s">
        <v>205</v>
      </c>
      <c r="N3341" s="22"/>
      <c r="O3341" s="22" t="s">
        <v>206</v>
      </c>
      <c r="P3341" s="22" t="str">
        <f>HYPERLINK("https://ceds.ed.gov/cedselementdetails.aspx?termid=21698")</f>
        <v>https://ceds.ed.gov/cedselementdetails.aspx?termid=21698</v>
      </c>
      <c r="Q3341" s="22">
        <v>60043</v>
      </c>
    </row>
    <row r="3342" spans="1:17" ht="187.2" x14ac:dyDescent="0.3">
      <c r="A3342" s="22" t="s">
        <v>7870</v>
      </c>
      <c r="B3342" s="22" t="s">
        <v>7873</v>
      </c>
      <c r="C3342" s="22" t="s">
        <v>7716</v>
      </c>
      <c r="D3342" s="22" t="s">
        <v>7710</v>
      </c>
      <c r="E3342" s="22" t="s">
        <v>189</v>
      </c>
      <c r="F3342" s="24" t="s">
        <v>190</v>
      </c>
      <c r="G3342" s="23" t="s">
        <v>32</v>
      </c>
      <c r="H3342" s="24" t="s">
        <v>175</v>
      </c>
      <c r="I3342" s="22" t="s">
        <v>172</v>
      </c>
      <c r="J3342" s="22" t="s">
        <v>191</v>
      </c>
      <c r="K3342" s="24" t="s">
        <v>7946</v>
      </c>
      <c r="L3342" s="24"/>
      <c r="M3342" s="25" t="s">
        <v>192</v>
      </c>
      <c r="N3342" s="22"/>
      <c r="O3342" s="22" t="s">
        <v>193</v>
      </c>
      <c r="P3342" s="22" t="str">
        <f>HYPERLINK("https://ceds.ed.gov/cedselementdetails.aspx?termid=21269")</f>
        <v>https://ceds.ed.gov/cedselementdetails.aspx?termid=21269</v>
      </c>
      <c r="Q3342" s="22">
        <v>59305</v>
      </c>
    </row>
    <row r="3343" spans="1:17" ht="187.2" x14ac:dyDescent="0.3">
      <c r="A3343" s="22" t="s">
        <v>7870</v>
      </c>
      <c r="B3343" s="22" t="s">
        <v>7873</v>
      </c>
      <c r="C3343" s="22" t="s">
        <v>7716</v>
      </c>
      <c r="D3343" s="22" t="s">
        <v>7710</v>
      </c>
      <c r="E3343" s="22" t="s">
        <v>170</v>
      </c>
      <c r="F3343" s="24" t="s">
        <v>171</v>
      </c>
      <c r="G3343" s="23" t="s">
        <v>32</v>
      </c>
      <c r="H3343" s="24" t="s">
        <v>175</v>
      </c>
      <c r="I3343" s="22" t="s">
        <v>172</v>
      </c>
      <c r="J3343" s="22" t="s">
        <v>157</v>
      </c>
      <c r="K3343" s="24" t="s">
        <v>7946</v>
      </c>
      <c r="L3343" s="24"/>
      <c r="M3343" s="25" t="s">
        <v>173</v>
      </c>
      <c r="N3343" s="22"/>
      <c r="O3343" s="22" t="s">
        <v>174</v>
      </c>
      <c r="P3343" s="22" t="str">
        <f>HYPERLINK("https://ceds.ed.gov/cedselementdetails.aspx?termid=21019")</f>
        <v>https://ceds.ed.gov/cedselementdetails.aspx?termid=21019</v>
      </c>
      <c r="Q3343" s="22">
        <v>59307</v>
      </c>
    </row>
    <row r="3344" spans="1:17" ht="187.2" x14ac:dyDescent="0.3">
      <c r="A3344" s="22" t="s">
        <v>7870</v>
      </c>
      <c r="B3344" s="22" t="s">
        <v>7873</v>
      </c>
      <c r="C3344" s="22" t="s">
        <v>7716</v>
      </c>
      <c r="D3344" s="22" t="s">
        <v>7710</v>
      </c>
      <c r="E3344" s="22" t="s">
        <v>176</v>
      </c>
      <c r="F3344" s="24" t="s">
        <v>177</v>
      </c>
      <c r="G3344" s="23" t="s">
        <v>32</v>
      </c>
      <c r="H3344" s="24" t="s">
        <v>175</v>
      </c>
      <c r="I3344" s="22" t="s">
        <v>172</v>
      </c>
      <c r="J3344" s="22" t="s">
        <v>85</v>
      </c>
      <c r="K3344" s="24" t="s">
        <v>7946</v>
      </c>
      <c r="L3344" s="24"/>
      <c r="M3344" s="25" t="s">
        <v>178</v>
      </c>
      <c r="N3344" s="22"/>
      <c r="O3344" s="22" t="s">
        <v>179</v>
      </c>
      <c r="P3344" s="22" t="str">
        <f>HYPERLINK("https://ceds.ed.gov/cedselementdetails.aspx?termid=21040")</f>
        <v>https://ceds.ed.gov/cedselementdetails.aspx?termid=21040</v>
      </c>
      <c r="Q3344" s="22">
        <v>59309</v>
      </c>
    </row>
    <row r="3345" spans="1:17" ht="409.6" x14ac:dyDescent="0.3">
      <c r="A3345" s="22" t="s">
        <v>7870</v>
      </c>
      <c r="B3345" s="22" t="s">
        <v>7873</v>
      </c>
      <c r="C3345" s="22" t="s">
        <v>7716</v>
      </c>
      <c r="D3345" s="22" t="s">
        <v>7710</v>
      </c>
      <c r="E3345" s="22" t="s">
        <v>6941</v>
      </c>
      <c r="F3345" s="24" t="s">
        <v>6942</v>
      </c>
      <c r="G3345" s="26" t="s">
        <v>8533</v>
      </c>
      <c r="H3345" s="24" t="s">
        <v>6945</v>
      </c>
      <c r="I3345" s="22" t="s">
        <v>172</v>
      </c>
      <c r="J3345" s="22"/>
      <c r="K3345" s="24" t="s">
        <v>8327</v>
      </c>
      <c r="L3345" s="24"/>
      <c r="M3345" s="25" t="s">
        <v>6943</v>
      </c>
      <c r="N3345" s="22"/>
      <c r="O3345" s="22" t="s">
        <v>6944</v>
      </c>
      <c r="P3345" s="22" t="str">
        <f>HYPERLINK("https://ceds.ed.gov/cedselementdetails.aspx?termid=21267")</f>
        <v>https://ceds.ed.gov/cedselementdetails.aspx?termid=21267</v>
      </c>
      <c r="Q3345" s="22">
        <v>59313</v>
      </c>
    </row>
    <row r="3346" spans="1:17" ht="187.2" x14ac:dyDescent="0.3">
      <c r="A3346" s="22" t="s">
        <v>7870</v>
      </c>
      <c r="B3346" s="22" t="s">
        <v>7873</v>
      </c>
      <c r="C3346" s="22" t="s">
        <v>7716</v>
      </c>
      <c r="D3346" s="22" t="s">
        <v>7710</v>
      </c>
      <c r="E3346" s="22" t="s">
        <v>184</v>
      </c>
      <c r="F3346" s="24" t="s">
        <v>185</v>
      </c>
      <c r="G3346" s="23" t="s">
        <v>32</v>
      </c>
      <c r="H3346" s="24" t="s">
        <v>175</v>
      </c>
      <c r="I3346" s="22" t="s">
        <v>172</v>
      </c>
      <c r="J3346" s="22" t="s">
        <v>186</v>
      </c>
      <c r="K3346" s="24" t="s">
        <v>7946</v>
      </c>
      <c r="L3346" s="24"/>
      <c r="M3346" s="25" t="s">
        <v>187</v>
      </c>
      <c r="N3346" s="22"/>
      <c r="O3346" s="22" t="s">
        <v>188</v>
      </c>
      <c r="P3346" s="22" t="str">
        <f>HYPERLINK("https://ceds.ed.gov/cedselementdetails.aspx?termid=21214")</f>
        <v>https://ceds.ed.gov/cedselementdetails.aspx?termid=21214</v>
      </c>
      <c r="Q3346" s="22">
        <v>59439</v>
      </c>
    </row>
    <row r="3347" spans="1:17" ht="187.2" x14ac:dyDescent="0.3">
      <c r="A3347" s="22" t="s">
        <v>7870</v>
      </c>
      <c r="B3347" s="22" t="s">
        <v>7873</v>
      </c>
      <c r="C3347" s="22" t="s">
        <v>7716</v>
      </c>
      <c r="D3347" s="22" t="s">
        <v>7710</v>
      </c>
      <c r="E3347" s="22" t="s">
        <v>180</v>
      </c>
      <c r="F3347" s="24" t="s">
        <v>181</v>
      </c>
      <c r="G3347" s="23" t="s">
        <v>32</v>
      </c>
      <c r="H3347" s="24" t="s">
        <v>175</v>
      </c>
      <c r="I3347" s="22" t="s">
        <v>172</v>
      </c>
      <c r="J3347" s="22" t="s">
        <v>85</v>
      </c>
      <c r="K3347" s="24" t="s">
        <v>7946</v>
      </c>
      <c r="L3347" s="24"/>
      <c r="M3347" s="25" t="s">
        <v>182</v>
      </c>
      <c r="N3347" s="22"/>
      <c r="O3347" s="22" t="s">
        <v>183</v>
      </c>
      <c r="P3347" s="22" t="str">
        <f>HYPERLINK("https://ceds.ed.gov/cedselementdetails.aspx?termid=21190")</f>
        <v>https://ceds.ed.gov/cedselementdetails.aspx?termid=21190</v>
      </c>
      <c r="Q3347" s="22">
        <v>59311</v>
      </c>
    </row>
    <row r="3348" spans="1:17" ht="409.6" x14ac:dyDescent="0.3">
      <c r="A3348" s="22" t="s">
        <v>7870</v>
      </c>
      <c r="B3348" s="22" t="s">
        <v>7873</v>
      </c>
      <c r="C3348" s="22" t="s">
        <v>7716</v>
      </c>
      <c r="D3348" s="22" t="s">
        <v>7710</v>
      </c>
      <c r="E3348" s="22" t="s">
        <v>2526</v>
      </c>
      <c r="F3348" s="24" t="s">
        <v>2527</v>
      </c>
      <c r="G3348" s="26" t="s">
        <v>8743</v>
      </c>
      <c r="H3348" s="24" t="s">
        <v>2530</v>
      </c>
      <c r="I3348" s="22"/>
      <c r="J3348" s="22"/>
      <c r="K3348" s="24"/>
      <c r="L3348" s="24" t="s">
        <v>8055</v>
      </c>
      <c r="M3348" s="25" t="s">
        <v>2528</v>
      </c>
      <c r="N3348" s="22"/>
      <c r="O3348" s="22" t="s">
        <v>2529</v>
      </c>
      <c r="P3348" s="22" t="str">
        <f>HYPERLINK("https://ceds.ed.gov/cedselementdetails.aspx?termid=21050")</f>
        <v>https://ceds.ed.gov/cedselementdetails.aspx?termid=21050</v>
      </c>
      <c r="Q3348" s="22">
        <v>60139</v>
      </c>
    </row>
    <row r="3349" spans="1:17" ht="57.6" x14ac:dyDescent="0.3">
      <c r="A3349" s="22" t="s">
        <v>7870</v>
      </c>
      <c r="B3349" s="22" t="s">
        <v>7873</v>
      </c>
      <c r="C3349" s="22" t="s">
        <v>7716</v>
      </c>
      <c r="D3349" s="22" t="s">
        <v>7710</v>
      </c>
      <c r="E3349" s="22" t="s">
        <v>4982</v>
      </c>
      <c r="F3349" s="24" t="s">
        <v>4983</v>
      </c>
      <c r="G3349" s="23" t="s">
        <v>32</v>
      </c>
      <c r="H3349" s="22"/>
      <c r="I3349" s="22"/>
      <c r="J3349" s="22" t="s">
        <v>1165</v>
      </c>
      <c r="K3349" s="24"/>
      <c r="L3349" s="24"/>
      <c r="M3349" s="25" t="s">
        <v>4984</v>
      </c>
      <c r="N3349" s="22"/>
      <c r="O3349" s="22" t="s">
        <v>4982</v>
      </c>
      <c r="P3349" s="22" t="str">
        <f>HYPERLINK("https://ceds.ed.gov/cedselementdetails.aspx?termid=21599")</f>
        <v>https://ceds.ed.gov/cedselementdetails.aspx?termid=21599</v>
      </c>
      <c r="Q3349" s="22">
        <v>62267</v>
      </c>
    </row>
    <row r="3350" spans="1:17" ht="57.6" x14ac:dyDescent="0.3">
      <c r="A3350" s="22" t="s">
        <v>7870</v>
      </c>
      <c r="B3350" s="22" t="s">
        <v>7873</v>
      </c>
      <c r="C3350" s="22" t="s">
        <v>7716</v>
      </c>
      <c r="D3350" s="22" t="s">
        <v>7710</v>
      </c>
      <c r="E3350" s="22" t="s">
        <v>5372</v>
      </c>
      <c r="F3350" s="24" t="s">
        <v>5373</v>
      </c>
      <c r="G3350" s="23" t="s">
        <v>32</v>
      </c>
      <c r="H3350" s="22"/>
      <c r="I3350" s="22"/>
      <c r="J3350" s="22" t="s">
        <v>1165</v>
      </c>
      <c r="K3350" s="24"/>
      <c r="L3350" s="24"/>
      <c r="M3350" s="25" t="s">
        <v>5374</v>
      </c>
      <c r="N3350" s="22"/>
      <c r="O3350" s="22" t="s">
        <v>5372</v>
      </c>
      <c r="P3350" s="22" t="str">
        <f>HYPERLINK("https://ceds.ed.gov/cedselementdetails.aspx?termid=21600")</f>
        <v>https://ceds.ed.gov/cedselementdetails.aspx?termid=21600</v>
      </c>
      <c r="Q3350" s="22">
        <v>62290</v>
      </c>
    </row>
    <row r="3351" spans="1:17" ht="158.4" x14ac:dyDescent="0.3">
      <c r="A3351" s="22" t="s">
        <v>7870</v>
      </c>
      <c r="B3351" s="22" t="s">
        <v>7873</v>
      </c>
      <c r="C3351" s="22" t="s">
        <v>7716</v>
      </c>
      <c r="D3351" s="22" t="s">
        <v>7710</v>
      </c>
      <c r="E3351" s="22" t="s">
        <v>2536</v>
      </c>
      <c r="F3351" s="24" t="s">
        <v>2537</v>
      </c>
      <c r="G3351" s="23" t="s">
        <v>32</v>
      </c>
      <c r="H3351" s="22"/>
      <c r="I3351" s="22"/>
      <c r="J3351" s="22" t="s">
        <v>2538</v>
      </c>
      <c r="K3351" s="24"/>
      <c r="L3351" s="24"/>
      <c r="M3351" s="25" t="s">
        <v>2539</v>
      </c>
      <c r="N3351" s="22"/>
      <c r="O3351" s="22" t="s">
        <v>2540</v>
      </c>
      <c r="P3351" s="22" t="str">
        <f>HYPERLINK("https://ceds.ed.gov/cedselementdetails.aspx?termid=22176")</f>
        <v>https://ceds.ed.gov/cedselementdetails.aspx?termid=22176</v>
      </c>
      <c r="Q3351" s="22">
        <v>63201</v>
      </c>
    </row>
    <row r="3352" spans="1:17" ht="57.6" x14ac:dyDescent="0.3">
      <c r="A3352" s="22" t="s">
        <v>7870</v>
      </c>
      <c r="B3352" s="22" t="s">
        <v>7873</v>
      </c>
      <c r="C3352" s="22" t="s">
        <v>7716</v>
      </c>
      <c r="D3352" s="22" t="s">
        <v>7710</v>
      </c>
      <c r="E3352" s="22" t="s">
        <v>3228</v>
      </c>
      <c r="F3352" s="24" t="s">
        <v>3229</v>
      </c>
      <c r="G3352" s="26" t="s">
        <v>3039</v>
      </c>
      <c r="H3352" s="22"/>
      <c r="I3352" s="22" t="s">
        <v>172</v>
      </c>
      <c r="J3352" s="22"/>
      <c r="K3352" s="24" t="s">
        <v>7946</v>
      </c>
      <c r="L3352" s="24"/>
      <c r="M3352" s="25" t="s">
        <v>3230</v>
      </c>
      <c r="N3352" s="22"/>
      <c r="O3352" s="22" t="s">
        <v>3231</v>
      </c>
      <c r="P3352" s="22" t="str">
        <f>HYPERLINK("https://ceds.ed.gov/cedselementdetails.aspx?termid=22905")</f>
        <v>https://ceds.ed.gov/cedselementdetails.aspx?termid=22905</v>
      </c>
      <c r="Q3352" s="22">
        <v>63202</v>
      </c>
    </row>
    <row r="3353" spans="1:17" ht="86.4" x14ac:dyDescent="0.3">
      <c r="A3353" s="22" t="s">
        <v>7870</v>
      </c>
      <c r="B3353" s="22" t="s">
        <v>7873</v>
      </c>
      <c r="C3353" s="22" t="s">
        <v>7717</v>
      </c>
      <c r="D3353" s="22" t="s">
        <v>7710</v>
      </c>
      <c r="E3353" s="22" t="s">
        <v>7168</v>
      </c>
      <c r="F3353" s="24" t="s">
        <v>7169</v>
      </c>
      <c r="G3353" s="26" t="s">
        <v>9168</v>
      </c>
      <c r="H3353" s="24" t="s">
        <v>64</v>
      </c>
      <c r="I3353" s="22"/>
      <c r="J3353" s="22" t="s">
        <v>2543</v>
      </c>
      <c r="K3353" s="24"/>
      <c r="L3353" s="24"/>
      <c r="M3353" s="25" t="s">
        <v>7170</v>
      </c>
      <c r="N3353" s="22"/>
      <c r="O3353" s="22" t="s">
        <v>7171</v>
      </c>
      <c r="P3353" s="22" t="str">
        <f>HYPERLINK("https://ceds.ed.gov/cedselementdetails.aspx?termid=21280")</f>
        <v>https://ceds.ed.gov/cedselementdetails.aspx?termid=21280</v>
      </c>
      <c r="Q3353" s="22">
        <v>60044</v>
      </c>
    </row>
    <row r="3354" spans="1:17" ht="72" x14ac:dyDescent="0.3">
      <c r="A3354" s="22" t="s">
        <v>7870</v>
      </c>
      <c r="B3354" s="22" t="s">
        <v>7873</v>
      </c>
      <c r="C3354" s="22" t="s">
        <v>7717</v>
      </c>
      <c r="D3354" s="22" t="s">
        <v>7710</v>
      </c>
      <c r="E3354" s="22" t="s">
        <v>5965</v>
      </c>
      <c r="F3354" s="24" t="s">
        <v>5966</v>
      </c>
      <c r="G3354" s="26" t="s">
        <v>22</v>
      </c>
      <c r="H3354" s="24" t="s">
        <v>64</v>
      </c>
      <c r="I3354" s="22"/>
      <c r="J3354" s="22"/>
      <c r="K3354" s="24"/>
      <c r="L3354" s="24"/>
      <c r="M3354" s="25" t="s">
        <v>5967</v>
      </c>
      <c r="N3354" s="22"/>
      <c r="O3354" s="22" t="s">
        <v>5968</v>
      </c>
      <c r="P3354" s="22" t="str">
        <f>HYPERLINK("https://ceds.ed.gov/cedselementdetails.aspx?termid=21219")</f>
        <v>https://ceds.ed.gov/cedselementdetails.aspx?termid=21219</v>
      </c>
      <c r="Q3354" s="22">
        <v>60045</v>
      </c>
    </row>
    <row r="3355" spans="1:17" ht="72" x14ac:dyDescent="0.3">
      <c r="A3355" s="22" t="s">
        <v>7870</v>
      </c>
      <c r="B3355" s="22" t="s">
        <v>7873</v>
      </c>
      <c r="C3355" s="22" t="s">
        <v>7717</v>
      </c>
      <c r="D3355" s="22" t="s">
        <v>7710</v>
      </c>
      <c r="E3355" s="22" t="s">
        <v>7159</v>
      </c>
      <c r="F3355" s="24" t="s">
        <v>7160</v>
      </c>
      <c r="G3355" s="23" t="s">
        <v>32</v>
      </c>
      <c r="H3355" s="24" t="s">
        <v>64</v>
      </c>
      <c r="I3355" s="22"/>
      <c r="J3355" s="22" t="s">
        <v>7161</v>
      </c>
      <c r="K3355" s="24"/>
      <c r="L3355" s="24"/>
      <c r="M3355" s="25" t="s">
        <v>7162</v>
      </c>
      <c r="N3355" s="22"/>
      <c r="O3355" s="22" t="s">
        <v>7163</v>
      </c>
      <c r="P3355" s="22" t="str">
        <f>HYPERLINK("https://ceds.ed.gov/cedselementdetails.aspx?termid=21279")</f>
        <v>https://ceds.ed.gov/cedselementdetails.aspx?termid=21279</v>
      </c>
      <c r="Q3355" s="22">
        <v>60046</v>
      </c>
    </row>
    <row r="3356" spans="1:17" ht="57.6" x14ac:dyDescent="0.3">
      <c r="A3356" s="22" t="s">
        <v>7870</v>
      </c>
      <c r="B3356" s="22" t="s">
        <v>7873</v>
      </c>
      <c r="C3356" s="22" t="s">
        <v>7717</v>
      </c>
      <c r="D3356" s="22" t="s">
        <v>7710</v>
      </c>
      <c r="E3356" s="22" t="s">
        <v>3228</v>
      </c>
      <c r="F3356" s="24" t="s">
        <v>3229</v>
      </c>
      <c r="G3356" s="26" t="s">
        <v>3039</v>
      </c>
      <c r="H3356" s="22"/>
      <c r="I3356" s="22" t="s">
        <v>172</v>
      </c>
      <c r="J3356" s="22"/>
      <c r="K3356" s="24" t="s">
        <v>7946</v>
      </c>
      <c r="L3356" s="24"/>
      <c r="M3356" s="25" t="s">
        <v>3230</v>
      </c>
      <c r="N3356" s="22"/>
      <c r="O3356" s="22" t="s">
        <v>3231</v>
      </c>
      <c r="P3356" s="22" t="str">
        <f>HYPERLINK("https://ceds.ed.gov/cedselementdetails.aspx?termid=22905")</f>
        <v>https://ceds.ed.gov/cedselementdetails.aspx?termid=22905</v>
      </c>
      <c r="Q3356" s="22">
        <v>63204</v>
      </c>
    </row>
    <row r="3357" spans="1:17" ht="57.6" x14ac:dyDescent="0.3">
      <c r="A3357" s="22" t="s">
        <v>7870</v>
      </c>
      <c r="B3357" s="22" t="s">
        <v>7873</v>
      </c>
      <c r="C3357" s="22" t="s">
        <v>7717</v>
      </c>
      <c r="D3357" s="22" t="s">
        <v>7710</v>
      </c>
      <c r="E3357" s="22" t="s">
        <v>7164</v>
      </c>
      <c r="F3357" s="24" t="s">
        <v>7165</v>
      </c>
      <c r="G3357" s="26" t="s">
        <v>9167</v>
      </c>
      <c r="H3357" s="22"/>
      <c r="I3357" s="22"/>
      <c r="J3357" s="22"/>
      <c r="K3357" s="24"/>
      <c r="L3357" s="24"/>
      <c r="M3357" s="25" t="s">
        <v>7166</v>
      </c>
      <c r="N3357" s="22"/>
      <c r="O3357" s="22" t="s">
        <v>7167</v>
      </c>
      <c r="P3357" s="22" t="str">
        <f>HYPERLINK("https://ceds.ed.gov/cedselementdetails.aspx?termid=22911")</f>
        <v>https://ceds.ed.gov/cedselementdetails.aspx?termid=22911</v>
      </c>
      <c r="Q3357" s="22">
        <v>63205</v>
      </c>
    </row>
    <row r="3358" spans="1:17" ht="72" x14ac:dyDescent="0.3">
      <c r="A3358" s="22" t="s">
        <v>7870</v>
      </c>
      <c r="B3358" s="22" t="s">
        <v>7873</v>
      </c>
      <c r="C3358" s="22" t="s">
        <v>7718</v>
      </c>
      <c r="D3358" s="22" t="s">
        <v>7710</v>
      </c>
      <c r="E3358" s="22" t="s">
        <v>3467</v>
      </c>
      <c r="F3358" s="24" t="s">
        <v>3468</v>
      </c>
      <c r="G3358" s="26" t="s">
        <v>8430</v>
      </c>
      <c r="H3358" s="24" t="s">
        <v>64</v>
      </c>
      <c r="I3358" s="22" t="s">
        <v>172</v>
      </c>
      <c r="J3358" s="22"/>
      <c r="K3358" s="24" t="s">
        <v>7946</v>
      </c>
      <c r="L3358" s="24"/>
      <c r="M3358" s="25" t="s">
        <v>3469</v>
      </c>
      <c r="N3358" s="22" t="s">
        <v>3470</v>
      </c>
      <c r="O3358" s="22" t="s">
        <v>3471</v>
      </c>
      <c r="P3358" s="22" t="str">
        <f>HYPERLINK("https://ceds.ed.gov/cedselementdetails.aspx?termid=21089")</f>
        <v>https://ceds.ed.gov/cedselementdetails.aspx?termid=21089</v>
      </c>
      <c r="Q3358" s="22">
        <v>59318</v>
      </c>
    </row>
    <row r="3359" spans="1:17" ht="72" x14ac:dyDescent="0.3">
      <c r="A3359" s="22" t="s">
        <v>7870</v>
      </c>
      <c r="B3359" s="22" t="s">
        <v>7873</v>
      </c>
      <c r="C3359" s="22" t="s">
        <v>7718</v>
      </c>
      <c r="D3359" s="22" t="s">
        <v>7710</v>
      </c>
      <c r="E3359" s="22" t="s">
        <v>3461</v>
      </c>
      <c r="F3359" s="24" t="s">
        <v>3462</v>
      </c>
      <c r="G3359" s="23" t="s">
        <v>32</v>
      </c>
      <c r="H3359" s="24" t="s">
        <v>64</v>
      </c>
      <c r="I3359" s="22" t="s">
        <v>172</v>
      </c>
      <c r="J3359" s="22" t="s">
        <v>3463</v>
      </c>
      <c r="K3359" s="24" t="s">
        <v>7946</v>
      </c>
      <c r="L3359" s="24"/>
      <c r="M3359" s="25" t="s">
        <v>3464</v>
      </c>
      <c r="N3359" s="22" t="s">
        <v>3465</v>
      </c>
      <c r="O3359" s="22" t="s">
        <v>3466</v>
      </c>
      <c r="P3359" s="22" t="str">
        <f>HYPERLINK("https://ceds.ed.gov/cedselementdetails.aspx?termid=21088")</f>
        <v>https://ceds.ed.gov/cedselementdetails.aspx?termid=21088</v>
      </c>
      <c r="Q3359" s="22">
        <v>59316</v>
      </c>
    </row>
    <row r="3360" spans="1:17" ht="57.6" x14ac:dyDescent="0.3">
      <c r="A3360" s="22" t="s">
        <v>7870</v>
      </c>
      <c r="B3360" s="22" t="s">
        <v>7873</v>
      </c>
      <c r="C3360" s="22" t="s">
        <v>7718</v>
      </c>
      <c r="D3360" s="22" t="s">
        <v>7710</v>
      </c>
      <c r="E3360" s="22" t="s">
        <v>3228</v>
      </c>
      <c r="F3360" s="24" t="s">
        <v>3229</v>
      </c>
      <c r="G3360" s="26" t="s">
        <v>3039</v>
      </c>
      <c r="H3360" s="22"/>
      <c r="I3360" s="22" t="s">
        <v>172</v>
      </c>
      <c r="J3360" s="22"/>
      <c r="K3360" s="24" t="s">
        <v>7946</v>
      </c>
      <c r="L3360" s="24"/>
      <c r="M3360" s="25" t="s">
        <v>3230</v>
      </c>
      <c r="N3360" s="22"/>
      <c r="O3360" s="22" t="s">
        <v>3231</v>
      </c>
      <c r="P3360" s="22" t="str">
        <f>HYPERLINK("https://ceds.ed.gov/cedselementdetails.aspx?termid=22905")</f>
        <v>https://ceds.ed.gov/cedselementdetails.aspx?termid=22905</v>
      </c>
      <c r="Q3360" s="22">
        <v>63203</v>
      </c>
    </row>
    <row r="3361" spans="1:17" ht="100.8" x14ac:dyDescent="0.3">
      <c r="A3361" s="22" t="s">
        <v>7870</v>
      </c>
      <c r="B3361" s="22" t="s">
        <v>7873</v>
      </c>
      <c r="C3361" s="22" t="s">
        <v>7864</v>
      </c>
      <c r="D3361" s="22" t="s">
        <v>7710</v>
      </c>
      <c r="E3361" s="22" t="s">
        <v>253</v>
      </c>
      <c r="F3361" s="24" t="s">
        <v>7424</v>
      </c>
      <c r="G3361" s="26" t="s">
        <v>8584</v>
      </c>
      <c r="H3361" s="22"/>
      <c r="I3361" s="22"/>
      <c r="J3361" s="22"/>
      <c r="K3361" s="24"/>
      <c r="L3361" s="24"/>
      <c r="M3361" s="25" t="s">
        <v>254</v>
      </c>
      <c r="N3361" s="22"/>
      <c r="O3361" s="22" t="s">
        <v>255</v>
      </c>
      <c r="P3361" s="22" t="str">
        <f>HYPERLINK("https://ceds.ed.gov/cedselementdetails.aspx?termid=21775")</f>
        <v>https://ceds.ed.gov/cedselementdetails.aspx?termid=21775</v>
      </c>
      <c r="Q3361" s="22">
        <v>59293</v>
      </c>
    </row>
    <row r="3362" spans="1:17" ht="409.6" x14ac:dyDescent="0.3">
      <c r="A3362" s="22" t="s">
        <v>7870</v>
      </c>
      <c r="B3362" s="22" t="s">
        <v>7873</v>
      </c>
      <c r="C3362" s="22" t="s">
        <v>7874</v>
      </c>
      <c r="D3362" s="22" t="s">
        <v>7710</v>
      </c>
      <c r="E3362" s="22" t="s">
        <v>4332</v>
      </c>
      <c r="F3362" s="24" t="s">
        <v>4333</v>
      </c>
      <c r="G3362" s="26" t="s">
        <v>8734</v>
      </c>
      <c r="H3362" s="24" t="s">
        <v>4336</v>
      </c>
      <c r="I3362" s="22"/>
      <c r="J3362" s="22"/>
      <c r="K3362" s="24"/>
      <c r="L3362" s="24"/>
      <c r="M3362" s="25" t="s">
        <v>4334</v>
      </c>
      <c r="N3362" s="22"/>
      <c r="O3362" s="22" t="s">
        <v>4335</v>
      </c>
      <c r="P3362" s="22" t="str">
        <f>HYPERLINK("https://ceds.ed.gov/cedselementdetails.aspx?termid=21141")</f>
        <v>https://ceds.ed.gov/cedselementdetails.aspx?termid=21141</v>
      </c>
      <c r="Q3362" s="22">
        <v>61212</v>
      </c>
    </row>
    <row r="3363" spans="1:17" ht="43.2" x14ac:dyDescent="0.3">
      <c r="A3363" s="22" t="s">
        <v>7870</v>
      </c>
      <c r="B3363" s="22" t="s">
        <v>7873</v>
      </c>
      <c r="C3363" s="22" t="s">
        <v>7874</v>
      </c>
      <c r="D3363" s="22" t="s">
        <v>7710</v>
      </c>
      <c r="E3363" s="22" t="s">
        <v>2920</v>
      </c>
      <c r="F3363" s="24" t="s">
        <v>2921</v>
      </c>
      <c r="G3363" s="23" t="s">
        <v>32</v>
      </c>
      <c r="H3363" s="22" t="s">
        <v>207</v>
      </c>
      <c r="I3363" s="22"/>
      <c r="J3363" s="22" t="s">
        <v>118</v>
      </c>
      <c r="K3363" s="24"/>
      <c r="L3363" s="24"/>
      <c r="M3363" s="25" t="s">
        <v>2922</v>
      </c>
      <c r="N3363" s="22"/>
      <c r="O3363" s="22" t="s">
        <v>2923</v>
      </c>
      <c r="P3363" s="22" t="str">
        <f>HYPERLINK("https://ceds.ed.gov/cedselementdetails.aspx?termid=21069")</f>
        <v>https://ceds.ed.gov/cedselementdetails.aspx?termid=21069</v>
      </c>
      <c r="Q3363" s="22">
        <v>63457</v>
      </c>
    </row>
    <row r="3364" spans="1:17" ht="43.2" x14ac:dyDescent="0.3">
      <c r="A3364" s="22" t="s">
        <v>7870</v>
      </c>
      <c r="B3364" s="22" t="s">
        <v>7873</v>
      </c>
      <c r="C3364" s="22" t="s">
        <v>7875</v>
      </c>
      <c r="D3364" s="22" t="s">
        <v>7710</v>
      </c>
      <c r="E3364" s="22" t="s">
        <v>7413</v>
      </c>
      <c r="F3364" s="24" t="s">
        <v>7414</v>
      </c>
      <c r="G3364" s="23" t="s">
        <v>32</v>
      </c>
      <c r="H3364" s="22"/>
      <c r="I3364" s="22"/>
      <c r="J3364" s="22" t="s">
        <v>1518</v>
      </c>
      <c r="K3364" s="24"/>
      <c r="L3364" s="24"/>
      <c r="M3364" s="25" t="s">
        <v>7415</v>
      </c>
      <c r="N3364" s="22"/>
      <c r="O3364" s="22" t="s">
        <v>7416</v>
      </c>
      <c r="P3364" s="22" t="str">
        <f>HYPERLINK("https://ceds.ed.gov/cedselementdetails.aspx?termid=21774")</f>
        <v>https://ceds.ed.gov/cedselementdetails.aspx?termid=21774</v>
      </c>
      <c r="Q3364" s="22">
        <v>59292</v>
      </c>
    </row>
    <row r="3365" spans="1:17" ht="129.6" x14ac:dyDescent="0.3">
      <c r="A3365" s="22" t="s">
        <v>7870</v>
      </c>
      <c r="B3365" s="22" t="s">
        <v>7873</v>
      </c>
      <c r="C3365" s="22" t="s">
        <v>7772</v>
      </c>
      <c r="D3365" s="22" t="s">
        <v>7710</v>
      </c>
      <c r="E3365" s="22" t="s">
        <v>288</v>
      </c>
      <c r="F3365" s="24" t="s">
        <v>289</v>
      </c>
      <c r="G3365" s="26" t="s">
        <v>8592</v>
      </c>
      <c r="H3365" s="22"/>
      <c r="I3365" s="22"/>
      <c r="J3365" s="22"/>
      <c r="K3365" s="24"/>
      <c r="L3365" s="24"/>
      <c r="M3365" s="25" t="s">
        <v>291</v>
      </c>
      <c r="N3365" s="22"/>
      <c r="O3365" s="22" t="s">
        <v>292</v>
      </c>
      <c r="P3365" s="22" t="str">
        <f>HYPERLINK("https://ceds.ed.gov/cedselementdetails.aspx?termid=21770")</f>
        <v>https://ceds.ed.gov/cedselementdetails.aspx?termid=21770</v>
      </c>
      <c r="Q3365" s="22">
        <v>59290</v>
      </c>
    </row>
    <row r="3366" spans="1:17" ht="72" x14ac:dyDescent="0.3">
      <c r="A3366" s="22" t="s">
        <v>7870</v>
      </c>
      <c r="B3366" s="22" t="s">
        <v>7873</v>
      </c>
      <c r="C3366" s="22" t="s">
        <v>7772</v>
      </c>
      <c r="D3366" s="22" t="s">
        <v>7710</v>
      </c>
      <c r="E3366" s="22" t="s">
        <v>293</v>
      </c>
      <c r="F3366" s="24" t="s">
        <v>294</v>
      </c>
      <c r="G3366" s="26" t="s">
        <v>8593</v>
      </c>
      <c r="H3366" s="22"/>
      <c r="I3366" s="22"/>
      <c r="J3366" s="22"/>
      <c r="K3366" s="24"/>
      <c r="L3366" s="24"/>
      <c r="M3366" s="25" t="s">
        <v>295</v>
      </c>
      <c r="N3366" s="22"/>
      <c r="O3366" s="22" t="s">
        <v>296</v>
      </c>
      <c r="P3366" s="22" t="str">
        <f>HYPERLINK("https://ceds.ed.gov/cedselementdetails.aspx?termid=21771")</f>
        <v>https://ceds.ed.gov/cedselementdetails.aspx?termid=21771</v>
      </c>
      <c r="Q3366" s="22">
        <v>59291</v>
      </c>
    </row>
    <row r="3367" spans="1:17" ht="57.6" x14ac:dyDescent="0.3">
      <c r="A3367" s="22" t="s">
        <v>7870</v>
      </c>
      <c r="B3367" s="22" t="s">
        <v>7873</v>
      </c>
      <c r="C3367" s="22" t="s">
        <v>7772</v>
      </c>
      <c r="D3367" s="22" t="s">
        <v>7710</v>
      </c>
      <c r="E3367" s="22" t="s">
        <v>3555</v>
      </c>
      <c r="F3367" s="24" t="s">
        <v>3556</v>
      </c>
      <c r="G3367" s="23" t="s">
        <v>32</v>
      </c>
      <c r="H3367" s="24" t="s">
        <v>3559</v>
      </c>
      <c r="I3367" s="22"/>
      <c r="J3367" s="22" t="s">
        <v>118</v>
      </c>
      <c r="K3367" s="24"/>
      <c r="L3367" s="24"/>
      <c r="M3367" s="25" t="s">
        <v>3557</v>
      </c>
      <c r="N3367" s="22"/>
      <c r="O3367" s="22" t="s">
        <v>3558</v>
      </c>
      <c r="P3367" s="22" t="str">
        <f>HYPERLINK("https://ceds.ed.gov/cedselementdetails.aspx?termid=21345")</f>
        <v>https://ceds.ed.gov/cedselementdetails.aspx?termid=21345</v>
      </c>
      <c r="Q3367" s="22">
        <v>61155</v>
      </c>
    </row>
    <row r="3368" spans="1:17" ht="57.6" x14ac:dyDescent="0.3">
      <c r="A3368" s="22" t="s">
        <v>7870</v>
      </c>
      <c r="B3368" s="22" t="s">
        <v>7873</v>
      </c>
      <c r="C3368" s="22" t="s">
        <v>7772</v>
      </c>
      <c r="D3368" s="22" t="s">
        <v>7710</v>
      </c>
      <c r="E3368" s="22" t="s">
        <v>3519</v>
      </c>
      <c r="F3368" s="24" t="s">
        <v>3520</v>
      </c>
      <c r="G3368" s="23" t="s">
        <v>32</v>
      </c>
      <c r="H3368" s="22" t="s">
        <v>207</v>
      </c>
      <c r="I3368" s="22"/>
      <c r="J3368" s="22" t="s">
        <v>118</v>
      </c>
      <c r="K3368" s="24"/>
      <c r="L3368" s="24" t="s">
        <v>143</v>
      </c>
      <c r="M3368" s="25" t="s">
        <v>3521</v>
      </c>
      <c r="N3368" s="22"/>
      <c r="O3368" s="22" t="s">
        <v>3522</v>
      </c>
      <c r="P3368" s="22" t="str">
        <f>HYPERLINK("https://ceds.ed.gov/cedselementdetails.aspx?termid=21794")</f>
        <v>https://ceds.ed.gov/cedselementdetails.aspx?termid=21794</v>
      </c>
      <c r="Q3368" s="22">
        <v>61153</v>
      </c>
    </row>
    <row r="3369" spans="1:17" ht="158.4" x14ac:dyDescent="0.3">
      <c r="A3369" s="22" t="s">
        <v>7870</v>
      </c>
      <c r="B3369" s="22" t="s">
        <v>7873</v>
      </c>
      <c r="C3369" s="22" t="s">
        <v>7772</v>
      </c>
      <c r="D3369" s="22" t="s">
        <v>7710</v>
      </c>
      <c r="E3369" s="22" t="s">
        <v>4342</v>
      </c>
      <c r="F3369" s="24" t="s">
        <v>4343</v>
      </c>
      <c r="G3369" s="23" t="s">
        <v>32</v>
      </c>
      <c r="H3369" s="24" t="s">
        <v>4346</v>
      </c>
      <c r="I3369" s="22"/>
      <c r="J3369" s="22" t="s">
        <v>118</v>
      </c>
      <c r="K3369" s="24"/>
      <c r="L3369" s="24" t="s">
        <v>8212</v>
      </c>
      <c r="M3369" s="25" t="s">
        <v>4344</v>
      </c>
      <c r="N3369" s="22"/>
      <c r="O3369" s="22" t="s">
        <v>4345</v>
      </c>
      <c r="P3369" s="22" t="str">
        <f>HYPERLINK("https://ceds.ed.gov/cedselementdetails.aspx?termid=21143")</f>
        <v>https://ceds.ed.gov/cedselementdetails.aspx?termid=21143</v>
      </c>
      <c r="Q3369" s="22">
        <v>61213</v>
      </c>
    </row>
    <row r="3370" spans="1:17" ht="409.6" x14ac:dyDescent="0.3">
      <c r="A3370" s="22" t="s">
        <v>7870</v>
      </c>
      <c r="B3370" s="22" t="s">
        <v>7873</v>
      </c>
      <c r="C3370" s="22" t="s">
        <v>7772</v>
      </c>
      <c r="D3370" s="22" t="s">
        <v>7710</v>
      </c>
      <c r="E3370" s="22" t="s">
        <v>3548</v>
      </c>
      <c r="F3370" s="24" t="s">
        <v>3321</v>
      </c>
      <c r="G3370" s="26" t="s">
        <v>8846</v>
      </c>
      <c r="H3370" s="22"/>
      <c r="I3370" s="22"/>
      <c r="J3370" s="22"/>
      <c r="K3370" s="24"/>
      <c r="L3370" s="24"/>
      <c r="M3370" s="25" t="s">
        <v>3549</v>
      </c>
      <c r="N3370" s="22"/>
      <c r="O3370" s="22" t="s">
        <v>3550</v>
      </c>
      <c r="P3370" s="22" t="str">
        <f>HYPERLINK("https://ceds.ed.gov/cedselementdetails.aspx?termid=21613")</f>
        <v>https://ceds.ed.gov/cedselementdetails.aspx?termid=21613</v>
      </c>
      <c r="Q3370" s="22">
        <v>63209</v>
      </c>
    </row>
    <row r="3371" spans="1:17" ht="216" x14ac:dyDescent="0.3">
      <c r="A3371" s="22" t="s">
        <v>7870</v>
      </c>
      <c r="B3371" s="22" t="s">
        <v>7873</v>
      </c>
      <c r="C3371" s="22" t="s">
        <v>7772</v>
      </c>
      <c r="D3371" s="22" t="s">
        <v>7710</v>
      </c>
      <c r="E3371" s="22" t="s">
        <v>7656</v>
      </c>
      <c r="F3371" s="24" t="s">
        <v>7657</v>
      </c>
      <c r="G3371" s="26" t="s">
        <v>8514</v>
      </c>
      <c r="H3371" s="22"/>
      <c r="I3371" s="22" t="s">
        <v>172</v>
      </c>
      <c r="J3371" s="22"/>
      <c r="K3371" s="24" t="s">
        <v>7995</v>
      </c>
      <c r="L3371" s="24"/>
      <c r="M3371" s="25" t="s">
        <v>7658</v>
      </c>
      <c r="N3371" s="22"/>
      <c r="O3371" s="22" t="s">
        <v>7656</v>
      </c>
      <c r="P3371" s="22" t="str">
        <f>HYPERLINK("https://ceds.ed.gov/cedselementdetails.aspx?termid=22959")</f>
        <v>https://ceds.ed.gov/cedselementdetails.aspx?termid=22959</v>
      </c>
      <c r="Q3371" s="22">
        <v>63461</v>
      </c>
    </row>
    <row r="3372" spans="1:17" ht="172.8" x14ac:dyDescent="0.3">
      <c r="A3372" s="22" t="s">
        <v>7870</v>
      </c>
      <c r="B3372" s="22" t="s">
        <v>7873</v>
      </c>
      <c r="C3372" s="22" t="s">
        <v>7828</v>
      </c>
      <c r="D3372" s="22" t="s">
        <v>7710</v>
      </c>
      <c r="E3372" s="22" t="s">
        <v>279</v>
      </c>
      <c r="F3372" s="24" t="s">
        <v>280</v>
      </c>
      <c r="G3372" s="23" t="s">
        <v>32</v>
      </c>
      <c r="H3372" s="22"/>
      <c r="I3372" s="22"/>
      <c r="J3372" s="22" t="s">
        <v>132</v>
      </c>
      <c r="K3372" s="24"/>
      <c r="L3372" s="24" t="s">
        <v>7945</v>
      </c>
      <c r="M3372" s="25" t="s">
        <v>281</v>
      </c>
      <c r="N3372" s="22"/>
      <c r="O3372" s="22" t="s">
        <v>282</v>
      </c>
      <c r="P3372" s="22" t="str">
        <f>HYPERLINK("https://ceds.ed.gov/cedselementdetails.aspx?termid=21777")</f>
        <v>https://ceds.ed.gov/cedselementdetails.aspx?termid=21777</v>
      </c>
      <c r="Q3372" s="22">
        <v>61059</v>
      </c>
    </row>
    <row r="3373" spans="1:17" ht="172.8" x14ac:dyDescent="0.3">
      <c r="A3373" s="22" t="s">
        <v>7870</v>
      </c>
      <c r="B3373" s="22" t="s">
        <v>7873</v>
      </c>
      <c r="C3373" s="22" t="s">
        <v>7828</v>
      </c>
      <c r="D3373" s="22" t="s">
        <v>7710</v>
      </c>
      <c r="E3373" s="22" t="s">
        <v>274</v>
      </c>
      <c r="F3373" s="24" t="s">
        <v>275</v>
      </c>
      <c r="G3373" s="26" t="s">
        <v>8590</v>
      </c>
      <c r="H3373" s="22"/>
      <c r="I3373" s="22"/>
      <c r="J3373" s="22"/>
      <c r="K3373" s="24"/>
      <c r="L3373" s="24"/>
      <c r="M3373" s="25" t="s">
        <v>277</v>
      </c>
      <c r="N3373" s="22"/>
      <c r="O3373" s="22" t="s">
        <v>278</v>
      </c>
      <c r="P3373" s="22" t="str">
        <f>HYPERLINK("https://ceds.ed.gov/cedselementdetails.aspx?termid=21778")</f>
        <v>https://ceds.ed.gov/cedselementdetails.aspx?termid=21778</v>
      </c>
      <c r="Q3373" s="22">
        <v>61060</v>
      </c>
    </row>
    <row r="3374" spans="1:17" ht="409.6" x14ac:dyDescent="0.3">
      <c r="A3374" s="22" t="s">
        <v>7870</v>
      </c>
      <c r="B3374" s="22" t="s">
        <v>7873</v>
      </c>
      <c r="C3374" s="22" t="s">
        <v>7769</v>
      </c>
      <c r="D3374" s="22" t="s">
        <v>7710</v>
      </c>
      <c r="E3374" s="22" t="s">
        <v>4332</v>
      </c>
      <c r="F3374" s="24" t="s">
        <v>4333</v>
      </c>
      <c r="G3374" s="26" t="s">
        <v>8734</v>
      </c>
      <c r="H3374" s="24" t="s">
        <v>4336</v>
      </c>
      <c r="I3374" s="22"/>
      <c r="J3374" s="22"/>
      <c r="K3374" s="24"/>
      <c r="L3374" s="24"/>
      <c r="M3374" s="25" t="s">
        <v>4334</v>
      </c>
      <c r="N3374" s="22"/>
      <c r="O3374" s="22" t="s">
        <v>4335</v>
      </c>
      <c r="P3374" s="22" t="str">
        <f>HYPERLINK("https://ceds.ed.gov/cedselementdetails.aspx?termid=21141")</f>
        <v>https://ceds.ed.gov/cedselementdetails.aspx?termid=21141</v>
      </c>
      <c r="Q3374" s="22">
        <v>62748</v>
      </c>
    </row>
    <row r="3375" spans="1:17" ht="187.2" x14ac:dyDescent="0.3">
      <c r="A3375" s="22" t="s">
        <v>7870</v>
      </c>
      <c r="B3375" s="22" t="s">
        <v>7873</v>
      </c>
      <c r="C3375" s="22" t="s">
        <v>7769</v>
      </c>
      <c r="D3375" s="22" t="s">
        <v>7710</v>
      </c>
      <c r="E3375" s="22" t="s">
        <v>5525</v>
      </c>
      <c r="F3375" s="24" t="s">
        <v>5526</v>
      </c>
      <c r="G3375" s="23" t="s">
        <v>32</v>
      </c>
      <c r="H3375" s="24" t="s">
        <v>5529</v>
      </c>
      <c r="I3375" s="22" t="s">
        <v>172</v>
      </c>
      <c r="J3375" s="22" t="s">
        <v>157</v>
      </c>
      <c r="K3375" s="24" t="s">
        <v>7946</v>
      </c>
      <c r="L3375" s="24"/>
      <c r="M3375" s="25" t="s">
        <v>5527</v>
      </c>
      <c r="N3375" s="22"/>
      <c r="O3375" s="22" t="s">
        <v>5528</v>
      </c>
      <c r="P3375" s="22" t="str">
        <f>HYPERLINK("https://ceds.ed.gov/cedselementdetails.aspx?termid=21191")</f>
        <v>https://ceds.ed.gov/cedselementdetails.aspx?termid=21191</v>
      </c>
      <c r="Q3375" s="22">
        <v>62734</v>
      </c>
    </row>
    <row r="3376" spans="1:17" ht="86.4" x14ac:dyDescent="0.3">
      <c r="A3376" s="22" t="s">
        <v>7870</v>
      </c>
      <c r="B3376" s="22" t="s">
        <v>7873</v>
      </c>
      <c r="C3376" s="22" t="s">
        <v>7769</v>
      </c>
      <c r="D3376" s="22" t="s">
        <v>7710</v>
      </c>
      <c r="E3376" s="22" t="s">
        <v>8312</v>
      </c>
      <c r="F3376" s="24" t="s">
        <v>8313</v>
      </c>
      <c r="G3376" s="23" t="s">
        <v>32</v>
      </c>
      <c r="H3376" s="22"/>
      <c r="I3376" s="22" t="s">
        <v>172</v>
      </c>
      <c r="J3376" s="22" t="s">
        <v>85</v>
      </c>
      <c r="K3376" s="24" t="s">
        <v>8314</v>
      </c>
      <c r="L3376" s="24" t="s">
        <v>6772</v>
      </c>
      <c r="M3376" s="25" t="s">
        <v>6773</v>
      </c>
      <c r="N3376" s="22"/>
      <c r="O3376" s="22" t="s">
        <v>8315</v>
      </c>
      <c r="P3376" s="22" t="str">
        <f>HYPERLINK("https://ceds.ed.gov/cedselementdetails.aspx?termid=22459")</f>
        <v>https://ceds.ed.gov/cedselementdetails.aspx?termid=22459</v>
      </c>
      <c r="Q3376" s="22">
        <v>62752</v>
      </c>
    </row>
    <row r="3377" spans="1:17" ht="100.8" x14ac:dyDescent="0.3">
      <c r="A3377" s="22" t="s">
        <v>7870</v>
      </c>
      <c r="B3377" s="22" t="s">
        <v>7873</v>
      </c>
      <c r="C3377" s="22" t="s">
        <v>7769</v>
      </c>
      <c r="D3377" s="22" t="s">
        <v>7710</v>
      </c>
      <c r="E3377" s="22" t="s">
        <v>4328</v>
      </c>
      <c r="F3377" s="24" t="s">
        <v>4329</v>
      </c>
      <c r="G3377" s="26" t="s">
        <v>8921</v>
      </c>
      <c r="H3377" s="22" t="s">
        <v>207</v>
      </c>
      <c r="I3377" s="22"/>
      <c r="J3377" s="22"/>
      <c r="K3377" s="24"/>
      <c r="L3377" s="24"/>
      <c r="M3377" s="25" t="s">
        <v>4330</v>
      </c>
      <c r="N3377" s="22"/>
      <c r="O3377" s="22" t="s">
        <v>4331</v>
      </c>
      <c r="P3377" s="22" t="str">
        <f>HYPERLINK("https://ceds.ed.gov/cedselementdetails.aspx?termid=21817")</f>
        <v>https://ceds.ed.gov/cedselementdetails.aspx?termid=21817</v>
      </c>
      <c r="Q3377" s="22">
        <v>62750</v>
      </c>
    </row>
    <row r="3378" spans="1:17" ht="43.2" x14ac:dyDescent="0.3">
      <c r="A3378" s="22" t="s">
        <v>7870</v>
      </c>
      <c r="B3378" s="22" t="s">
        <v>7873</v>
      </c>
      <c r="C3378" s="22" t="s">
        <v>7769</v>
      </c>
      <c r="D3378" s="22" t="s">
        <v>7710</v>
      </c>
      <c r="E3378" s="22" t="s">
        <v>3082</v>
      </c>
      <c r="F3378" s="24" t="s">
        <v>3083</v>
      </c>
      <c r="G3378" s="23" t="s">
        <v>32</v>
      </c>
      <c r="H3378" s="24" t="s">
        <v>3077</v>
      </c>
      <c r="I3378" s="22"/>
      <c r="J3378" s="22" t="s">
        <v>1339</v>
      </c>
      <c r="K3378" s="24"/>
      <c r="L3378" s="24"/>
      <c r="M3378" s="25" t="s">
        <v>3084</v>
      </c>
      <c r="N3378" s="22"/>
      <c r="O3378" s="22" t="s">
        <v>3085</v>
      </c>
      <c r="P3378" s="22" t="str">
        <f>HYPERLINK("https://ceds.ed.gov/cedselementdetails.aspx?termid=21341")</f>
        <v>https://ceds.ed.gov/cedselementdetails.aspx?termid=21341</v>
      </c>
      <c r="Q3378" s="22">
        <v>62736</v>
      </c>
    </row>
    <row r="3379" spans="1:17" ht="273.60000000000002" x14ac:dyDescent="0.3">
      <c r="A3379" s="22" t="s">
        <v>7870</v>
      </c>
      <c r="B3379" s="22" t="s">
        <v>7873</v>
      </c>
      <c r="C3379" s="22" t="s">
        <v>7769</v>
      </c>
      <c r="D3379" s="22" t="s">
        <v>7710</v>
      </c>
      <c r="E3379" s="22" t="s">
        <v>3086</v>
      </c>
      <c r="F3379" s="24" t="s">
        <v>3087</v>
      </c>
      <c r="G3379" s="26" t="s">
        <v>8785</v>
      </c>
      <c r="H3379" s="24" t="s">
        <v>3077</v>
      </c>
      <c r="I3379" s="22"/>
      <c r="J3379" s="22"/>
      <c r="K3379" s="24"/>
      <c r="L3379" s="24"/>
      <c r="M3379" s="25" t="s">
        <v>3088</v>
      </c>
      <c r="N3379" s="22"/>
      <c r="O3379" s="22" t="s">
        <v>3089</v>
      </c>
      <c r="P3379" s="22" t="str">
        <f>HYPERLINK("https://ceds.ed.gov/cedselementdetails.aspx?termid=21342")</f>
        <v>https://ceds.ed.gov/cedselementdetails.aspx?termid=21342</v>
      </c>
      <c r="Q3379" s="22">
        <v>62738</v>
      </c>
    </row>
    <row r="3380" spans="1:17" ht="43.2" x14ac:dyDescent="0.3">
      <c r="A3380" s="22" t="s">
        <v>7870</v>
      </c>
      <c r="B3380" s="22" t="s">
        <v>7873</v>
      </c>
      <c r="C3380" s="22" t="s">
        <v>7769</v>
      </c>
      <c r="D3380" s="22" t="s">
        <v>7710</v>
      </c>
      <c r="E3380" s="22" t="s">
        <v>3073</v>
      </c>
      <c r="F3380" s="24" t="s">
        <v>3074</v>
      </c>
      <c r="G3380" s="23" t="s">
        <v>32</v>
      </c>
      <c r="H3380" s="24" t="s">
        <v>3077</v>
      </c>
      <c r="I3380" s="22"/>
      <c r="J3380" s="22" t="s">
        <v>118</v>
      </c>
      <c r="K3380" s="24"/>
      <c r="L3380" s="24"/>
      <c r="M3380" s="25" t="s">
        <v>3075</v>
      </c>
      <c r="N3380" s="22"/>
      <c r="O3380" s="22" t="s">
        <v>3076</v>
      </c>
      <c r="P3380" s="22" t="str">
        <f>HYPERLINK("https://ceds.ed.gov/cedselementdetails.aspx?termid=21343")</f>
        <v>https://ceds.ed.gov/cedselementdetails.aspx?termid=21343</v>
      </c>
      <c r="Q3380" s="22">
        <v>62740</v>
      </c>
    </row>
    <row r="3381" spans="1:17" ht="57.6" x14ac:dyDescent="0.3">
      <c r="A3381" s="22" t="s">
        <v>7870</v>
      </c>
      <c r="B3381" s="22" t="s">
        <v>7873</v>
      </c>
      <c r="C3381" s="22" t="s">
        <v>7769</v>
      </c>
      <c r="D3381" s="22" t="s">
        <v>7710</v>
      </c>
      <c r="E3381" s="22" t="s">
        <v>5644</v>
      </c>
      <c r="F3381" s="24" t="s">
        <v>5645</v>
      </c>
      <c r="G3381" s="23" t="s">
        <v>32</v>
      </c>
      <c r="H3381" s="22" t="s">
        <v>207</v>
      </c>
      <c r="I3381" s="22"/>
      <c r="J3381" s="22" t="s">
        <v>1518</v>
      </c>
      <c r="K3381" s="24"/>
      <c r="L3381" s="24"/>
      <c r="M3381" s="25" t="s">
        <v>5646</v>
      </c>
      <c r="N3381" s="22"/>
      <c r="O3381" s="22" t="s">
        <v>5647</v>
      </c>
      <c r="P3381" s="22" t="str">
        <f>HYPERLINK("https://ceds.ed.gov/cedselementdetails.aspx?termid=21815")</f>
        <v>https://ceds.ed.gov/cedselementdetails.aspx?termid=21815</v>
      </c>
      <c r="Q3381" s="22">
        <v>62742</v>
      </c>
    </row>
    <row r="3382" spans="1:17" ht="72" x14ac:dyDescent="0.3">
      <c r="A3382" s="22" t="s">
        <v>7870</v>
      </c>
      <c r="B3382" s="22" t="s">
        <v>7873</v>
      </c>
      <c r="C3382" s="22" t="s">
        <v>7769</v>
      </c>
      <c r="D3382" s="22" t="s">
        <v>7710</v>
      </c>
      <c r="E3382" s="22" t="s">
        <v>6878</v>
      </c>
      <c r="F3382" s="24" t="s">
        <v>6879</v>
      </c>
      <c r="G3382" s="23" t="s">
        <v>32</v>
      </c>
      <c r="H3382" s="22" t="s">
        <v>207</v>
      </c>
      <c r="I3382" s="22"/>
      <c r="J3382" s="22" t="s">
        <v>118</v>
      </c>
      <c r="K3382" s="24"/>
      <c r="L3382" s="24"/>
      <c r="M3382" s="25" t="s">
        <v>6880</v>
      </c>
      <c r="N3382" s="22"/>
      <c r="O3382" s="22" t="s">
        <v>6881</v>
      </c>
      <c r="P3382" s="22" t="str">
        <f>HYPERLINK("https://ceds.ed.gov/cedselementdetails.aspx?termid=21792")</f>
        <v>https://ceds.ed.gov/cedselementdetails.aspx?termid=21792</v>
      </c>
      <c r="Q3382" s="22">
        <v>62744</v>
      </c>
    </row>
    <row r="3383" spans="1:17" ht="72" x14ac:dyDescent="0.3">
      <c r="A3383" s="22" t="s">
        <v>7870</v>
      </c>
      <c r="B3383" s="22" t="s">
        <v>7873</v>
      </c>
      <c r="C3383" s="22" t="s">
        <v>7769</v>
      </c>
      <c r="D3383" s="22" t="s">
        <v>7710</v>
      </c>
      <c r="E3383" s="22" t="s">
        <v>6882</v>
      </c>
      <c r="F3383" s="24" t="s">
        <v>6883</v>
      </c>
      <c r="G3383" s="23" t="s">
        <v>32</v>
      </c>
      <c r="H3383" s="22" t="s">
        <v>207</v>
      </c>
      <c r="I3383" s="22"/>
      <c r="J3383" s="22" t="s">
        <v>118</v>
      </c>
      <c r="K3383" s="24"/>
      <c r="L3383" s="24"/>
      <c r="M3383" s="25" t="s">
        <v>6884</v>
      </c>
      <c r="N3383" s="22"/>
      <c r="O3383" s="22" t="s">
        <v>6885</v>
      </c>
      <c r="P3383" s="22" t="str">
        <f>HYPERLINK("https://ceds.ed.gov/cedselementdetails.aspx?termid=21793")</f>
        <v>https://ceds.ed.gov/cedselementdetails.aspx?termid=21793</v>
      </c>
      <c r="Q3383" s="22">
        <v>62746</v>
      </c>
    </row>
    <row r="3384" spans="1:17" ht="86.4" x14ac:dyDescent="0.3">
      <c r="A3384" s="22" t="s">
        <v>7870</v>
      </c>
      <c r="B3384" s="22" t="s">
        <v>7873</v>
      </c>
      <c r="C3384" s="22" t="s">
        <v>7769</v>
      </c>
      <c r="D3384" s="22" t="s">
        <v>7710</v>
      </c>
      <c r="E3384" s="22" t="s">
        <v>3453</v>
      </c>
      <c r="F3384" s="24" t="s">
        <v>3454</v>
      </c>
      <c r="G3384" s="26" t="s">
        <v>8839</v>
      </c>
      <c r="H3384" s="22"/>
      <c r="I3384" s="22"/>
      <c r="J3384" s="22"/>
      <c r="K3384" s="24"/>
      <c r="L3384" s="24"/>
      <c r="M3384" s="25" t="s">
        <v>3455</v>
      </c>
      <c r="N3384" s="22"/>
      <c r="O3384" s="22" t="s">
        <v>3456</v>
      </c>
      <c r="P3384" s="22" t="str">
        <f>HYPERLINK("https://ceds.ed.gov/cedselementdetails.aspx?termid=22586")</f>
        <v>https://ceds.ed.gov/cedselementdetails.aspx?termid=22586</v>
      </c>
      <c r="Q3384" s="22">
        <v>62754</v>
      </c>
    </row>
    <row r="3385" spans="1:17" ht="409.6" x14ac:dyDescent="0.3">
      <c r="A3385" s="22" t="s">
        <v>7870</v>
      </c>
      <c r="B3385" s="22" t="s">
        <v>7873</v>
      </c>
      <c r="C3385" s="22" t="s">
        <v>7742</v>
      </c>
      <c r="D3385" s="22" t="s">
        <v>7710</v>
      </c>
      <c r="E3385" s="22" t="s">
        <v>2531</v>
      </c>
      <c r="F3385" s="24" t="s">
        <v>2532</v>
      </c>
      <c r="G3385" s="26" t="s">
        <v>8743</v>
      </c>
      <c r="H3385" s="24" t="s">
        <v>2535</v>
      </c>
      <c r="I3385" s="22"/>
      <c r="J3385" s="22"/>
      <c r="K3385" s="24"/>
      <c r="L3385" s="24" t="s">
        <v>8055</v>
      </c>
      <c r="M3385" s="25" t="s">
        <v>2533</v>
      </c>
      <c r="N3385" s="22"/>
      <c r="O3385" s="22" t="s">
        <v>2534</v>
      </c>
      <c r="P3385" s="22" t="str">
        <f>HYPERLINK("https://ceds.ed.gov/cedselementdetails.aspx?termid=21051")</f>
        <v>https://ceds.ed.gov/cedselementdetails.aspx?termid=21051</v>
      </c>
      <c r="Q3385" s="22">
        <v>63206</v>
      </c>
    </row>
    <row r="3386" spans="1:17" ht="100.8" x14ac:dyDescent="0.3">
      <c r="A3386" s="22" t="s">
        <v>7870</v>
      </c>
      <c r="B3386" s="22" t="s">
        <v>7873</v>
      </c>
      <c r="C3386" s="22" t="s">
        <v>7742</v>
      </c>
      <c r="D3386" s="22" t="s">
        <v>7710</v>
      </c>
      <c r="E3386" s="22" t="s">
        <v>5486</v>
      </c>
      <c r="F3386" s="24" t="s">
        <v>8254</v>
      </c>
      <c r="G3386" s="26" t="s">
        <v>9036</v>
      </c>
      <c r="H3386" s="22"/>
      <c r="I3386" s="22"/>
      <c r="J3386" s="22"/>
      <c r="K3386" s="24"/>
      <c r="L3386" s="24"/>
      <c r="M3386" s="25" t="s">
        <v>5487</v>
      </c>
      <c r="N3386" s="22"/>
      <c r="O3386" s="22" t="s">
        <v>5488</v>
      </c>
      <c r="P3386" s="22" t="str">
        <f>HYPERLINK("https://ceds.ed.gov/cedselementdetails.aspx?termid=22621")</f>
        <v>https://ceds.ed.gov/cedselementdetails.aspx?termid=22621</v>
      </c>
      <c r="Q3386" s="22">
        <v>63207</v>
      </c>
    </row>
    <row r="3387" spans="1:17" ht="57.6" x14ac:dyDescent="0.3">
      <c r="A3387" s="22" t="s">
        <v>7870</v>
      </c>
      <c r="B3387" s="22" t="s">
        <v>7873</v>
      </c>
      <c r="C3387" s="22" t="s">
        <v>7742</v>
      </c>
      <c r="D3387" s="22" t="s">
        <v>7710</v>
      </c>
      <c r="E3387" s="22" t="s">
        <v>7288</v>
      </c>
      <c r="F3387" s="24" t="s">
        <v>7289</v>
      </c>
      <c r="G3387" s="23" t="s">
        <v>7423</v>
      </c>
      <c r="H3387" s="22"/>
      <c r="I3387" s="22"/>
      <c r="J3387" s="22"/>
      <c r="K3387" s="24"/>
      <c r="L3387" s="24"/>
      <c r="M3387" s="25" t="s">
        <v>7290</v>
      </c>
      <c r="N3387" s="22"/>
      <c r="O3387" s="22" t="s">
        <v>7291</v>
      </c>
      <c r="P3387" s="22" t="str">
        <f>HYPERLINK("https://ceds.ed.gov/cedselementdetails.aspx?termid=22638")</f>
        <v>https://ceds.ed.gov/cedselementdetails.aspx?termid=22638</v>
      </c>
      <c r="Q3387" s="22">
        <v>63208</v>
      </c>
    </row>
    <row r="3388" spans="1:17" ht="201.6" x14ac:dyDescent="0.3">
      <c r="A3388" s="22" t="s">
        <v>7870</v>
      </c>
      <c r="B3388" s="22" t="s">
        <v>7873</v>
      </c>
      <c r="C3388" s="22" t="s">
        <v>7742</v>
      </c>
      <c r="D3388" s="22" t="s">
        <v>7710</v>
      </c>
      <c r="E3388" s="22" t="s">
        <v>1544</v>
      </c>
      <c r="F3388" s="24" t="s">
        <v>1545</v>
      </c>
      <c r="G3388" s="23" t="s">
        <v>32</v>
      </c>
      <c r="H3388" s="24" t="s">
        <v>1547</v>
      </c>
      <c r="I3388" s="22"/>
      <c r="J3388" s="22" t="s">
        <v>118</v>
      </c>
      <c r="K3388" s="24"/>
      <c r="L3388" s="24"/>
      <c r="M3388" s="25" t="s">
        <v>1546</v>
      </c>
      <c r="N3388" s="22"/>
      <c r="O3388" s="22" t="s">
        <v>1544</v>
      </c>
      <c r="P3388" s="22" t="str">
        <f>HYPERLINK("https://ceds.ed.gov/cedselementdetails.aspx?termid=21033")</f>
        <v>https://ceds.ed.gov/cedselementdetails.aspx?termid=21033</v>
      </c>
      <c r="Q3388" s="22">
        <v>63458</v>
      </c>
    </row>
    <row r="3389" spans="1:17" ht="115.2" x14ac:dyDescent="0.3">
      <c r="A3389" s="22" t="s">
        <v>7870</v>
      </c>
      <c r="B3389" s="22" t="s">
        <v>7873</v>
      </c>
      <c r="C3389" s="22" t="s">
        <v>7742</v>
      </c>
      <c r="D3389" s="22" t="s">
        <v>7710</v>
      </c>
      <c r="E3389" s="22" t="s">
        <v>7532</v>
      </c>
      <c r="F3389" s="24" t="s">
        <v>7533</v>
      </c>
      <c r="G3389" s="26" t="s">
        <v>3039</v>
      </c>
      <c r="H3389" s="22"/>
      <c r="I3389" s="22"/>
      <c r="J3389" s="22"/>
      <c r="K3389" s="24"/>
      <c r="L3389" s="24"/>
      <c r="M3389" s="25" t="s">
        <v>7534</v>
      </c>
      <c r="N3389" s="22"/>
      <c r="O3389" s="22" t="s">
        <v>7535</v>
      </c>
      <c r="P3389" s="22" t="str">
        <f>HYPERLINK("https://ceds.ed.gov/cedselementdetails.aspx?termid=22933")</f>
        <v>https://ceds.ed.gov/cedselementdetails.aspx?termid=22933</v>
      </c>
      <c r="Q3389" s="22">
        <v>63459</v>
      </c>
    </row>
    <row r="3390" spans="1:17" ht="144" x14ac:dyDescent="0.3">
      <c r="A3390" s="22" t="s">
        <v>7870</v>
      </c>
      <c r="B3390" s="22" t="s">
        <v>7873</v>
      </c>
      <c r="C3390" s="22" t="s">
        <v>7742</v>
      </c>
      <c r="D3390" s="22" t="s">
        <v>7710</v>
      </c>
      <c r="E3390" s="22" t="s">
        <v>7640</v>
      </c>
      <c r="F3390" s="24" t="s">
        <v>7641</v>
      </c>
      <c r="G3390" s="26" t="s">
        <v>9121</v>
      </c>
      <c r="H3390" s="22"/>
      <c r="I3390" s="22"/>
      <c r="J3390" s="22"/>
      <c r="K3390" s="24"/>
      <c r="L3390" s="24" t="s">
        <v>7642</v>
      </c>
      <c r="M3390" s="25" t="s">
        <v>7643</v>
      </c>
      <c r="N3390" s="22"/>
      <c r="O3390" s="22" t="s">
        <v>7640</v>
      </c>
      <c r="P3390" s="22" t="str">
        <f>HYPERLINK("https://ceds.ed.gov/cedselementdetails.aspx?termid=22955")</f>
        <v>https://ceds.ed.gov/cedselementdetails.aspx?termid=22955</v>
      </c>
      <c r="Q3390" s="22">
        <v>63460</v>
      </c>
    </row>
    <row r="3391" spans="1:17" ht="115.2" x14ac:dyDescent="0.3">
      <c r="A3391" s="22" t="s">
        <v>7870</v>
      </c>
      <c r="B3391" s="22" t="s">
        <v>7873</v>
      </c>
      <c r="C3391" s="22" t="s">
        <v>7754</v>
      </c>
      <c r="D3391" s="22" t="s">
        <v>7710</v>
      </c>
      <c r="E3391" s="22" t="s">
        <v>4923</v>
      </c>
      <c r="F3391" s="24" t="s">
        <v>4924</v>
      </c>
      <c r="G3391" s="23" t="s">
        <v>7423</v>
      </c>
      <c r="H3391" s="24" t="s">
        <v>4927</v>
      </c>
      <c r="I3391" s="22"/>
      <c r="J3391" s="22"/>
      <c r="K3391" s="24"/>
      <c r="L3391" s="24" t="s">
        <v>7994</v>
      </c>
      <c r="M3391" s="25" t="s">
        <v>4925</v>
      </c>
      <c r="N3391" s="22"/>
      <c r="O3391" s="22" t="s">
        <v>4926</v>
      </c>
      <c r="P3391" s="22" t="str">
        <f>HYPERLINK("https://ceds.ed.gov/cedselementdetails.aspx?termid=21317")</f>
        <v>https://ceds.ed.gov/cedselementdetails.aspx?termid=21317</v>
      </c>
      <c r="Q3391" s="22">
        <v>63210</v>
      </c>
    </row>
    <row r="3392" spans="1:17" ht="115.2" x14ac:dyDescent="0.3">
      <c r="A3392" s="22" t="s">
        <v>7870</v>
      </c>
      <c r="B3392" s="22" t="s">
        <v>7873</v>
      </c>
      <c r="C3392" s="22" t="s">
        <v>7754</v>
      </c>
      <c r="D3392" s="22" t="s">
        <v>7710</v>
      </c>
      <c r="E3392" s="22" t="s">
        <v>4928</v>
      </c>
      <c r="F3392" s="24" t="s">
        <v>4924</v>
      </c>
      <c r="G3392" s="23" t="s">
        <v>7423</v>
      </c>
      <c r="H3392" s="22"/>
      <c r="I3392" s="22" t="s">
        <v>172</v>
      </c>
      <c r="J3392" s="22"/>
      <c r="K3392" s="24" t="s">
        <v>8231</v>
      </c>
      <c r="L3392" s="24" t="s">
        <v>8232</v>
      </c>
      <c r="M3392" s="25" t="s">
        <v>4929</v>
      </c>
      <c r="N3392" s="22"/>
      <c r="O3392" s="22" t="s">
        <v>4930</v>
      </c>
      <c r="P3392" s="22" t="str">
        <f>HYPERLINK("https://ceds.ed.gov/cedselementdetails.aspx?termid=22618")</f>
        <v>https://ceds.ed.gov/cedselementdetails.aspx?termid=22618</v>
      </c>
      <c r="Q3392" s="22">
        <v>63211</v>
      </c>
    </row>
    <row r="3393" spans="1:17" ht="409.6" x14ac:dyDescent="0.3">
      <c r="A3393" s="22" t="s">
        <v>7870</v>
      </c>
      <c r="B3393" s="22" t="s">
        <v>7873</v>
      </c>
      <c r="C3393" s="22" t="s">
        <v>7754</v>
      </c>
      <c r="D3393" s="22" t="s">
        <v>7710</v>
      </c>
      <c r="E3393" s="22" t="s">
        <v>4931</v>
      </c>
      <c r="F3393" s="24" t="s">
        <v>4932</v>
      </c>
      <c r="G3393" s="26" t="s">
        <v>8988</v>
      </c>
      <c r="H3393" s="22"/>
      <c r="I3393" s="22"/>
      <c r="J3393" s="22"/>
      <c r="K3393" s="24"/>
      <c r="L3393" s="24" t="s">
        <v>8233</v>
      </c>
      <c r="M3393" s="25" t="s">
        <v>4933</v>
      </c>
      <c r="N3393" s="22"/>
      <c r="O3393" s="22" t="s">
        <v>4934</v>
      </c>
      <c r="P3393" s="22" t="str">
        <f>HYPERLINK("https://ceds.ed.gov/cedselementdetails.aspx?termid=22619")</f>
        <v>https://ceds.ed.gov/cedselementdetails.aspx?termid=22619</v>
      </c>
      <c r="Q3393" s="22">
        <v>63212</v>
      </c>
    </row>
    <row r="3394" spans="1:17" ht="129.6" x14ac:dyDescent="0.3">
      <c r="A3394" s="22" t="s">
        <v>7870</v>
      </c>
      <c r="B3394" s="22" t="s">
        <v>7873</v>
      </c>
      <c r="C3394" s="22" t="s">
        <v>7754</v>
      </c>
      <c r="D3394" s="22" t="s">
        <v>7710</v>
      </c>
      <c r="E3394" s="22" t="s">
        <v>4965</v>
      </c>
      <c r="F3394" s="24" t="s">
        <v>4966</v>
      </c>
      <c r="G3394" s="26" t="s">
        <v>8993</v>
      </c>
      <c r="H3394" s="24" t="s">
        <v>4927</v>
      </c>
      <c r="I3394" s="22"/>
      <c r="J3394" s="22"/>
      <c r="K3394" s="24"/>
      <c r="L3394" s="24"/>
      <c r="M3394" s="25" t="s">
        <v>4967</v>
      </c>
      <c r="N3394" s="22"/>
      <c r="O3394" s="22" t="s">
        <v>4968</v>
      </c>
      <c r="P3394" s="22" t="str">
        <f>HYPERLINK("https://ceds.ed.gov/cedselementdetails.aspx?termid=21316")</f>
        <v>https://ceds.ed.gov/cedselementdetails.aspx?termid=21316</v>
      </c>
      <c r="Q3394" s="22">
        <v>63213</v>
      </c>
    </row>
    <row r="3395" spans="1:17" ht="409.6" x14ac:dyDescent="0.3">
      <c r="A3395" s="22" t="s">
        <v>7870</v>
      </c>
      <c r="B3395" s="22" t="s">
        <v>7873</v>
      </c>
      <c r="C3395" s="22" t="s">
        <v>7766</v>
      </c>
      <c r="D3395" s="22" t="s">
        <v>7710</v>
      </c>
      <c r="E3395" s="22" t="s">
        <v>5851</v>
      </c>
      <c r="F3395" s="24" t="s">
        <v>5852</v>
      </c>
      <c r="G3395" s="26" t="s">
        <v>9062</v>
      </c>
      <c r="H3395" s="22" t="s">
        <v>1553</v>
      </c>
      <c r="I3395" s="22"/>
      <c r="J3395" s="22"/>
      <c r="K3395" s="24"/>
      <c r="L3395" s="24" t="s">
        <v>5853</v>
      </c>
      <c r="M3395" s="25" t="s">
        <v>5854</v>
      </c>
      <c r="N3395" s="22"/>
      <c r="O3395" s="22" t="s">
        <v>5855</v>
      </c>
      <c r="P3395" s="22" t="str">
        <f>HYPERLINK("https://ceds.ed.gov/cedselementdetails.aspx?termid=21415")</f>
        <v>https://ceds.ed.gov/cedselementdetails.aspx?termid=21415</v>
      </c>
      <c r="Q3395" s="22">
        <v>63214</v>
      </c>
    </row>
    <row r="3396" spans="1:17" ht="57.6" x14ac:dyDescent="0.3">
      <c r="A3396" s="22" t="s">
        <v>7870</v>
      </c>
      <c r="B3396" s="22" t="s">
        <v>7873</v>
      </c>
      <c r="C3396" s="22" t="s">
        <v>4</v>
      </c>
      <c r="D3396" s="22" t="s">
        <v>7710</v>
      </c>
      <c r="E3396" s="22" t="s">
        <v>6262</v>
      </c>
      <c r="F3396" s="24" t="s">
        <v>6263</v>
      </c>
      <c r="G3396" s="26" t="s">
        <v>22</v>
      </c>
      <c r="H3396" s="22"/>
      <c r="I3396" s="22"/>
      <c r="J3396" s="22"/>
      <c r="K3396" s="24"/>
      <c r="L3396" s="24"/>
      <c r="M3396" s="25" t="s">
        <v>6264</v>
      </c>
      <c r="N3396" s="22"/>
      <c r="O3396" s="22" t="s">
        <v>6265</v>
      </c>
      <c r="P3396" s="22" t="str">
        <f>HYPERLINK("https://ceds.ed.gov/cedselementdetails.aspx?termid=21760")</f>
        <v>https://ceds.ed.gov/cedselementdetails.aspx?termid=21760</v>
      </c>
      <c r="Q3396" s="22">
        <v>63215</v>
      </c>
    </row>
    <row r="3397" spans="1:17" ht="172.8" x14ac:dyDescent="0.3">
      <c r="A3397" s="22" t="s">
        <v>7870</v>
      </c>
      <c r="B3397" s="22" t="s">
        <v>7830</v>
      </c>
      <c r="C3397" s="22"/>
      <c r="D3397" s="22" t="s">
        <v>7710</v>
      </c>
      <c r="E3397" s="22" t="s">
        <v>2716</v>
      </c>
      <c r="F3397" s="24" t="s">
        <v>2717</v>
      </c>
      <c r="G3397" s="23" t="s">
        <v>32</v>
      </c>
      <c r="H3397" s="22"/>
      <c r="I3397" s="22"/>
      <c r="J3397" s="22" t="s">
        <v>132</v>
      </c>
      <c r="K3397" s="24"/>
      <c r="L3397" s="24" t="s">
        <v>7945</v>
      </c>
      <c r="M3397" s="25" t="s">
        <v>2718</v>
      </c>
      <c r="N3397" s="22"/>
      <c r="O3397" s="22" t="s">
        <v>2719</v>
      </c>
      <c r="P3397" s="22" t="str">
        <f>HYPERLINK("https://ceds.ed.gov/cedselementdetails.aspx?termid=21979")</f>
        <v>https://ceds.ed.gov/cedselementdetails.aspx?termid=21979</v>
      </c>
      <c r="Q3397" s="22">
        <v>62665</v>
      </c>
    </row>
    <row r="3398" spans="1:17" ht="100.8" x14ac:dyDescent="0.3">
      <c r="A3398" s="22" t="s">
        <v>7870</v>
      </c>
      <c r="B3398" s="22" t="s">
        <v>7830</v>
      </c>
      <c r="C3398" s="22"/>
      <c r="D3398" s="22" t="s">
        <v>7710</v>
      </c>
      <c r="E3398" s="22" t="s">
        <v>6721</v>
      </c>
      <c r="F3398" s="24" t="s">
        <v>6722</v>
      </c>
      <c r="G3398" s="23" t="s">
        <v>32</v>
      </c>
      <c r="H3398" s="24" t="s">
        <v>1521</v>
      </c>
      <c r="I3398" s="22"/>
      <c r="J3398" s="22" t="s">
        <v>118</v>
      </c>
      <c r="K3398" s="24"/>
      <c r="L3398" s="24"/>
      <c r="M3398" s="25" t="s">
        <v>6723</v>
      </c>
      <c r="N3398" s="22"/>
      <c r="O3398" s="22" t="s">
        <v>6724</v>
      </c>
      <c r="P3398" s="22" t="str">
        <f>HYPERLINK("https://ceds.ed.gov/cedselementdetails.aspx?termid=21251")</f>
        <v>https://ceds.ed.gov/cedselementdetails.aspx?termid=21251</v>
      </c>
      <c r="Q3398" s="22">
        <v>62617</v>
      </c>
    </row>
    <row r="3399" spans="1:17" ht="100.8" x14ac:dyDescent="0.3">
      <c r="A3399" s="22" t="s">
        <v>7870</v>
      </c>
      <c r="B3399" s="22" t="s">
        <v>7830</v>
      </c>
      <c r="C3399" s="22"/>
      <c r="D3399" s="22" t="s">
        <v>7710</v>
      </c>
      <c r="E3399" s="22" t="s">
        <v>6738</v>
      </c>
      <c r="F3399" s="24" t="s">
        <v>6739</v>
      </c>
      <c r="G3399" s="23" t="s">
        <v>32</v>
      </c>
      <c r="H3399" s="24" t="s">
        <v>1521</v>
      </c>
      <c r="I3399" s="22"/>
      <c r="J3399" s="22" t="s">
        <v>118</v>
      </c>
      <c r="K3399" s="24"/>
      <c r="L3399" s="24" t="s">
        <v>143</v>
      </c>
      <c r="M3399" s="25" t="s">
        <v>6740</v>
      </c>
      <c r="N3399" s="22"/>
      <c r="O3399" s="22" t="s">
        <v>6741</v>
      </c>
      <c r="P3399" s="22" t="str">
        <f>HYPERLINK("https://ceds.ed.gov/cedselementdetails.aspx?termid=21253")</f>
        <v>https://ceds.ed.gov/cedselementdetails.aspx?termid=21253</v>
      </c>
      <c r="Q3399" s="22">
        <v>62619</v>
      </c>
    </row>
    <row r="3400" spans="1:17" ht="28.8" x14ac:dyDescent="0.3">
      <c r="A3400" s="22" t="s">
        <v>7870</v>
      </c>
      <c r="B3400" s="22" t="s">
        <v>7830</v>
      </c>
      <c r="C3400" s="22"/>
      <c r="D3400" s="22" t="s">
        <v>7710</v>
      </c>
      <c r="E3400" s="22" t="s">
        <v>6733</v>
      </c>
      <c r="F3400" s="24" t="s">
        <v>6734</v>
      </c>
      <c r="G3400" s="23" t="s">
        <v>32</v>
      </c>
      <c r="H3400" s="24" t="s">
        <v>1965</v>
      </c>
      <c r="I3400" s="22"/>
      <c r="J3400" s="22" t="s">
        <v>3145</v>
      </c>
      <c r="K3400" s="24"/>
      <c r="L3400" s="24"/>
      <c r="M3400" s="25" t="s">
        <v>6736</v>
      </c>
      <c r="N3400" s="22"/>
      <c r="O3400" s="22" t="s">
        <v>6737</v>
      </c>
      <c r="P3400" s="22" t="str">
        <f>HYPERLINK("https://ceds.ed.gov/cedselementdetails.aspx?termid=21252")</f>
        <v>https://ceds.ed.gov/cedselementdetails.aspx?termid=21252</v>
      </c>
      <c r="Q3400" s="22">
        <v>62618</v>
      </c>
    </row>
    <row r="3401" spans="1:17" ht="43.2" x14ac:dyDescent="0.3">
      <c r="A3401" s="22" t="s">
        <v>7870</v>
      </c>
      <c r="B3401" s="22" t="s">
        <v>7830</v>
      </c>
      <c r="C3401" s="22"/>
      <c r="D3401" s="22" t="s">
        <v>7710</v>
      </c>
      <c r="E3401" s="22" t="s">
        <v>6725</v>
      </c>
      <c r="F3401" s="24" t="s">
        <v>6726</v>
      </c>
      <c r="G3401" s="23" t="s">
        <v>32</v>
      </c>
      <c r="H3401" s="22"/>
      <c r="I3401" s="22"/>
      <c r="J3401" s="22" t="s">
        <v>85</v>
      </c>
      <c r="K3401" s="24"/>
      <c r="L3401" s="24"/>
      <c r="M3401" s="25" t="s">
        <v>6727</v>
      </c>
      <c r="N3401" s="22"/>
      <c r="O3401" s="22" t="s">
        <v>6728</v>
      </c>
      <c r="P3401" s="22" t="str">
        <f>HYPERLINK("https://ceds.ed.gov/cedselementdetails.aspx?termid=22236")</f>
        <v>https://ceds.ed.gov/cedselementdetails.aspx?termid=22236</v>
      </c>
      <c r="Q3401" s="22">
        <v>62659</v>
      </c>
    </row>
    <row r="3402" spans="1:17" ht="172.8" x14ac:dyDescent="0.3">
      <c r="A3402" s="22" t="s">
        <v>7870</v>
      </c>
      <c r="B3402" s="22" t="s">
        <v>7830</v>
      </c>
      <c r="C3402" s="22"/>
      <c r="D3402" s="22" t="s">
        <v>7710</v>
      </c>
      <c r="E3402" s="22" t="s">
        <v>6758</v>
      </c>
      <c r="F3402" s="24" t="s">
        <v>6759</v>
      </c>
      <c r="G3402" s="26" t="s">
        <v>9141</v>
      </c>
      <c r="H3402" s="24" t="s">
        <v>1521</v>
      </c>
      <c r="I3402" s="22"/>
      <c r="J3402" s="22"/>
      <c r="K3402" s="24"/>
      <c r="L3402" s="24"/>
      <c r="M3402" s="25" t="s">
        <v>6761</v>
      </c>
      <c r="N3402" s="22"/>
      <c r="O3402" s="22" t="s">
        <v>6762</v>
      </c>
      <c r="P3402" s="22" t="str">
        <f>HYPERLINK("https://ceds.ed.gov/cedselementdetails.aspx?termid=21254")</f>
        <v>https://ceds.ed.gov/cedselementdetails.aspx?termid=21254</v>
      </c>
      <c r="Q3402" s="22">
        <v>62620</v>
      </c>
    </row>
    <row r="3403" spans="1:17" x14ac:dyDescent="0.3">
      <c r="A3403" s="22" t="s">
        <v>7870</v>
      </c>
      <c r="B3403" s="22" t="s">
        <v>7830</v>
      </c>
      <c r="C3403" s="22"/>
      <c r="D3403" s="22" t="s">
        <v>7710</v>
      </c>
      <c r="E3403" s="22" t="s">
        <v>6729</v>
      </c>
      <c r="F3403" s="24" t="s">
        <v>6730</v>
      </c>
      <c r="G3403" s="23" t="s">
        <v>32</v>
      </c>
      <c r="H3403" s="22"/>
      <c r="I3403" s="22"/>
      <c r="J3403" s="22" t="s">
        <v>328</v>
      </c>
      <c r="K3403" s="24"/>
      <c r="L3403" s="24"/>
      <c r="M3403" s="25" t="s">
        <v>6731</v>
      </c>
      <c r="N3403" s="22"/>
      <c r="O3403" s="22" t="s">
        <v>6732</v>
      </c>
      <c r="P3403" s="22" t="str">
        <f>HYPERLINK("https://ceds.ed.gov/cedselementdetails.aspx?termid=22237")</f>
        <v>https://ceds.ed.gov/cedselementdetails.aspx?termid=22237</v>
      </c>
      <c r="Q3403" s="22">
        <v>62660</v>
      </c>
    </row>
    <row r="3404" spans="1:17" ht="409.6" x14ac:dyDescent="0.3">
      <c r="A3404" s="22" t="s">
        <v>7870</v>
      </c>
      <c r="B3404" s="22" t="s">
        <v>7830</v>
      </c>
      <c r="C3404" s="22"/>
      <c r="D3404" s="22" t="s">
        <v>7710</v>
      </c>
      <c r="E3404" s="22" t="s">
        <v>305</v>
      </c>
      <c r="F3404" s="24" t="s">
        <v>7956</v>
      </c>
      <c r="G3404" s="26" t="s">
        <v>8595</v>
      </c>
      <c r="H3404" s="22"/>
      <c r="I3404" s="22"/>
      <c r="J3404" s="22" t="s">
        <v>157</v>
      </c>
      <c r="K3404" s="24"/>
      <c r="L3404" s="24"/>
      <c r="M3404" s="25" t="s">
        <v>307</v>
      </c>
      <c r="N3404" s="22" t="s">
        <v>308</v>
      </c>
      <c r="O3404" s="22" t="s">
        <v>309</v>
      </c>
      <c r="P3404" s="22" t="str">
        <f>HYPERLINK("https://ceds.ed.gov/cedselementdetails.aspx?termid=22244")</f>
        <v>https://ceds.ed.gov/cedselementdetails.aspx?termid=22244</v>
      </c>
      <c r="Q3404" s="22">
        <v>62623</v>
      </c>
    </row>
    <row r="3405" spans="1:17" ht="43.2" x14ac:dyDescent="0.3">
      <c r="A3405" s="22" t="s">
        <v>7870</v>
      </c>
      <c r="B3405" s="22" t="s">
        <v>7830</v>
      </c>
      <c r="C3405" s="22"/>
      <c r="D3405" s="22" t="s">
        <v>7710</v>
      </c>
      <c r="E3405" s="22" t="s">
        <v>2600</v>
      </c>
      <c r="F3405" s="24" t="s">
        <v>2601</v>
      </c>
      <c r="G3405" s="23" t="s">
        <v>32</v>
      </c>
      <c r="H3405" s="22"/>
      <c r="I3405" s="22"/>
      <c r="J3405" s="22" t="s">
        <v>157</v>
      </c>
      <c r="K3405" s="24"/>
      <c r="L3405" s="24"/>
      <c r="M3405" s="25" t="s">
        <v>2602</v>
      </c>
      <c r="N3405" s="22"/>
      <c r="O3405" s="22" t="s">
        <v>2603</v>
      </c>
      <c r="P3405" s="22" t="str">
        <f>HYPERLINK("https://ceds.ed.gov/cedselementdetails.aspx?termid=21508")</f>
        <v>https://ceds.ed.gov/cedselementdetails.aspx?termid=21508</v>
      </c>
      <c r="Q3405" s="22">
        <v>62647</v>
      </c>
    </row>
    <row r="3406" spans="1:17" ht="409.6" x14ac:dyDescent="0.3">
      <c r="A3406" s="22" t="s">
        <v>7870</v>
      </c>
      <c r="B3406" s="22" t="s">
        <v>7830</v>
      </c>
      <c r="C3406" s="22"/>
      <c r="D3406" s="22" t="s">
        <v>7710</v>
      </c>
      <c r="E3406" s="22" t="s">
        <v>2566</v>
      </c>
      <c r="F3406" s="24" t="s">
        <v>2567</v>
      </c>
      <c r="G3406" s="26" t="s">
        <v>8747</v>
      </c>
      <c r="H3406" s="22"/>
      <c r="I3406" s="22"/>
      <c r="J3406" s="22"/>
      <c r="K3406" s="24"/>
      <c r="L3406" s="24" t="s">
        <v>8057</v>
      </c>
      <c r="M3406" s="25" t="s">
        <v>2569</v>
      </c>
      <c r="N3406" s="22"/>
      <c r="O3406" s="22" t="s">
        <v>2570</v>
      </c>
      <c r="P3406" s="22" t="str">
        <f>HYPERLINK("https://ceds.ed.gov/cedselementdetails.aspx?termid=22267")</f>
        <v>https://ceds.ed.gov/cedselementdetails.aspx?termid=22267</v>
      </c>
      <c r="Q3406" s="22">
        <v>62652</v>
      </c>
    </row>
    <row r="3407" spans="1:17" ht="244.8" x14ac:dyDescent="0.3">
      <c r="A3407" s="22" t="s">
        <v>7870</v>
      </c>
      <c r="B3407" s="22" t="s">
        <v>7830</v>
      </c>
      <c r="C3407" s="22"/>
      <c r="D3407" s="22" t="s">
        <v>7710</v>
      </c>
      <c r="E3407" s="22" t="s">
        <v>1925</v>
      </c>
      <c r="F3407" s="24" t="s">
        <v>1926</v>
      </c>
      <c r="G3407" s="26" t="s">
        <v>8710</v>
      </c>
      <c r="H3407" s="22"/>
      <c r="I3407" s="22"/>
      <c r="J3407" s="22"/>
      <c r="K3407" s="24"/>
      <c r="L3407" s="24" t="s">
        <v>8034</v>
      </c>
      <c r="M3407" s="25" t="s">
        <v>1927</v>
      </c>
      <c r="N3407" s="22"/>
      <c r="O3407" s="22" t="s">
        <v>1928</v>
      </c>
      <c r="P3407" s="22" t="str">
        <f>HYPERLINK("https://ceds.ed.gov/cedselementdetails.aspx?termid=22254")</f>
        <v>https://ceds.ed.gov/cedselementdetails.aspx?termid=22254</v>
      </c>
      <c r="Q3407" s="22">
        <v>62651</v>
      </c>
    </row>
    <row r="3408" spans="1:17" ht="43.2" x14ac:dyDescent="0.3">
      <c r="A3408" s="22" t="s">
        <v>7870</v>
      </c>
      <c r="B3408" s="22" t="s">
        <v>7830</v>
      </c>
      <c r="C3408" s="22"/>
      <c r="D3408" s="22" t="s">
        <v>7710</v>
      </c>
      <c r="E3408" s="22" t="s">
        <v>2562</v>
      </c>
      <c r="F3408" s="24" t="s">
        <v>2563</v>
      </c>
      <c r="G3408" s="26" t="s">
        <v>22</v>
      </c>
      <c r="H3408" s="22"/>
      <c r="I3408" s="22"/>
      <c r="J3408" s="22"/>
      <c r="K3408" s="24"/>
      <c r="L3408" s="24"/>
      <c r="M3408" s="25" t="s">
        <v>2564</v>
      </c>
      <c r="N3408" s="22"/>
      <c r="O3408" s="22" t="s">
        <v>2565</v>
      </c>
      <c r="P3408" s="22" t="str">
        <f>HYPERLINK("https://ceds.ed.gov/cedselementdetails.aspx?termid=21013")</f>
        <v>https://ceds.ed.gov/cedselementdetails.aspx?termid=21013</v>
      </c>
      <c r="Q3408" s="22">
        <v>62668</v>
      </c>
    </row>
    <row r="3409" spans="1:17" ht="43.2" x14ac:dyDescent="0.3">
      <c r="A3409" s="22" t="s">
        <v>7870</v>
      </c>
      <c r="B3409" s="22" t="s">
        <v>7830</v>
      </c>
      <c r="C3409" s="22"/>
      <c r="D3409" s="22" t="s">
        <v>7710</v>
      </c>
      <c r="E3409" s="22" t="s">
        <v>6746</v>
      </c>
      <c r="F3409" s="24" t="s">
        <v>6747</v>
      </c>
      <c r="G3409" s="26" t="s">
        <v>22</v>
      </c>
      <c r="H3409" s="22"/>
      <c r="I3409" s="22"/>
      <c r="J3409" s="22"/>
      <c r="K3409" s="24"/>
      <c r="L3409" s="24"/>
      <c r="M3409" s="25" t="s">
        <v>6748</v>
      </c>
      <c r="N3409" s="22"/>
      <c r="O3409" s="22" t="s">
        <v>6749</v>
      </c>
      <c r="P3409" s="22" t="str">
        <f>HYPERLINK("https://ceds.ed.gov/cedselementdetails.aspx?termid=22238")</f>
        <v>https://ceds.ed.gov/cedselementdetails.aspx?termid=22238</v>
      </c>
      <c r="Q3409" s="22">
        <v>62661</v>
      </c>
    </row>
    <row r="3410" spans="1:17" ht="43.2" x14ac:dyDescent="0.3">
      <c r="A3410" s="22" t="s">
        <v>7870</v>
      </c>
      <c r="B3410" s="22" t="s">
        <v>7830</v>
      </c>
      <c r="C3410" s="22"/>
      <c r="D3410" s="22" t="s">
        <v>7710</v>
      </c>
      <c r="E3410" s="22" t="s">
        <v>6750</v>
      </c>
      <c r="F3410" s="24" t="s">
        <v>6751</v>
      </c>
      <c r="G3410" s="26" t="s">
        <v>22</v>
      </c>
      <c r="H3410" s="22"/>
      <c r="I3410" s="22"/>
      <c r="J3410" s="22"/>
      <c r="K3410" s="24"/>
      <c r="L3410" s="24"/>
      <c r="M3410" s="25" t="s">
        <v>6752</v>
      </c>
      <c r="N3410" s="22"/>
      <c r="O3410" s="22" t="s">
        <v>6753</v>
      </c>
      <c r="P3410" s="22" t="str">
        <f>HYPERLINK("https://ceds.ed.gov/cedselementdetails.aspx?termid=22239")</f>
        <v>https://ceds.ed.gov/cedselementdetails.aspx?termid=22239</v>
      </c>
      <c r="Q3410" s="22">
        <v>62662</v>
      </c>
    </row>
    <row r="3411" spans="1:17" ht="43.2" x14ac:dyDescent="0.3">
      <c r="A3411" s="22" t="s">
        <v>7870</v>
      </c>
      <c r="B3411" s="22" t="s">
        <v>7830</v>
      </c>
      <c r="C3411" s="22"/>
      <c r="D3411" s="22" t="s">
        <v>7710</v>
      </c>
      <c r="E3411" s="22" t="s">
        <v>6716</v>
      </c>
      <c r="F3411" s="24" t="s">
        <v>6717</v>
      </c>
      <c r="G3411" s="26" t="s">
        <v>22</v>
      </c>
      <c r="H3411" s="22"/>
      <c r="I3411" s="22"/>
      <c r="J3411" s="22"/>
      <c r="K3411" s="24"/>
      <c r="L3411" s="24"/>
      <c r="M3411" s="25" t="s">
        <v>6719</v>
      </c>
      <c r="N3411" s="22"/>
      <c r="O3411" s="22" t="s">
        <v>6720</v>
      </c>
      <c r="P3411" s="22" t="str">
        <f>HYPERLINK("https://ceds.ed.gov/cedselementdetails.aspx?termid=22240")</f>
        <v>https://ceds.ed.gov/cedselementdetails.aspx?termid=22240</v>
      </c>
      <c r="Q3411" s="22">
        <v>62663</v>
      </c>
    </row>
    <row r="3412" spans="1:17" ht="129.6" x14ac:dyDescent="0.3">
      <c r="A3412" s="22" t="s">
        <v>7870</v>
      </c>
      <c r="B3412" s="22" t="s">
        <v>7830</v>
      </c>
      <c r="C3412" s="22"/>
      <c r="D3412" s="22" t="s">
        <v>7710</v>
      </c>
      <c r="E3412" s="22" t="s">
        <v>2546</v>
      </c>
      <c r="F3412" s="24" t="s">
        <v>2547</v>
      </c>
      <c r="G3412" s="23" t="s">
        <v>32</v>
      </c>
      <c r="H3412" s="22"/>
      <c r="I3412" s="22"/>
      <c r="J3412" s="22" t="s">
        <v>2549</v>
      </c>
      <c r="K3412" s="24"/>
      <c r="L3412" s="24" t="s">
        <v>2550</v>
      </c>
      <c r="M3412" s="25" t="s">
        <v>2551</v>
      </c>
      <c r="N3412" s="22"/>
      <c r="O3412" s="22" t="s">
        <v>2552</v>
      </c>
      <c r="P3412" s="22" t="str">
        <f>HYPERLINK("https://ceds.ed.gov/cedselementdetails.aspx?termid=22264")</f>
        <v>https://ceds.ed.gov/cedselementdetails.aspx?termid=22264</v>
      </c>
      <c r="Q3412" s="22">
        <v>62624</v>
      </c>
    </row>
    <row r="3413" spans="1:17" ht="72" x14ac:dyDescent="0.3">
      <c r="A3413" s="22" t="s">
        <v>7870</v>
      </c>
      <c r="B3413" s="22" t="s">
        <v>7830</v>
      </c>
      <c r="C3413" s="22"/>
      <c r="D3413" s="22" t="s">
        <v>7710</v>
      </c>
      <c r="E3413" s="22" t="s">
        <v>2728</v>
      </c>
      <c r="F3413" s="24" t="s">
        <v>2729</v>
      </c>
      <c r="G3413" s="23" t="s">
        <v>32</v>
      </c>
      <c r="H3413" s="22"/>
      <c r="I3413" s="22"/>
      <c r="J3413" s="22" t="s">
        <v>85</v>
      </c>
      <c r="K3413" s="24"/>
      <c r="L3413" s="24"/>
      <c r="M3413" s="25" t="s">
        <v>2730</v>
      </c>
      <c r="N3413" s="22"/>
      <c r="O3413" s="22" t="s">
        <v>2731</v>
      </c>
      <c r="P3413" s="22" t="str">
        <f>HYPERLINK("https://ceds.ed.gov/cedselementdetails.aspx?termid=22281")</f>
        <v>https://ceds.ed.gov/cedselementdetails.aspx?termid=22281</v>
      </c>
      <c r="Q3413" s="22">
        <v>62633</v>
      </c>
    </row>
    <row r="3414" spans="1:17" ht="129.6" x14ac:dyDescent="0.3">
      <c r="A3414" s="22" t="s">
        <v>7870</v>
      </c>
      <c r="B3414" s="22" t="s">
        <v>7830</v>
      </c>
      <c r="C3414" s="22"/>
      <c r="D3414" s="22" t="s">
        <v>7710</v>
      </c>
      <c r="E3414" s="22" t="s">
        <v>2737</v>
      </c>
      <c r="F3414" s="24" t="s">
        <v>2738</v>
      </c>
      <c r="G3414" s="23" t="s">
        <v>32</v>
      </c>
      <c r="H3414" s="22" t="s">
        <v>2741</v>
      </c>
      <c r="I3414" s="22"/>
      <c r="J3414" s="22" t="s">
        <v>317</v>
      </c>
      <c r="K3414" s="24"/>
      <c r="L3414" s="24"/>
      <c r="M3414" s="25" t="s">
        <v>2739</v>
      </c>
      <c r="N3414" s="22"/>
      <c r="O3414" s="22" t="s">
        <v>2740</v>
      </c>
      <c r="P3414" s="22" t="str">
        <f>HYPERLINK("https://ceds.ed.gov/cedselementdetails.aspx?termid=21101")</f>
        <v>https://ceds.ed.gov/cedselementdetails.aspx?termid=21101</v>
      </c>
      <c r="Q3414" s="22">
        <v>62669</v>
      </c>
    </row>
    <row r="3415" spans="1:17" ht="28.8" x14ac:dyDescent="0.3">
      <c r="A3415" s="22" t="s">
        <v>7870</v>
      </c>
      <c r="B3415" s="22" t="s">
        <v>7830</v>
      </c>
      <c r="C3415" s="22"/>
      <c r="D3415" s="22" t="s">
        <v>7710</v>
      </c>
      <c r="E3415" s="22" t="s">
        <v>2059</v>
      </c>
      <c r="F3415" s="24" t="s">
        <v>2060</v>
      </c>
      <c r="G3415" s="23" t="s">
        <v>32</v>
      </c>
      <c r="H3415" s="24" t="s">
        <v>2063</v>
      </c>
      <c r="I3415" s="22"/>
      <c r="J3415" s="22" t="s">
        <v>430</v>
      </c>
      <c r="K3415" s="24"/>
      <c r="L3415" s="24"/>
      <c r="M3415" s="25" t="s">
        <v>2061</v>
      </c>
      <c r="N3415" s="22"/>
      <c r="O3415" s="22" t="s">
        <v>2062</v>
      </c>
      <c r="P3415" s="22" t="str">
        <f>HYPERLINK("https://ceds.ed.gov/cedselementdetails.aspx?termid=21510")</f>
        <v>https://ceds.ed.gov/cedselementdetails.aspx?termid=21510</v>
      </c>
      <c r="Q3415" s="22">
        <v>62639</v>
      </c>
    </row>
    <row r="3416" spans="1:17" ht="28.8" x14ac:dyDescent="0.3">
      <c r="A3416" s="22" t="s">
        <v>7870</v>
      </c>
      <c r="B3416" s="22" t="s">
        <v>7830</v>
      </c>
      <c r="C3416" s="22"/>
      <c r="D3416" s="22" t="s">
        <v>7710</v>
      </c>
      <c r="E3416" s="22" t="s">
        <v>2064</v>
      </c>
      <c r="F3416" s="24" t="s">
        <v>2065</v>
      </c>
      <c r="G3416" s="23" t="s">
        <v>32</v>
      </c>
      <c r="H3416" s="24" t="s">
        <v>2063</v>
      </c>
      <c r="I3416" s="22"/>
      <c r="J3416" s="22" t="s">
        <v>430</v>
      </c>
      <c r="K3416" s="24"/>
      <c r="L3416" s="24"/>
      <c r="M3416" s="25" t="s">
        <v>2066</v>
      </c>
      <c r="N3416" s="22"/>
      <c r="O3416" s="22" t="s">
        <v>2067</v>
      </c>
      <c r="P3416" s="22" t="str">
        <f>HYPERLINK("https://ceds.ed.gov/cedselementdetails.aspx?termid=21511")</f>
        <v>https://ceds.ed.gov/cedselementdetails.aspx?termid=21511</v>
      </c>
      <c r="Q3416" s="22">
        <v>62640</v>
      </c>
    </row>
    <row r="3417" spans="1:17" ht="57.6" x14ac:dyDescent="0.3">
      <c r="A3417" s="22" t="s">
        <v>7870</v>
      </c>
      <c r="B3417" s="22" t="s">
        <v>7830</v>
      </c>
      <c r="C3417" s="22"/>
      <c r="D3417" s="22" t="s">
        <v>7710</v>
      </c>
      <c r="E3417" s="22" t="s">
        <v>2068</v>
      </c>
      <c r="F3417" s="24" t="s">
        <v>2069</v>
      </c>
      <c r="G3417" s="23" t="s">
        <v>32</v>
      </c>
      <c r="H3417" s="22"/>
      <c r="I3417" s="22"/>
      <c r="J3417" s="22" t="s">
        <v>157</v>
      </c>
      <c r="K3417" s="24"/>
      <c r="L3417" s="24"/>
      <c r="M3417" s="25" t="s">
        <v>2071</v>
      </c>
      <c r="N3417" s="22"/>
      <c r="O3417" s="22" t="s">
        <v>2072</v>
      </c>
      <c r="P3417" s="22" t="str">
        <f>HYPERLINK("https://ceds.ed.gov/cedselementdetails.aspx?termid=21512")</f>
        <v>https://ceds.ed.gov/cedselementdetails.aspx?termid=21512</v>
      </c>
      <c r="Q3417" s="22">
        <v>62641</v>
      </c>
    </row>
    <row r="3418" spans="1:17" ht="72" x14ac:dyDescent="0.3">
      <c r="A3418" s="22" t="s">
        <v>7870</v>
      </c>
      <c r="B3418" s="22" t="s">
        <v>7830</v>
      </c>
      <c r="C3418" s="22"/>
      <c r="D3418" s="22" t="s">
        <v>7710</v>
      </c>
      <c r="E3418" s="22" t="s">
        <v>2073</v>
      </c>
      <c r="F3418" s="24" t="s">
        <v>2074</v>
      </c>
      <c r="G3418" s="23" t="s">
        <v>32</v>
      </c>
      <c r="H3418" s="22"/>
      <c r="I3418" s="22"/>
      <c r="J3418" s="22" t="s">
        <v>85</v>
      </c>
      <c r="K3418" s="24"/>
      <c r="L3418" s="24"/>
      <c r="M3418" s="25" t="s">
        <v>2075</v>
      </c>
      <c r="N3418" s="22"/>
      <c r="O3418" s="22" t="s">
        <v>2076</v>
      </c>
      <c r="P3418" s="22" t="str">
        <f>HYPERLINK("https://ceds.ed.gov/cedselementdetails.aspx?termid=21513")</f>
        <v>https://ceds.ed.gov/cedselementdetails.aspx?termid=21513</v>
      </c>
      <c r="Q3418" s="22">
        <v>62642</v>
      </c>
    </row>
    <row r="3419" spans="1:17" ht="172.8" x14ac:dyDescent="0.3">
      <c r="A3419" s="22" t="s">
        <v>7870</v>
      </c>
      <c r="B3419" s="22" t="s">
        <v>7830</v>
      </c>
      <c r="C3419" s="22"/>
      <c r="D3419" s="22" t="s">
        <v>7710</v>
      </c>
      <c r="E3419" s="22" t="s">
        <v>7184</v>
      </c>
      <c r="F3419" s="24" t="s">
        <v>7185</v>
      </c>
      <c r="G3419" s="23" t="s">
        <v>32</v>
      </c>
      <c r="H3419" s="22"/>
      <c r="I3419" s="22"/>
      <c r="J3419" s="22" t="s">
        <v>132</v>
      </c>
      <c r="K3419" s="24"/>
      <c r="L3419" s="24" t="s">
        <v>7945</v>
      </c>
      <c r="M3419" s="25" t="s">
        <v>7186</v>
      </c>
      <c r="N3419" s="22"/>
      <c r="O3419" s="22" t="s">
        <v>7187</v>
      </c>
      <c r="P3419" s="22" t="str">
        <f>HYPERLINK("https://ceds.ed.gov/cedselementdetails.aspx?termid=21514")</f>
        <v>https://ceds.ed.gov/cedselementdetails.aspx?termid=21514</v>
      </c>
      <c r="Q3419" s="22">
        <v>62643</v>
      </c>
    </row>
    <row r="3420" spans="1:17" ht="28.8" x14ac:dyDescent="0.3">
      <c r="A3420" s="22" t="s">
        <v>7870</v>
      </c>
      <c r="B3420" s="22" t="s">
        <v>7830</v>
      </c>
      <c r="C3420" s="22"/>
      <c r="D3420" s="22" t="s">
        <v>7710</v>
      </c>
      <c r="E3420" s="22" t="s">
        <v>2724</v>
      </c>
      <c r="F3420" s="24" t="s">
        <v>2725</v>
      </c>
      <c r="G3420" s="23" t="s">
        <v>32</v>
      </c>
      <c r="H3420" s="22"/>
      <c r="I3420" s="22"/>
      <c r="J3420" s="22" t="s">
        <v>317</v>
      </c>
      <c r="K3420" s="24"/>
      <c r="L3420" s="24"/>
      <c r="M3420" s="25" t="s">
        <v>2726</v>
      </c>
      <c r="N3420" s="22"/>
      <c r="O3420" s="22" t="s">
        <v>2727</v>
      </c>
      <c r="P3420" s="22" t="str">
        <f>HYPERLINK("https://ceds.ed.gov/cedselementdetails.aspx?termid=22636")</f>
        <v>https://ceds.ed.gov/cedselementdetails.aspx?termid=22636</v>
      </c>
      <c r="Q3420" s="22">
        <v>62353</v>
      </c>
    </row>
    <row r="3421" spans="1:17" ht="115.2" x14ac:dyDescent="0.3">
      <c r="A3421" s="22" t="s">
        <v>7870</v>
      </c>
      <c r="B3421" s="22" t="s">
        <v>7830</v>
      </c>
      <c r="C3421" s="22"/>
      <c r="D3421" s="22" t="s">
        <v>7710</v>
      </c>
      <c r="E3421" s="22" t="s">
        <v>4788</v>
      </c>
      <c r="F3421" s="24" t="s">
        <v>4789</v>
      </c>
      <c r="G3421" s="23" t="s">
        <v>7423</v>
      </c>
      <c r="H3421" s="22" t="s">
        <v>214</v>
      </c>
      <c r="I3421" s="22"/>
      <c r="J3421" s="22"/>
      <c r="K3421" s="24"/>
      <c r="L3421" s="24" t="s">
        <v>7994</v>
      </c>
      <c r="M3421" s="25" t="s">
        <v>4790</v>
      </c>
      <c r="N3421" s="22"/>
      <c r="O3421" s="22" t="s">
        <v>4791</v>
      </c>
      <c r="P3421" s="22" t="str">
        <f>HYPERLINK("https://ceds.ed.gov/cedselementdetails.aspx?termid=21438")</f>
        <v>https://ceds.ed.gov/cedselementdetails.aspx?termid=21438</v>
      </c>
      <c r="Q3421" s="22">
        <v>62637</v>
      </c>
    </row>
    <row r="3422" spans="1:17" ht="172.8" x14ac:dyDescent="0.3">
      <c r="A3422" s="22" t="s">
        <v>7870</v>
      </c>
      <c r="B3422" s="22" t="s">
        <v>7830</v>
      </c>
      <c r="C3422" s="22"/>
      <c r="D3422" s="22" t="s">
        <v>7710</v>
      </c>
      <c r="E3422" s="22" t="s">
        <v>2100</v>
      </c>
      <c r="F3422" s="24" t="s">
        <v>2101</v>
      </c>
      <c r="G3422" s="23" t="s">
        <v>32</v>
      </c>
      <c r="H3422" s="22"/>
      <c r="I3422" s="22"/>
      <c r="J3422" s="22" t="s">
        <v>132</v>
      </c>
      <c r="K3422" s="24"/>
      <c r="L3422" s="24" t="s">
        <v>7945</v>
      </c>
      <c r="M3422" s="25" t="s">
        <v>2102</v>
      </c>
      <c r="N3422" s="22"/>
      <c r="O3422" s="22" t="s">
        <v>2103</v>
      </c>
      <c r="P3422" s="22" t="str">
        <f>HYPERLINK("https://ceds.ed.gov/cedselementdetails.aspx?termid=21507")</f>
        <v>https://ceds.ed.gov/cedselementdetails.aspx?termid=21507</v>
      </c>
      <c r="Q3422" s="22">
        <v>62638</v>
      </c>
    </row>
    <row r="3423" spans="1:17" ht="158.4" x14ac:dyDescent="0.3">
      <c r="A3423" s="22" t="s">
        <v>7870</v>
      </c>
      <c r="B3423" s="22" t="s">
        <v>7830</v>
      </c>
      <c r="C3423" s="22"/>
      <c r="D3423" s="22" t="s">
        <v>7710</v>
      </c>
      <c r="E3423" s="22" t="s">
        <v>6361</v>
      </c>
      <c r="F3423" s="24" t="s">
        <v>6362</v>
      </c>
      <c r="G3423" s="26" t="s">
        <v>8510</v>
      </c>
      <c r="H3423" s="22"/>
      <c r="I3423" s="22" t="s">
        <v>172</v>
      </c>
      <c r="J3423" s="22"/>
      <c r="K3423" s="24" t="s">
        <v>8050</v>
      </c>
      <c r="L3423" s="24"/>
      <c r="M3423" s="25" t="s">
        <v>6363</v>
      </c>
      <c r="N3423" s="22"/>
      <c r="O3423" s="22" t="s">
        <v>6364</v>
      </c>
      <c r="P3423" s="22" t="str">
        <f>HYPERLINK("https://ceds.ed.gov/cedselementdetails.aspx?termid=21515")</f>
        <v>https://ceds.ed.gov/cedselementdetails.aspx?termid=21515</v>
      </c>
      <c r="Q3423" s="22">
        <v>62644</v>
      </c>
    </row>
    <row r="3424" spans="1:17" ht="244.8" x14ac:dyDescent="0.3">
      <c r="A3424" s="22" t="s">
        <v>7870</v>
      </c>
      <c r="B3424" s="22" t="s">
        <v>7830</v>
      </c>
      <c r="C3424" s="22"/>
      <c r="D3424" s="22" t="s">
        <v>7710</v>
      </c>
      <c r="E3424" s="22" t="s">
        <v>2104</v>
      </c>
      <c r="F3424" s="24" t="s">
        <v>2105</v>
      </c>
      <c r="G3424" s="26" t="s">
        <v>8411</v>
      </c>
      <c r="H3424" s="22"/>
      <c r="I3424" s="22" t="s">
        <v>172</v>
      </c>
      <c r="J3424" s="22"/>
      <c r="K3424" s="24" t="s">
        <v>7946</v>
      </c>
      <c r="L3424" s="24"/>
      <c r="M3424" s="25" t="s">
        <v>2106</v>
      </c>
      <c r="N3424" s="22"/>
      <c r="O3424" s="22" t="s">
        <v>2107</v>
      </c>
      <c r="P3424" s="22" t="str">
        <f>HYPERLINK("https://ceds.ed.gov/cedselementdetails.aspx?termid=21615")</f>
        <v>https://ceds.ed.gov/cedselementdetails.aspx?termid=21615</v>
      </c>
      <c r="Q3424" s="22">
        <v>62649</v>
      </c>
    </row>
    <row r="3425" spans="1:17" ht="115.2" x14ac:dyDescent="0.3">
      <c r="A3425" s="22" t="s">
        <v>7870</v>
      </c>
      <c r="B3425" s="22" t="s">
        <v>7830</v>
      </c>
      <c r="C3425" s="22"/>
      <c r="D3425" s="22" t="s">
        <v>7710</v>
      </c>
      <c r="E3425" s="22" t="s">
        <v>7335</v>
      </c>
      <c r="F3425" s="24" t="s">
        <v>8347</v>
      </c>
      <c r="G3425" s="26" t="s">
        <v>22</v>
      </c>
      <c r="H3425" s="22"/>
      <c r="I3425" s="22" t="s">
        <v>172</v>
      </c>
      <c r="J3425" s="22"/>
      <c r="K3425" s="24" t="s">
        <v>8348</v>
      </c>
      <c r="L3425" s="24"/>
      <c r="M3425" s="25" t="s">
        <v>7336</v>
      </c>
      <c r="N3425" s="22"/>
      <c r="O3425" s="22" t="s">
        <v>7337</v>
      </c>
      <c r="P3425" s="22" t="str">
        <f>HYPERLINK("https://ceds.ed.gov/cedselementdetails.aspx?termid=22167")</f>
        <v>https://ceds.ed.gov/cedselementdetails.aspx?termid=22167</v>
      </c>
      <c r="Q3425" s="22">
        <v>62666</v>
      </c>
    </row>
    <row r="3426" spans="1:17" ht="129.6" x14ac:dyDescent="0.3">
      <c r="A3426" s="22" t="s">
        <v>7870</v>
      </c>
      <c r="B3426" s="22" t="s">
        <v>7830</v>
      </c>
      <c r="C3426" s="22"/>
      <c r="D3426" s="22" t="s">
        <v>7710</v>
      </c>
      <c r="E3426" s="22" t="s">
        <v>2720</v>
      </c>
      <c r="F3426" s="24" t="s">
        <v>2721</v>
      </c>
      <c r="G3426" s="26" t="s">
        <v>8762</v>
      </c>
      <c r="H3426" s="22"/>
      <c r="I3426" s="22"/>
      <c r="J3426" s="22"/>
      <c r="K3426" s="24"/>
      <c r="L3426" s="24"/>
      <c r="M3426" s="25" t="s">
        <v>2722</v>
      </c>
      <c r="N3426" s="22"/>
      <c r="O3426" s="22" t="s">
        <v>2723</v>
      </c>
      <c r="P3426" s="22" t="str">
        <f>HYPERLINK("https://ceds.ed.gov/cedselementdetails.aspx?termid=22168")</f>
        <v>https://ceds.ed.gov/cedselementdetails.aspx?termid=22168</v>
      </c>
      <c r="Q3426" s="22">
        <v>62667</v>
      </c>
    </row>
    <row r="3427" spans="1:17" ht="144" x14ac:dyDescent="0.3">
      <c r="A3427" s="22" t="s">
        <v>7870</v>
      </c>
      <c r="B3427" s="22" t="s">
        <v>7830</v>
      </c>
      <c r="C3427" s="22"/>
      <c r="D3427" s="22" t="s">
        <v>7710</v>
      </c>
      <c r="E3427" s="22" t="s">
        <v>1559</v>
      </c>
      <c r="F3427" s="24" t="s">
        <v>1560</v>
      </c>
      <c r="G3427" s="26" t="s">
        <v>8407</v>
      </c>
      <c r="H3427" s="22"/>
      <c r="I3427" s="22" t="s">
        <v>172</v>
      </c>
      <c r="J3427" s="22"/>
      <c r="K3427" s="24" t="s">
        <v>7946</v>
      </c>
      <c r="L3427" s="24" t="s">
        <v>1561</v>
      </c>
      <c r="M3427" s="25" t="s">
        <v>1562</v>
      </c>
      <c r="N3427" s="22"/>
      <c r="O3427" s="22" t="s">
        <v>1563</v>
      </c>
      <c r="P3427" s="22" t="str">
        <f>HYPERLINK("https://ceds.ed.gov/cedselementdetails.aspx?termid=22253")</f>
        <v>https://ceds.ed.gov/cedselementdetails.aspx?termid=22253</v>
      </c>
      <c r="Q3427" s="22">
        <v>62650</v>
      </c>
    </row>
    <row r="3428" spans="1:17" ht="43.2" x14ac:dyDescent="0.3">
      <c r="A3428" s="22" t="s">
        <v>7870</v>
      </c>
      <c r="B3428" s="22" t="s">
        <v>7830</v>
      </c>
      <c r="C3428" s="22"/>
      <c r="D3428" s="22" t="s">
        <v>7710</v>
      </c>
      <c r="E3428" s="22" t="s">
        <v>2645</v>
      </c>
      <c r="F3428" s="24" t="s">
        <v>2646</v>
      </c>
      <c r="G3428" s="26" t="s">
        <v>8756</v>
      </c>
      <c r="H3428" s="22"/>
      <c r="I3428" s="22"/>
      <c r="J3428" s="22"/>
      <c r="K3428" s="24"/>
      <c r="L3428" s="24" t="s">
        <v>2647</v>
      </c>
      <c r="M3428" s="25" t="s">
        <v>2648</v>
      </c>
      <c r="N3428" s="22"/>
      <c r="O3428" s="22" t="s">
        <v>2649</v>
      </c>
      <c r="P3428" s="22" t="str">
        <f>HYPERLINK("https://ceds.ed.gov/cedselementdetails.aspx?termid=22277")</f>
        <v>https://ceds.ed.gov/cedselementdetails.aspx?termid=22277</v>
      </c>
      <c r="Q3428" s="22">
        <v>62655</v>
      </c>
    </row>
    <row r="3429" spans="1:17" ht="57.6" x14ac:dyDescent="0.3">
      <c r="A3429" s="22" t="s">
        <v>7870</v>
      </c>
      <c r="B3429" s="22" t="s">
        <v>7830</v>
      </c>
      <c r="C3429" s="22"/>
      <c r="D3429" s="22" t="s">
        <v>7710</v>
      </c>
      <c r="E3429" s="22" t="s">
        <v>2732</v>
      </c>
      <c r="F3429" s="24" t="s">
        <v>2733</v>
      </c>
      <c r="G3429" s="26" t="s">
        <v>8763</v>
      </c>
      <c r="H3429" s="24" t="s">
        <v>2736</v>
      </c>
      <c r="I3429" s="22"/>
      <c r="J3429" s="22"/>
      <c r="K3429" s="24"/>
      <c r="L3429" s="24"/>
      <c r="M3429" s="25" t="s">
        <v>2734</v>
      </c>
      <c r="N3429" s="22"/>
      <c r="O3429" s="22" t="s">
        <v>2735</v>
      </c>
      <c r="P3429" s="22" t="str">
        <f>HYPERLINK("https://ceds.ed.gov/cedselementdetails.aspx?termid=21258")</f>
        <v>https://ceds.ed.gov/cedselementdetails.aspx?termid=21258</v>
      </c>
      <c r="Q3429" s="22">
        <v>62621</v>
      </c>
    </row>
    <row r="3430" spans="1:17" ht="57.6" x14ac:dyDescent="0.3">
      <c r="A3430" s="22" t="s">
        <v>7870</v>
      </c>
      <c r="B3430" s="22" t="s">
        <v>7830</v>
      </c>
      <c r="C3430" s="22"/>
      <c r="D3430" s="22" t="s">
        <v>7710</v>
      </c>
      <c r="E3430" s="22" t="s">
        <v>20</v>
      </c>
      <c r="F3430" s="24" t="s">
        <v>21</v>
      </c>
      <c r="G3430" s="26" t="s">
        <v>22</v>
      </c>
      <c r="H3430" s="22" t="s">
        <v>25</v>
      </c>
      <c r="I3430" s="22"/>
      <c r="J3430" s="22"/>
      <c r="K3430" s="24"/>
      <c r="L3430" s="24"/>
      <c r="M3430" s="25" t="s">
        <v>23</v>
      </c>
      <c r="N3430" s="22"/>
      <c r="O3430" s="22" t="s">
        <v>24</v>
      </c>
      <c r="P3430" s="22" t="str">
        <f>HYPERLINK("https://ceds.ed.gov/cedselementdetails.aspx?termid=21000")</f>
        <v>https://ceds.ed.gov/cedselementdetails.aspx?termid=21000</v>
      </c>
      <c r="Q3430" s="22">
        <v>62664</v>
      </c>
    </row>
    <row r="3431" spans="1:17" ht="100.8" x14ac:dyDescent="0.3">
      <c r="A3431" s="22" t="s">
        <v>7870</v>
      </c>
      <c r="B3431" s="22" t="s">
        <v>7830</v>
      </c>
      <c r="C3431" s="22"/>
      <c r="D3431" s="22" t="s">
        <v>7710</v>
      </c>
      <c r="E3431" s="22" t="s">
        <v>2618</v>
      </c>
      <c r="F3431" s="24" t="s">
        <v>2619</v>
      </c>
      <c r="G3431" s="26" t="s">
        <v>8752</v>
      </c>
      <c r="H3431" s="24" t="s">
        <v>1521</v>
      </c>
      <c r="I3431" s="22"/>
      <c r="J3431" s="22"/>
      <c r="K3431" s="24"/>
      <c r="L3431" s="24"/>
      <c r="M3431" s="25" t="s">
        <v>2621</v>
      </c>
      <c r="N3431" s="22" t="s">
        <v>2622</v>
      </c>
      <c r="O3431" s="22" t="s">
        <v>2623</v>
      </c>
      <c r="P3431" s="22" t="str">
        <f>HYPERLINK("https://ceds.ed.gov/cedselementdetails.aspx?termid=21060")</f>
        <v>https://ceds.ed.gov/cedselementdetails.aspx?termid=21060</v>
      </c>
      <c r="Q3431" s="22">
        <v>62616</v>
      </c>
    </row>
    <row r="3432" spans="1:17" ht="158.4" x14ac:dyDescent="0.3">
      <c r="A3432" s="22" t="s">
        <v>7870</v>
      </c>
      <c r="B3432" s="22" t="s">
        <v>7830</v>
      </c>
      <c r="C3432" s="22"/>
      <c r="D3432" s="22" t="s">
        <v>7710</v>
      </c>
      <c r="E3432" s="22" t="s">
        <v>160</v>
      </c>
      <c r="F3432" s="24" t="s">
        <v>161</v>
      </c>
      <c r="G3432" s="26" t="s">
        <v>8573</v>
      </c>
      <c r="H3432" s="22"/>
      <c r="I3432" s="22"/>
      <c r="J3432" s="22"/>
      <c r="K3432" s="24"/>
      <c r="L3432" s="24"/>
      <c r="M3432" s="25" t="s">
        <v>163</v>
      </c>
      <c r="N3432" s="22"/>
      <c r="O3432" s="22" t="s">
        <v>164</v>
      </c>
      <c r="P3432" s="22" t="str">
        <f>HYPERLINK("https://ceds.ed.gov/cedselementdetails.aspx?termid=21589")</f>
        <v>https://ceds.ed.gov/cedselementdetails.aspx?termid=21589</v>
      </c>
      <c r="Q3432" s="22">
        <v>62648</v>
      </c>
    </row>
    <row r="3433" spans="1:17" ht="43.2" x14ac:dyDescent="0.3">
      <c r="A3433" s="22" t="s">
        <v>7870</v>
      </c>
      <c r="B3433" s="22" t="s">
        <v>7830</v>
      </c>
      <c r="C3433" s="22"/>
      <c r="D3433" s="22" t="s">
        <v>7710</v>
      </c>
      <c r="E3433" s="22" t="s">
        <v>2575</v>
      </c>
      <c r="F3433" s="24" t="s">
        <v>2576</v>
      </c>
      <c r="G3433" s="23" t="s">
        <v>32</v>
      </c>
      <c r="H3433" s="22"/>
      <c r="I3433" s="22"/>
      <c r="J3433" s="22" t="s">
        <v>113</v>
      </c>
      <c r="K3433" s="24"/>
      <c r="L3433" s="24"/>
      <c r="M3433" s="25" t="s">
        <v>2577</v>
      </c>
      <c r="N3433" s="22"/>
      <c r="O3433" s="22" t="s">
        <v>2578</v>
      </c>
      <c r="P3433" s="22" t="str">
        <f>HYPERLINK("https://ceds.ed.gov/cedselementdetails.aspx?termid=22268")</f>
        <v>https://ceds.ed.gov/cedselementdetails.aspx?termid=22268</v>
      </c>
      <c r="Q3433" s="22">
        <v>62653</v>
      </c>
    </row>
    <row r="3434" spans="1:17" ht="43.2" x14ac:dyDescent="0.3">
      <c r="A3434" s="22" t="s">
        <v>7870</v>
      </c>
      <c r="B3434" s="22" t="s">
        <v>7830</v>
      </c>
      <c r="C3434" s="22"/>
      <c r="D3434" s="22" t="s">
        <v>7710</v>
      </c>
      <c r="E3434" s="22" t="s">
        <v>3903</v>
      </c>
      <c r="F3434" s="24" t="s">
        <v>3904</v>
      </c>
      <c r="G3434" s="26" t="s">
        <v>22</v>
      </c>
      <c r="H3434" s="22"/>
      <c r="I3434" s="22"/>
      <c r="J3434" s="22"/>
      <c r="K3434" s="24"/>
      <c r="L3434" s="24"/>
      <c r="M3434" s="25" t="s">
        <v>3905</v>
      </c>
      <c r="N3434" s="22"/>
      <c r="O3434" s="22" t="s">
        <v>3906</v>
      </c>
      <c r="P3434" s="22" t="str">
        <f>HYPERLINK("https://ceds.ed.gov/cedselementdetails.aspx?termid=22311")</f>
        <v>https://ceds.ed.gov/cedselementdetails.aspx?termid=22311</v>
      </c>
      <c r="Q3434" s="22">
        <v>62656</v>
      </c>
    </row>
    <row r="3435" spans="1:17" ht="43.2" x14ac:dyDescent="0.3">
      <c r="A3435" s="22" t="s">
        <v>7870</v>
      </c>
      <c r="B3435" s="22" t="s">
        <v>7830</v>
      </c>
      <c r="C3435" s="22"/>
      <c r="D3435" s="22" t="s">
        <v>7710</v>
      </c>
      <c r="E3435" s="22" t="s">
        <v>5534</v>
      </c>
      <c r="F3435" s="24" t="s">
        <v>5535</v>
      </c>
      <c r="G3435" s="26" t="s">
        <v>22</v>
      </c>
      <c r="H3435" s="22"/>
      <c r="I3435" s="22"/>
      <c r="J3435" s="22"/>
      <c r="K3435" s="24"/>
      <c r="L3435" s="24"/>
      <c r="M3435" s="25" t="s">
        <v>5536</v>
      </c>
      <c r="N3435" s="22" t="s">
        <v>5537</v>
      </c>
      <c r="O3435" s="22" t="s">
        <v>5538</v>
      </c>
      <c r="P3435" s="22" t="str">
        <f>HYPERLINK("https://ceds.ed.gov/cedselementdetails.aspx?termid=22382")</f>
        <v>https://ceds.ed.gov/cedselementdetails.aspx?termid=22382</v>
      </c>
      <c r="Q3435" s="22">
        <v>62657</v>
      </c>
    </row>
    <row r="3436" spans="1:17" ht="187.2" x14ac:dyDescent="0.3">
      <c r="A3436" s="22" t="s">
        <v>7870</v>
      </c>
      <c r="B3436" s="22" t="s">
        <v>7830</v>
      </c>
      <c r="C3436" s="22"/>
      <c r="D3436" s="22" t="s">
        <v>7710</v>
      </c>
      <c r="E3436" s="22" t="s">
        <v>7394</v>
      </c>
      <c r="F3436" s="24" t="s">
        <v>7395</v>
      </c>
      <c r="G3436" s="26" t="s">
        <v>9190</v>
      </c>
      <c r="H3436" s="22"/>
      <c r="I3436" s="22"/>
      <c r="J3436" s="22"/>
      <c r="K3436" s="24"/>
      <c r="L3436" s="24"/>
      <c r="M3436" s="25" t="s">
        <v>7397</v>
      </c>
      <c r="N3436" s="22"/>
      <c r="O3436" s="22" t="s">
        <v>7398</v>
      </c>
      <c r="P3436" s="22" t="str">
        <f>HYPERLINK("https://ceds.ed.gov/cedselementdetails.aspx?termid=22471")</f>
        <v>https://ceds.ed.gov/cedselementdetails.aspx?termid=22471</v>
      </c>
      <c r="Q3436" s="22">
        <v>62636</v>
      </c>
    </row>
    <row r="3437" spans="1:17" ht="86.4" x14ac:dyDescent="0.3">
      <c r="A3437" s="22" t="s">
        <v>7870</v>
      </c>
      <c r="B3437" s="22" t="s">
        <v>7830</v>
      </c>
      <c r="C3437" s="22"/>
      <c r="D3437" s="22" t="s">
        <v>7710</v>
      </c>
      <c r="E3437" s="22" t="s">
        <v>3125</v>
      </c>
      <c r="F3437" s="24" t="s">
        <v>3126</v>
      </c>
      <c r="G3437" s="26" t="s">
        <v>8792</v>
      </c>
      <c r="H3437" s="22" t="s">
        <v>3124</v>
      </c>
      <c r="I3437" s="22"/>
      <c r="J3437" s="22"/>
      <c r="K3437" s="24"/>
      <c r="L3437" s="24"/>
      <c r="M3437" s="25" t="s">
        <v>3128</v>
      </c>
      <c r="N3437" s="22"/>
      <c r="O3437" s="22" t="s">
        <v>3129</v>
      </c>
      <c r="P3437" s="22" t="str">
        <f>HYPERLINK("https://ceds.ed.gov/cedselementdetails.aspx?termid=22568")</f>
        <v>https://ceds.ed.gov/cedselementdetails.aspx?termid=22568</v>
      </c>
      <c r="Q3437" s="22">
        <v>62645</v>
      </c>
    </row>
    <row r="3438" spans="1:17" ht="72" x14ac:dyDescent="0.3">
      <c r="A3438" s="22" t="s">
        <v>7870</v>
      </c>
      <c r="B3438" s="22" t="s">
        <v>7830</v>
      </c>
      <c r="C3438" s="22"/>
      <c r="D3438" s="22" t="s">
        <v>7710</v>
      </c>
      <c r="E3438" s="22" t="s">
        <v>2613</v>
      </c>
      <c r="F3438" s="24" t="s">
        <v>2614</v>
      </c>
      <c r="G3438" s="23" t="s">
        <v>32</v>
      </c>
      <c r="H3438" s="22"/>
      <c r="I3438" s="22"/>
      <c r="J3438" s="22" t="s">
        <v>85</v>
      </c>
      <c r="K3438" s="24"/>
      <c r="L3438" s="24" t="s">
        <v>2615</v>
      </c>
      <c r="M3438" s="25" t="s">
        <v>2616</v>
      </c>
      <c r="N3438" s="22"/>
      <c r="O3438" s="22" t="s">
        <v>2617</v>
      </c>
      <c r="P3438" s="22" t="str">
        <f>HYPERLINK("https://ceds.ed.gov/cedselementdetails.aspx?termid=22272")</f>
        <v>https://ceds.ed.gov/cedselementdetails.aspx?termid=22272</v>
      </c>
      <c r="Q3438" s="22">
        <v>62654</v>
      </c>
    </row>
    <row r="3439" spans="1:17" ht="57.6" x14ac:dyDescent="0.3">
      <c r="A3439" s="22" t="s">
        <v>7870</v>
      </c>
      <c r="B3439" s="22" t="s">
        <v>7830</v>
      </c>
      <c r="C3439" s="22"/>
      <c r="D3439" s="22" t="s">
        <v>7710</v>
      </c>
      <c r="E3439" s="22" t="s">
        <v>7304</v>
      </c>
      <c r="F3439" s="24" t="s">
        <v>7305</v>
      </c>
      <c r="G3439" s="26" t="s">
        <v>22</v>
      </c>
      <c r="H3439" s="22"/>
      <c r="I3439" s="22"/>
      <c r="J3439" s="22"/>
      <c r="K3439" s="24"/>
      <c r="L3439" s="24" t="s">
        <v>7306</v>
      </c>
      <c r="M3439" s="25" t="s">
        <v>7307</v>
      </c>
      <c r="N3439" s="22"/>
      <c r="O3439" s="22" t="s">
        <v>7308</v>
      </c>
      <c r="P3439" s="22" t="str">
        <f>HYPERLINK("https://ceds.ed.gov/cedselementdetails.aspx?termid=22554")</f>
        <v>https://ceds.ed.gov/cedselementdetails.aspx?termid=22554</v>
      </c>
      <c r="Q3439" s="22">
        <v>62658</v>
      </c>
    </row>
    <row r="3440" spans="1:17" ht="72" x14ac:dyDescent="0.3">
      <c r="A3440" s="22" t="s">
        <v>7870</v>
      </c>
      <c r="B3440" s="22" t="s">
        <v>7830</v>
      </c>
      <c r="C3440" s="22"/>
      <c r="D3440" s="22" t="s">
        <v>7710</v>
      </c>
      <c r="E3440" s="22" t="s">
        <v>2663</v>
      </c>
      <c r="F3440" s="24" t="s">
        <v>8063</v>
      </c>
      <c r="G3440" s="23" t="s">
        <v>32</v>
      </c>
      <c r="H3440" s="22"/>
      <c r="I3440" s="22"/>
      <c r="J3440" s="22" t="s">
        <v>85</v>
      </c>
      <c r="K3440" s="24"/>
      <c r="L3440" s="24"/>
      <c r="M3440" s="25" t="s">
        <v>2665</v>
      </c>
      <c r="N3440" s="22"/>
      <c r="O3440" s="22" t="s">
        <v>2666</v>
      </c>
      <c r="P3440" s="22" t="str">
        <f>HYPERLINK("https://ceds.ed.gov/cedselementdetails.aspx?termid=22280")</f>
        <v>https://ceds.ed.gov/cedselementdetails.aspx?termid=22280</v>
      </c>
      <c r="Q3440" s="22">
        <v>62632</v>
      </c>
    </row>
    <row r="3441" spans="1:17" ht="302.39999999999998" x14ac:dyDescent="0.3">
      <c r="A3441" s="22" t="s">
        <v>7870</v>
      </c>
      <c r="B3441" s="22" t="s">
        <v>7830</v>
      </c>
      <c r="C3441" s="22"/>
      <c r="D3441" s="22" t="s">
        <v>7710</v>
      </c>
      <c r="E3441" s="22" t="s">
        <v>2654</v>
      </c>
      <c r="F3441" s="24" t="s">
        <v>2655</v>
      </c>
      <c r="G3441" s="26" t="s">
        <v>8422</v>
      </c>
      <c r="H3441" s="22"/>
      <c r="I3441" s="22" t="s">
        <v>172</v>
      </c>
      <c r="J3441" s="22"/>
      <c r="K3441" s="24" t="s">
        <v>7946</v>
      </c>
      <c r="L3441" s="24"/>
      <c r="M3441" s="25" t="s">
        <v>2657</v>
      </c>
      <c r="N3441" s="22"/>
      <c r="O3441" s="22" t="s">
        <v>2658</v>
      </c>
      <c r="P3441" s="22" t="str">
        <f>HYPERLINK("https://ceds.ed.gov/cedselementdetails.aspx?termid=22278")</f>
        <v>https://ceds.ed.gov/cedselementdetails.aspx?termid=22278</v>
      </c>
      <c r="Q3441" s="22">
        <v>61513</v>
      </c>
    </row>
    <row r="3442" spans="1:17" ht="345.6" x14ac:dyDescent="0.3">
      <c r="A3442" s="22" t="s">
        <v>7870</v>
      </c>
      <c r="B3442" s="22" t="s">
        <v>7830</v>
      </c>
      <c r="C3442" s="22"/>
      <c r="D3442" s="22" t="s">
        <v>7710</v>
      </c>
      <c r="E3442" s="22" t="s">
        <v>2584</v>
      </c>
      <c r="F3442" s="24" t="s">
        <v>2585</v>
      </c>
      <c r="G3442" s="26" t="s">
        <v>8748</v>
      </c>
      <c r="H3442" s="22"/>
      <c r="I3442" s="22"/>
      <c r="J3442" s="22"/>
      <c r="K3442" s="24"/>
      <c r="L3442" s="24"/>
      <c r="M3442" s="25" t="s">
        <v>2586</v>
      </c>
      <c r="N3442" s="22"/>
      <c r="O3442" s="22" t="s">
        <v>2587</v>
      </c>
      <c r="P3442" s="22" t="str">
        <f>HYPERLINK("https://ceds.ed.gov/cedselementdetails.aspx?termid=22269")</f>
        <v>https://ceds.ed.gov/cedselementdetails.aspx?termid=22269</v>
      </c>
      <c r="Q3442" s="22">
        <v>62625</v>
      </c>
    </row>
    <row r="3443" spans="1:17" ht="187.2" x14ac:dyDescent="0.3">
      <c r="A3443" s="22" t="s">
        <v>7870</v>
      </c>
      <c r="B3443" s="22" t="s">
        <v>7830</v>
      </c>
      <c r="C3443" s="22"/>
      <c r="D3443" s="22" t="s">
        <v>7710</v>
      </c>
      <c r="E3443" s="22" t="s">
        <v>2588</v>
      </c>
      <c r="F3443" s="24" t="s">
        <v>2589</v>
      </c>
      <c r="G3443" s="26" t="s">
        <v>8749</v>
      </c>
      <c r="H3443" s="22"/>
      <c r="I3443" s="22"/>
      <c r="J3443" s="22"/>
      <c r="K3443" s="24"/>
      <c r="L3443" s="24"/>
      <c r="M3443" s="25" t="s">
        <v>2590</v>
      </c>
      <c r="N3443" s="22"/>
      <c r="O3443" s="22" t="s">
        <v>2591</v>
      </c>
      <c r="P3443" s="22" t="str">
        <f>HYPERLINK("https://ceds.ed.gov/cedselementdetails.aspx?termid=22270")</f>
        <v>https://ceds.ed.gov/cedselementdetails.aspx?termid=22270</v>
      </c>
      <c r="Q3443" s="22">
        <v>62626</v>
      </c>
    </row>
    <row r="3444" spans="1:17" ht="43.2" x14ac:dyDescent="0.3">
      <c r="A3444" s="22" t="s">
        <v>7870</v>
      </c>
      <c r="B3444" s="22" t="s">
        <v>7830</v>
      </c>
      <c r="C3444" s="22"/>
      <c r="D3444" s="22" t="s">
        <v>7710</v>
      </c>
      <c r="E3444" s="22" t="s">
        <v>2624</v>
      </c>
      <c r="F3444" s="24" t="s">
        <v>2625</v>
      </c>
      <c r="G3444" s="26" t="s">
        <v>8753</v>
      </c>
      <c r="H3444" s="22"/>
      <c r="I3444" s="22"/>
      <c r="J3444" s="22"/>
      <c r="K3444" s="24"/>
      <c r="L3444" s="24"/>
      <c r="M3444" s="25" t="s">
        <v>2626</v>
      </c>
      <c r="N3444" s="22"/>
      <c r="O3444" s="22" t="s">
        <v>2627</v>
      </c>
      <c r="P3444" s="22" t="str">
        <f>HYPERLINK("https://ceds.ed.gov/cedselementdetails.aspx?termid=22273")</f>
        <v>https://ceds.ed.gov/cedselementdetails.aspx?termid=22273</v>
      </c>
      <c r="Q3444" s="22">
        <v>62627</v>
      </c>
    </row>
    <row r="3445" spans="1:17" ht="86.4" x14ac:dyDescent="0.3">
      <c r="A3445" s="22" t="s">
        <v>7870</v>
      </c>
      <c r="B3445" s="22" t="s">
        <v>7830</v>
      </c>
      <c r="C3445" s="22"/>
      <c r="D3445" s="22" t="s">
        <v>7710</v>
      </c>
      <c r="E3445" s="22" t="s">
        <v>2659</v>
      </c>
      <c r="F3445" s="24" t="s">
        <v>2660</v>
      </c>
      <c r="G3445" s="23" t="s">
        <v>32</v>
      </c>
      <c r="H3445" s="22"/>
      <c r="I3445" s="22"/>
      <c r="J3445" s="22" t="s">
        <v>328</v>
      </c>
      <c r="K3445" s="24"/>
      <c r="L3445" s="24"/>
      <c r="M3445" s="25" t="s">
        <v>2661</v>
      </c>
      <c r="N3445" s="22"/>
      <c r="O3445" s="22" t="s">
        <v>2662</v>
      </c>
      <c r="P3445" s="22" t="str">
        <f>HYPERLINK("https://ceds.ed.gov/cedselementdetails.aspx?termid=22279")</f>
        <v>https://ceds.ed.gov/cedselementdetails.aspx?termid=22279</v>
      </c>
      <c r="Q3445" s="22">
        <v>62631</v>
      </c>
    </row>
    <row r="3446" spans="1:17" ht="129.6" x14ac:dyDescent="0.3">
      <c r="A3446" s="22" t="s">
        <v>7870</v>
      </c>
      <c r="B3446" s="22" t="s">
        <v>7830</v>
      </c>
      <c r="C3446" s="22"/>
      <c r="D3446" s="22" t="s">
        <v>7710</v>
      </c>
      <c r="E3446" s="22" t="s">
        <v>2673</v>
      </c>
      <c r="F3446" s="24" t="s">
        <v>2674</v>
      </c>
      <c r="G3446" s="26" t="s">
        <v>8758</v>
      </c>
      <c r="H3446" s="24" t="s">
        <v>64</v>
      </c>
      <c r="I3446" s="22"/>
      <c r="J3446" s="22"/>
      <c r="K3446" s="24"/>
      <c r="L3446" s="24"/>
      <c r="M3446" s="25" t="s">
        <v>2676</v>
      </c>
      <c r="N3446" s="22"/>
      <c r="O3446" s="22" t="s">
        <v>2677</v>
      </c>
      <c r="P3446" s="22" t="str">
        <f>HYPERLINK("https://ceds.ed.gov/cedselementdetails.aspx?termid=21065")</f>
        <v>https://ceds.ed.gov/cedselementdetails.aspx?termid=21065</v>
      </c>
      <c r="Q3446" s="22">
        <v>62622</v>
      </c>
    </row>
    <row r="3447" spans="1:17" ht="374.4" x14ac:dyDescent="0.3">
      <c r="A3447" s="22" t="s">
        <v>7870</v>
      </c>
      <c r="B3447" s="22" t="s">
        <v>7830</v>
      </c>
      <c r="C3447" s="22"/>
      <c r="D3447" s="22" t="s">
        <v>7710</v>
      </c>
      <c r="E3447" s="22" t="s">
        <v>2633</v>
      </c>
      <c r="F3447" s="24" t="s">
        <v>2634</v>
      </c>
      <c r="G3447" s="26" t="s">
        <v>8754</v>
      </c>
      <c r="H3447" s="22"/>
      <c r="I3447" s="22"/>
      <c r="J3447" s="22"/>
      <c r="K3447" s="24"/>
      <c r="L3447" s="24"/>
      <c r="M3447" s="25" t="s">
        <v>2635</v>
      </c>
      <c r="N3447" s="22"/>
      <c r="O3447" s="22" t="s">
        <v>2636</v>
      </c>
      <c r="P3447" s="22" t="str">
        <f>HYPERLINK("https://ceds.ed.gov/cedselementdetails.aspx?termid=22274")</f>
        <v>https://ceds.ed.gov/cedselementdetails.aspx?termid=22274</v>
      </c>
      <c r="Q3447" s="22">
        <v>62628</v>
      </c>
    </row>
    <row r="3448" spans="1:17" ht="28.8" x14ac:dyDescent="0.3">
      <c r="A3448" s="22" t="s">
        <v>7870</v>
      </c>
      <c r="B3448" s="22" t="s">
        <v>7830</v>
      </c>
      <c r="C3448" s="22"/>
      <c r="D3448" s="22" t="s">
        <v>7710</v>
      </c>
      <c r="E3448" s="22" t="s">
        <v>2637</v>
      </c>
      <c r="F3448" s="24" t="s">
        <v>2638</v>
      </c>
      <c r="G3448" s="23" t="s">
        <v>32</v>
      </c>
      <c r="H3448" s="22"/>
      <c r="I3448" s="22"/>
      <c r="J3448" s="22" t="s">
        <v>157</v>
      </c>
      <c r="K3448" s="24"/>
      <c r="L3448" s="24"/>
      <c r="M3448" s="25" t="s">
        <v>2639</v>
      </c>
      <c r="N3448" s="22"/>
      <c r="O3448" s="22" t="s">
        <v>2640</v>
      </c>
      <c r="P3448" s="22" t="str">
        <f>HYPERLINK("https://ceds.ed.gov/cedselementdetails.aspx?termid=22275")</f>
        <v>https://ceds.ed.gov/cedselementdetails.aspx?termid=22275</v>
      </c>
      <c r="Q3448" s="22">
        <v>62629</v>
      </c>
    </row>
    <row r="3449" spans="1:17" ht="144" x14ac:dyDescent="0.3">
      <c r="A3449" s="22" t="s">
        <v>7870</v>
      </c>
      <c r="B3449" s="22" t="s">
        <v>7830</v>
      </c>
      <c r="C3449" s="22"/>
      <c r="D3449" s="22" t="s">
        <v>7710</v>
      </c>
      <c r="E3449" s="22" t="s">
        <v>2641</v>
      </c>
      <c r="F3449" s="24" t="s">
        <v>2642</v>
      </c>
      <c r="G3449" s="26" t="s">
        <v>8755</v>
      </c>
      <c r="H3449" s="22"/>
      <c r="I3449" s="22"/>
      <c r="J3449" s="22"/>
      <c r="K3449" s="24"/>
      <c r="L3449" s="24"/>
      <c r="M3449" s="25" t="s">
        <v>2643</v>
      </c>
      <c r="N3449" s="22"/>
      <c r="O3449" s="22" t="s">
        <v>2644</v>
      </c>
      <c r="P3449" s="22" t="str">
        <f>HYPERLINK("https://ceds.ed.gov/cedselementdetails.aspx?termid=22276")</f>
        <v>https://ceds.ed.gov/cedselementdetails.aspx?termid=22276</v>
      </c>
      <c r="Q3449" s="22">
        <v>62630</v>
      </c>
    </row>
    <row r="3450" spans="1:17" ht="172.8" x14ac:dyDescent="0.3">
      <c r="A3450" s="22" t="s">
        <v>7870</v>
      </c>
      <c r="B3450" s="22" t="s">
        <v>7830</v>
      </c>
      <c r="C3450" s="22"/>
      <c r="D3450" s="22" t="s">
        <v>7710</v>
      </c>
      <c r="E3450" s="22" t="s">
        <v>5724</v>
      </c>
      <c r="F3450" s="24" t="s">
        <v>5725</v>
      </c>
      <c r="G3450" s="23" t="s">
        <v>32</v>
      </c>
      <c r="H3450" s="22"/>
      <c r="I3450" s="22"/>
      <c r="J3450" s="22" t="s">
        <v>132</v>
      </c>
      <c r="K3450" s="24"/>
      <c r="L3450" s="24" t="s">
        <v>7945</v>
      </c>
      <c r="M3450" s="25" t="s">
        <v>5726</v>
      </c>
      <c r="N3450" s="22"/>
      <c r="O3450" s="22" t="s">
        <v>5727</v>
      </c>
      <c r="P3450" s="22" t="str">
        <f>HYPERLINK("https://ceds.ed.gov/cedselementdetails.aspx?termid=22389")</f>
        <v>https://ceds.ed.gov/cedselementdetails.aspx?termid=22389</v>
      </c>
      <c r="Q3450" s="22">
        <v>62634</v>
      </c>
    </row>
    <row r="3451" spans="1:17" ht="43.2" x14ac:dyDescent="0.3">
      <c r="A3451" s="22" t="s">
        <v>7870</v>
      </c>
      <c r="B3451" s="22" t="s">
        <v>7830</v>
      </c>
      <c r="C3451" s="22"/>
      <c r="D3451" s="22" t="s">
        <v>7710</v>
      </c>
      <c r="E3451" s="22" t="s">
        <v>5765</v>
      </c>
      <c r="F3451" s="24" t="s">
        <v>5766</v>
      </c>
      <c r="G3451" s="23" t="s">
        <v>32</v>
      </c>
      <c r="H3451" s="22"/>
      <c r="I3451" s="22"/>
      <c r="J3451" s="22" t="s">
        <v>85</v>
      </c>
      <c r="K3451" s="24"/>
      <c r="L3451" s="24"/>
      <c r="M3451" s="25" t="s">
        <v>5767</v>
      </c>
      <c r="N3451" s="22"/>
      <c r="O3451" s="22" t="s">
        <v>5768</v>
      </c>
      <c r="P3451" s="22" t="str">
        <f>HYPERLINK("https://ceds.ed.gov/cedselementdetails.aspx?termid=22391")</f>
        <v>https://ceds.ed.gov/cedselementdetails.aspx?termid=22391</v>
      </c>
      <c r="Q3451" s="22">
        <v>62635</v>
      </c>
    </row>
    <row r="3452" spans="1:17" ht="28.8" x14ac:dyDescent="0.3">
      <c r="A3452" s="22" t="s">
        <v>7870</v>
      </c>
      <c r="B3452" s="22" t="s">
        <v>7830</v>
      </c>
      <c r="C3452" s="22"/>
      <c r="D3452" s="22" t="s">
        <v>7741</v>
      </c>
      <c r="E3452" s="22" t="s">
        <v>7947</v>
      </c>
      <c r="F3452" s="24" t="s">
        <v>7948</v>
      </c>
      <c r="G3452" s="23" t="s">
        <v>32</v>
      </c>
      <c r="H3452" s="22"/>
      <c r="I3452" s="22" t="s">
        <v>167</v>
      </c>
      <c r="J3452" s="22" t="s">
        <v>148</v>
      </c>
      <c r="K3452" s="24" t="s">
        <v>7949</v>
      </c>
      <c r="L3452" s="24"/>
      <c r="M3452" s="25" t="s">
        <v>8351</v>
      </c>
      <c r="N3452" s="22"/>
      <c r="O3452" s="22" t="s">
        <v>7950</v>
      </c>
      <c r="P3452" s="22" t="str">
        <f>HYPERLINK("https://ceds.ed.gov/cedselementdetails.aspx?termid=22972")</f>
        <v>https://ceds.ed.gov/cedselementdetails.aspx?termid=22972</v>
      </c>
      <c r="Q3452" s="22">
        <v>63692</v>
      </c>
    </row>
    <row r="3453" spans="1:17" ht="43.2" x14ac:dyDescent="0.3">
      <c r="A3453" s="22" t="s">
        <v>7870</v>
      </c>
      <c r="B3453" s="22" t="s">
        <v>7830</v>
      </c>
      <c r="C3453" s="22"/>
      <c r="D3453" s="22" t="s">
        <v>7741</v>
      </c>
      <c r="E3453" s="22" t="s">
        <v>7951</v>
      </c>
      <c r="F3453" s="24" t="s">
        <v>7952</v>
      </c>
      <c r="G3453" s="26" t="s">
        <v>8376</v>
      </c>
      <c r="H3453" s="22"/>
      <c r="I3453" s="22" t="s">
        <v>167</v>
      </c>
      <c r="J3453" s="22" t="s">
        <v>2</v>
      </c>
      <c r="K3453" s="24" t="s">
        <v>7949</v>
      </c>
      <c r="L3453" s="24"/>
      <c r="M3453" s="25" t="s">
        <v>8352</v>
      </c>
      <c r="N3453" s="22"/>
      <c r="O3453" s="22" t="s">
        <v>7953</v>
      </c>
      <c r="P3453" s="22" t="str">
        <f>HYPERLINK("https://ceds.ed.gov/cedselementdetails.aspx?termid=22973")</f>
        <v>https://ceds.ed.gov/cedselementdetails.aspx?termid=22973</v>
      </c>
      <c r="Q3453" s="22">
        <v>63693</v>
      </c>
    </row>
    <row r="3454" spans="1:17" ht="172.8" x14ac:dyDescent="0.3">
      <c r="A3454" s="22" t="s">
        <v>7870</v>
      </c>
      <c r="B3454" s="22" t="s">
        <v>7830</v>
      </c>
      <c r="C3454" s="22" t="s">
        <v>7831</v>
      </c>
      <c r="D3454" s="22" t="s">
        <v>7710</v>
      </c>
      <c r="E3454" s="22" t="s">
        <v>2628</v>
      </c>
      <c r="F3454" s="24" t="s">
        <v>2629</v>
      </c>
      <c r="G3454" s="23" t="s">
        <v>32</v>
      </c>
      <c r="H3454" s="24" t="s">
        <v>2632</v>
      </c>
      <c r="I3454" s="22"/>
      <c r="J3454" s="22" t="s">
        <v>132</v>
      </c>
      <c r="K3454" s="24"/>
      <c r="L3454" s="24" t="s">
        <v>7945</v>
      </c>
      <c r="M3454" s="25" t="s">
        <v>2630</v>
      </c>
      <c r="N3454" s="22"/>
      <c r="O3454" s="22" t="s">
        <v>2631</v>
      </c>
      <c r="P3454" s="22" t="str">
        <f>HYPERLINK("https://ceds.ed.gov/cedselementdetails.aspx?termid=21055")</f>
        <v>https://ceds.ed.gov/cedselementdetails.aspx?termid=21055</v>
      </c>
      <c r="Q3454" s="22">
        <v>62595</v>
      </c>
    </row>
    <row r="3455" spans="1:17" ht="144" x14ac:dyDescent="0.3">
      <c r="A3455" s="22" t="s">
        <v>7870</v>
      </c>
      <c r="B3455" s="22" t="s">
        <v>7830</v>
      </c>
      <c r="C3455" s="22" t="s">
        <v>7831</v>
      </c>
      <c r="D3455" s="22" t="s">
        <v>7710</v>
      </c>
      <c r="E3455" s="22" t="s">
        <v>2579</v>
      </c>
      <c r="F3455" s="24" t="s">
        <v>2580</v>
      </c>
      <c r="G3455" s="26" t="s">
        <v>8420</v>
      </c>
      <c r="H3455" s="24" t="s">
        <v>1521</v>
      </c>
      <c r="I3455" s="22" t="s">
        <v>172</v>
      </c>
      <c r="J3455" s="22"/>
      <c r="K3455" s="24" t="s">
        <v>7946</v>
      </c>
      <c r="L3455" s="24"/>
      <c r="M3455" s="25" t="s">
        <v>2582</v>
      </c>
      <c r="N3455" s="22"/>
      <c r="O3455" s="22" t="s">
        <v>2583</v>
      </c>
      <c r="P3455" s="22" t="str">
        <f>HYPERLINK("https://ceds.ed.gov/cedselementdetails.aspx?termid=21056")</f>
        <v>https://ceds.ed.gov/cedselementdetails.aspx?termid=21056</v>
      </c>
      <c r="Q3455" s="22">
        <v>62596</v>
      </c>
    </row>
    <row r="3456" spans="1:17" ht="201.6" x14ac:dyDescent="0.3">
      <c r="A3456" s="22" t="s">
        <v>7870</v>
      </c>
      <c r="B3456" s="22" t="s">
        <v>7830</v>
      </c>
      <c r="C3456" s="22" t="s">
        <v>7831</v>
      </c>
      <c r="D3456" s="22" t="s">
        <v>7710</v>
      </c>
      <c r="E3456" s="22" t="s">
        <v>2746</v>
      </c>
      <c r="F3456" s="24" t="s">
        <v>2747</v>
      </c>
      <c r="G3456" s="23" t="s">
        <v>32</v>
      </c>
      <c r="H3456" s="24" t="s">
        <v>1521</v>
      </c>
      <c r="I3456" s="22"/>
      <c r="J3456" s="22" t="s">
        <v>157</v>
      </c>
      <c r="K3456" s="24"/>
      <c r="L3456" s="24"/>
      <c r="M3456" s="25" t="s">
        <v>2748</v>
      </c>
      <c r="N3456" s="22"/>
      <c r="O3456" s="22" t="s">
        <v>2749</v>
      </c>
      <c r="P3456" s="22" t="str">
        <f>HYPERLINK("https://ceds.ed.gov/cedselementdetails.aspx?termid=21067")</f>
        <v>https://ceds.ed.gov/cedselementdetails.aspx?termid=21067</v>
      </c>
      <c r="Q3456" s="22">
        <v>62598</v>
      </c>
    </row>
    <row r="3457" spans="1:17" ht="28.8" x14ac:dyDescent="0.3">
      <c r="A3457" s="22" t="s">
        <v>7870</v>
      </c>
      <c r="B3457" s="22" t="s">
        <v>7830</v>
      </c>
      <c r="C3457" s="22" t="s">
        <v>7831</v>
      </c>
      <c r="D3457" s="22" t="s">
        <v>7710</v>
      </c>
      <c r="E3457" s="22" t="s">
        <v>2595</v>
      </c>
      <c r="F3457" s="24" t="s">
        <v>2596</v>
      </c>
      <c r="G3457" s="23" t="s">
        <v>32</v>
      </c>
      <c r="H3457" s="22"/>
      <c r="I3457" s="22"/>
      <c r="J3457" s="22" t="s">
        <v>157</v>
      </c>
      <c r="K3457" s="24"/>
      <c r="L3457" s="24"/>
      <c r="M3457" s="25" t="s">
        <v>2598</v>
      </c>
      <c r="N3457" s="22"/>
      <c r="O3457" s="22" t="s">
        <v>2599</v>
      </c>
      <c r="P3457" s="22" t="str">
        <f>HYPERLINK("https://ceds.ed.gov/cedselementdetails.aspx?termid=22525")</f>
        <v>https://ceds.ed.gov/cedselementdetails.aspx?termid=22525</v>
      </c>
      <c r="Q3457" s="22">
        <v>62612</v>
      </c>
    </row>
    <row r="3458" spans="1:17" ht="28.8" x14ac:dyDescent="0.3">
      <c r="A3458" s="22" t="s">
        <v>7870</v>
      </c>
      <c r="B3458" s="22" t="s">
        <v>7830</v>
      </c>
      <c r="C3458" s="22" t="s">
        <v>7831</v>
      </c>
      <c r="D3458" s="22" t="s">
        <v>7710</v>
      </c>
      <c r="E3458" s="22" t="s">
        <v>2571</v>
      </c>
      <c r="F3458" s="24" t="s">
        <v>2572</v>
      </c>
      <c r="G3458" s="23" t="s">
        <v>32</v>
      </c>
      <c r="H3458" s="24" t="s">
        <v>1965</v>
      </c>
      <c r="I3458" s="22" t="s">
        <v>172</v>
      </c>
      <c r="J3458" s="22" t="s">
        <v>118</v>
      </c>
      <c r="K3458" s="24" t="s">
        <v>7946</v>
      </c>
      <c r="L3458" s="24"/>
      <c r="M3458" s="25" t="s">
        <v>2573</v>
      </c>
      <c r="N3458" s="22"/>
      <c r="O3458" s="22" t="s">
        <v>2574</v>
      </c>
      <c r="P3458" s="22" t="str">
        <f>HYPERLINK("https://ceds.ed.gov/cedselementdetails.aspx?termid=21054")</f>
        <v>https://ceds.ed.gov/cedselementdetails.aspx?termid=21054</v>
      </c>
      <c r="Q3458" s="22">
        <v>62601</v>
      </c>
    </row>
    <row r="3459" spans="1:17" ht="57.6" x14ac:dyDescent="0.3">
      <c r="A3459" s="22" t="s">
        <v>7870</v>
      </c>
      <c r="B3459" s="22" t="s">
        <v>7830</v>
      </c>
      <c r="C3459" s="22" t="s">
        <v>7831</v>
      </c>
      <c r="D3459" s="22" t="s">
        <v>7710</v>
      </c>
      <c r="E3459" s="22" t="s">
        <v>2609</v>
      </c>
      <c r="F3459" s="24" t="s">
        <v>2610</v>
      </c>
      <c r="G3459" s="23" t="s">
        <v>32</v>
      </c>
      <c r="H3459" s="24" t="s">
        <v>1965</v>
      </c>
      <c r="I3459" s="22" t="s">
        <v>172</v>
      </c>
      <c r="J3459" s="22" t="s">
        <v>118</v>
      </c>
      <c r="K3459" s="24" t="s">
        <v>7946</v>
      </c>
      <c r="L3459" s="24" t="s">
        <v>143</v>
      </c>
      <c r="M3459" s="25" t="s">
        <v>2611</v>
      </c>
      <c r="N3459" s="22"/>
      <c r="O3459" s="22" t="s">
        <v>2612</v>
      </c>
      <c r="P3459" s="22" t="str">
        <f>HYPERLINK("https://ceds.ed.gov/cedselementdetails.aspx?termid=21059")</f>
        <v>https://ceds.ed.gov/cedselementdetails.aspx?termid=21059</v>
      </c>
      <c r="Q3459" s="22">
        <v>62604</v>
      </c>
    </row>
    <row r="3460" spans="1:17" ht="144" x14ac:dyDescent="0.3">
      <c r="A3460" s="22" t="s">
        <v>7870</v>
      </c>
      <c r="B3460" s="22" t="s">
        <v>7830</v>
      </c>
      <c r="C3460" s="22" t="s">
        <v>7831</v>
      </c>
      <c r="D3460" s="22" t="s">
        <v>7710</v>
      </c>
      <c r="E3460" s="22" t="s">
        <v>2592</v>
      </c>
      <c r="F3460" s="24" t="s">
        <v>8058</v>
      </c>
      <c r="G3460" s="26" t="s">
        <v>8750</v>
      </c>
      <c r="H3460" s="22" t="s">
        <v>58</v>
      </c>
      <c r="I3460" s="22"/>
      <c r="J3460" s="22"/>
      <c r="K3460" s="24"/>
      <c r="L3460" s="24"/>
      <c r="M3460" s="25" t="s">
        <v>2593</v>
      </c>
      <c r="N3460" s="22"/>
      <c r="O3460" s="22" t="s">
        <v>2594</v>
      </c>
      <c r="P3460" s="22" t="str">
        <f>HYPERLINK("https://ceds.ed.gov/cedselementdetails.aspx?termid=21057")</f>
        <v>https://ceds.ed.gov/cedselementdetails.aspx?termid=21057</v>
      </c>
      <c r="Q3460" s="22">
        <v>62602</v>
      </c>
    </row>
    <row r="3461" spans="1:17" ht="100.8" x14ac:dyDescent="0.3">
      <c r="A3461" s="22" t="s">
        <v>7870</v>
      </c>
      <c r="B3461" s="22" t="s">
        <v>7830</v>
      </c>
      <c r="C3461" s="22" t="s">
        <v>7831</v>
      </c>
      <c r="D3461" s="22" t="s">
        <v>7710</v>
      </c>
      <c r="E3461" s="22" t="s">
        <v>2975</v>
      </c>
      <c r="F3461" s="24" t="s">
        <v>2976</v>
      </c>
      <c r="G3461" s="23" t="s">
        <v>32</v>
      </c>
      <c r="H3461" s="22" t="s">
        <v>58</v>
      </c>
      <c r="I3461" s="22"/>
      <c r="J3461" s="22" t="s">
        <v>1518</v>
      </c>
      <c r="K3461" s="24"/>
      <c r="L3461" s="24" t="s">
        <v>8072</v>
      </c>
      <c r="M3461" s="25" t="s">
        <v>2978</v>
      </c>
      <c r="N3461" s="22"/>
      <c r="O3461" s="22" t="s">
        <v>2979</v>
      </c>
      <c r="P3461" s="22" t="str">
        <f>HYPERLINK("https://ceds.ed.gov/cedselementdetails.aspx?termid=21058")</f>
        <v>https://ceds.ed.gov/cedselementdetails.aspx?termid=21058</v>
      </c>
      <c r="Q3461" s="22">
        <v>62603</v>
      </c>
    </row>
    <row r="3462" spans="1:17" ht="302.39999999999998" x14ac:dyDescent="0.3">
      <c r="A3462" s="22" t="s">
        <v>7870</v>
      </c>
      <c r="B3462" s="22" t="s">
        <v>7830</v>
      </c>
      <c r="C3462" s="22" t="s">
        <v>7831</v>
      </c>
      <c r="D3462" s="22" t="s">
        <v>7710</v>
      </c>
      <c r="E3462" s="22" t="s">
        <v>2970</v>
      </c>
      <c r="F3462" s="24" t="s">
        <v>2971</v>
      </c>
      <c r="G3462" s="26" t="s">
        <v>8777</v>
      </c>
      <c r="H3462" s="24" t="s">
        <v>64</v>
      </c>
      <c r="I3462" s="22"/>
      <c r="J3462" s="22"/>
      <c r="K3462" s="24"/>
      <c r="L3462" s="24"/>
      <c r="M3462" s="25" t="s">
        <v>2973</v>
      </c>
      <c r="N3462" s="22"/>
      <c r="O3462" s="22" t="s">
        <v>2974</v>
      </c>
      <c r="P3462" s="22" t="str">
        <f>HYPERLINK("https://ceds.ed.gov/cedselementdetails.aspx?termid=21072")</f>
        <v>https://ceds.ed.gov/cedselementdetails.aspx?termid=21072</v>
      </c>
      <c r="Q3462" s="22">
        <v>62611</v>
      </c>
    </row>
    <row r="3463" spans="1:17" ht="129.6" x14ac:dyDescent="0.3">
      <c r="A3463" s="22" t="s">
        <v>7870</v>
      </c>
      <c r="B3463" s="22" t="s">
        <v>7830</v>
      </c>
      <c r="C3463" s="22" t="s">
        <v>7831</v>
      </c>
      <c r="D3463" s="22" t="s">
        <v>7710</v>
      </c>
      <c r="E3463" s="22" t="s">
        <v>1515</v>
      </c>
      <c r="F3463" s="24" t="s">
        <v>1516</v>
      </c>
      <c r="G3463" s="23" t="s">
        <v>32</v>
      </c>
      <c r="H3463" s="24" t="s">
        <v>1521</v>
      </c>
      <c r="I3463" s="22"/>
      <c r="J3463" s="22" t="s">
        <v>1518</v>
      </c>
      <c r="K3463" s="24"/>
      <c r="L3463" s="24"/>
      <c r="M3463" s="25" t="s">
        <v>1519</v>
      </c>
      <c r="N3463" s="22"/>
      <c r="O3463" s="22" t="s">
        <v>1520</v>
      </c>
      <c r="P3463" s="22" t="str">
        <f>HYPERLINK("https://ceds.ed.gov/cedselementdetails.aspx?termid=21030")</f>
        <v>https://ceds.ed.gov/cedselementdetails.aspx?termid=21030</v>
      </c>
      <c r="Q3463" s="22">
        <v>62614</v>
      </c>
    </row>
    <row r="3464" spans="1:17" ht="302.39999999999998" x14ac:dyDescent="0.3">
      <c r="A3464" s="22" t="s">
        <v>7870</v>
      </c>
      <c r="B3464" s="22" t="s">
        <v>7830</v>
      </c>
      <c r="C3464" s="22" t="s">
        <v>7831</v>
      </c>
      <c r="D3464" s="22" t="s">
        <v>7710</v>
      </c>
      <c r="E3464" s="22" t="s">
        <v>2650</v>
      </c>
      <c r="F3464" s="24" t="s">
        <v>2651</v>
      </c>
      <c r="G3464" s="26" t="s">
        <v>8757</v>
      </c>
      <c r="H3464" s="24" t="s">
        <v>2632</v>
      </c>
      <c r="I3464" s="22"/>
      <c r="J3464" s="22"/>
      <c r="K3464" s="24"/>
      <c r="L3464" s="24"/>
      <c r="M3464" s="25" t="s">
        <v>2652</v>
      </c>
      <c r="N3464" s="22"/>
      <c r="O3464" s="22" t="s">
        <v>2653</v>
      </c>
      <c r="P3464" s="22" t="str">
        <f>HYPERLINK("https://ceds.ed.gov/cedselementdetails.aspx?termid=21061")</f>
        <v>https://ceds.ed.gov/cedselementdetails.aspx?termid=21061</v>
      </c>
      <c r="Q3464" s="22">
        <v>62597</v>
      </c>
    </row>
    <row r="3465" spans="1:17" ht="100.8" x14ac:dyDescent="0.3">
      <c r="A3465" s="22" t="s">
        <v>7870</v>
      </c>
      <c r="B3465" s="22" t="s">
        <v>7830</v>
      </c>
      <c r="C3465" s="22" t="s">
        <v>7831</v>
      </c>
      <c r="D3465" s="22" t="s">
        <v>7710</v>
      </c>
      <c r="E3465" s="22" t="s">
        <v>4297</v>
      </c>
      <c r="F3465" s="24" t="s">
        <v>4298</v>
      </c>
      <c r="G3465" s="26" t="s">
        <v>22</v>
      </c>
      <c r="H3465" s="24" t="s">
        <v>1521</v>
      </c>
      <c r="I3465" s="22"/>
      <c r="J3465" s="22"/>
      <c r="K3465" s="24"/>
      <c r="L3465" s="24"/>
      <c r="M3465" s="25" t="s">
        <v>4300</v>
      </c>
      <c r="N3465" s="22"/>
      <c r="O3465" s="22" t="s">
        <v>4301</v>
      </c>
      <c r="P3465" s="22" t="str">
        <f>HYPERLINK("https://ceds.ed.gov/cedselementdetails.aspx?termid=21137")</f>
        <v>https://ceds.ed.gov/cedselementdetails.aspx?termid=21137</v>
      </c>
      <c r="Q3465" s="22">
        <v>62615</v>
      </c>
    </row>
    <row r="3466" spans="1:17" ht="28.8" x14ac:dyDescent="0.3">
      <c r="A3466" s="22" t="s">
        <v>7870</v>
      </c>
      <c r="B3466" s="22" t="s">
        <v>7830</v>
      </c>
      <c r="C3466" s="22" t="s">
        <v>7831</v>
      </c>
      <c r="D3466" s="22" t="s">
        <v>7710</v>
      </c>
      <c r="E3466" s="22" t="s">
        <v>2678</v>
      </c>
      <c r="F3466" s="24" t="s">
        <v>2679</v>
      </c>
      <c r="G3466" s="23" t="s">
        <v>32</v>
      </c>
      <c r="H3466" s="22"/>
      <c r="I3466" s="22"/>
      <c r="J3466" s="22" t="s">
        <v>1699</v>
      </c>
      <c r="K3466" s="24"/>
      <c r="L3466" s="24"/>
      <c r="M3466" s="25" t="s">
        <v>2680</v>
      </c>
      <c r="N3466" s="22"/>
      <c r="O3466" s="22" t="s">
        <v>2681</v>
      </c>
      <c r="P3466" s="22" t="str">
        <f>HYPERLINK("https://ceds.ed.gov/cedselementdetails.aspx?termid=22648")</f>
        <v>https://ceds.ed.gov/cedselementdetails.aspx?termid=22648</v>
      </c>
      <c r="Q3466" s="22">
        <v>62878</v>
      </c>
    </row>
    <row r="3467" spans="1:17" ht="172.8" x14ac:dyDescent="0.3">
      <c r="A3467" s="22" t="s">
        <v>7870</v>
      </c>
      <c r="B3467" s="22" t="s">
        <v>7830</v>
      </c>
      <c r="C3467" s="22" t="s">
        <v>7831</v>
      </c>
      <c r="D3467" s="22" t="s">
        <v>7710</v>
      </c>
      <c r="E3467" s="22" t="s">
        <v>321</v>
      </c>
      <c r="F3467" s="24" t="s">
        <v>322</v>
      </c>
      <c r="G3467" s="23" t="s">
        <v>32</v>
      </c>
      <c r="H3467" s="22"/>
      <c r="I3467" s="22"/>
      <c r="J3467" s="22" t="s">
        <v>132</v>
      </c>
      <c r="K3467" s="24"/>
      <c r="L3467" s="24" t="s">
        <v>7945</v>
      </c>
      <c r="M3467" s="25" t="s">
        <v>324</v>
      </c>
      <c r="N3467" s="22"/>
      <c r="O3467" s="22" t="s">
        <v>325</v>
      </c>
      <c r="P3467" s="22" t="str">
        <f>HYPERLINK("https://ceds.ed.gov/cedselementdetails.aspx?termid=22246")</f>
        <v>https://ceds.ed.gov/cedselementdetails.aspx?termid=22246</v>
      </c>
      <c r="Q3467" s="22">
        <v>62607</v>
      </c>
    </row>
    <row r="3468" spans="1:17" ht="57.6" x14ac:dyDescent="0.3">
      <c r="A3468" s="22" t="s">
        <v>7870</v>
      </c>
      <c r="B3468" s="22" t="s">
        <v>7830</v>
      </c>
      <c r="C3468" s="22" t="s">
        <v>7831</v>
      </c>
      <c r="D3468" s="22" t="s">
        <v>7710</v>
      </c>
      <c r="E3468" s="22" t="s">
        <v>2742</v>
      </c>
      <c r="F3468" s="24" t="s">
        <v>8066</v>
      </c>
      <c r="G3468" s="23" t="s">
        <v>32</v>
      </c>
      <c r="H3468" s="22" t="s">
        <v>58</v>
      </c>
      <c r="I3468" s="22"/>
      <c r="J3468" s="22" t="s">
        <v>2743</v>
      </c>
      <c r="K3468" s="24"/>
      <c r="L3468" s="24"/>
      <c r="M3468" s="25" t="s">
        <v>2744</v>
      </c>
      <c r="N3468" s="22"/>
      <c r="O3468" s="22" t="s">
        <v>2745</v>
      </c>
      <c r="P3468" s="22" t="str">
        <f>HYPERLINK("https://ceds.ed.gov/cedselementdetails.aspx?termid=21066")</f>
        <v>https://ceds.ed.gov/cedselementdetails.aspx?termid=21066</v>
      </c>
      <c r="Q3468" s="22">
        <v>62605</v>
      </c>
    </row>
    <row r="3469" spans="1:17" ht="100.8" x14ac:dyDescent="0.3">
      <c r="A3469" s="22" t="s">
        <v>7870</v>
      </c>
      <c r="B3469" s="22" t="s">
        <v>7830</v>
      </c>
      <c r="C3469" s="22" t="s">
        <v>7831</v>
      </c>
      <c r="D3469" s="22" t="s">
        <v>7710</v>
      </c>
      <c r="E3469" s="22" t="s">
        <v>6611</v>
      </c>
      <c r="F3469" s="24" t="s">
        <v>6612</v>
      </c>
      <c r="G3469" s="23" t="s">
        <v>32</v>
      </c>
      <c r="H3469" s="24" t="s">
        <v>1521</v>
      </c>
      <c r="I3469" s="22" t="s">
        <v>172</v>
      </c>
      <c r="J3469" s="22" t="s">
        <v>2743</v>
      </c>
      <c r="K3469" s="24" t="s">
        <v>7946</v>
      </c>
      <c r="L3469" s="24" t="s">
        <v>6613</v>
      </c>
      <c r="M3469" s="25" t="s">
        <v>6614</v>
      </c>
      <c r="N3469" s="22" t="s">
        <v>6615</v>
      </c>
      <c r="O3469" s="22" t="s">
        <v>6616</v>
      </c>
      <c r="P3469" s="22" t="str">
        <f>HYPERLINK("https://ceds.ed.gov/cedselementdetails.aspx?termid=21250")</f>
        <v>https://ceds.ed.gov/cedselementdetails.aspx?termid=21250</v>
      </c>
      <c r="Q3469" s="22">
        <v>62600</v>
      </c>
    </row>
    <row r="3470" spans="1:17" ht="43.2" x14ac:dyDescent="0.3">
      <c r="A3470" s="22" t="s">
        <v>7870</v>
      </c>
      <c r="B3470" s="22" t="s">
        <v>7830</v>
      </c>
      <c r="C3470" s="22" t="s">
        <v>7831</v>
      </c>
      <c r="D3470" s="22" t="s">
        <v>7710</v>
      </c>
      <c r="E3470" s="22" t="s">
        <v>6415</v>
      </c>
      <c r="F3470" s="24" t="s">
        <v>6416</v>
      </c>
      <c r="G3470" s="23" t="s">
        <v>32</v>
      </c>
      <c r="H3470" s="22"/>
      <c r="I3470" s="22"/>
      <c r="J3470" s="22" t="s">
        <v>157</v>
      </c>
      <c r="K3470" s="24"/>
      <c r="L3470" s="24"/>
      <c r="M3470" s="25" t="s">
        <v>6417</v>
      </c>
      <c r="N3470" s="22" t="s">
        <v>6418</v>
      </c>
      <c r="O3470" s="22" t="s">
        <v>6419</v>
      </c>
      <c r="P3470" s="22" t="str">
        <f>HYPERLINK("https://ceds.ed.gov/cedselementdetails.aspx?termid=21231")</f>
        <v>https://ceds.ed.gov/cedselementdetails.aspx?termid=21231</v>
      </c>
      <c r="Q3470" s="22">
        <v>62599</v>
      </c>
    </row>
    <row r="3471" spans="1:17" ht="409.6" x14ac:dyDescent="0.3">
      <c r="A3471" s="22" t="s">
        <v>7870</v>
      </c>
      <c r="B3471" s="22" t="s">
        <v>7830</v>
      </c>
      <c r="C3471" s="22" t="s">
        <v>7831</v>
      </c>
      <c r="D3471" s="22" t="s">
        <v>7710</v>
      </c>
      <c r="E3471" s="22" t="s">
        <v>2682</v>
      </c>
      <c r="F3471" s="24" t="s">
        <v>2683</v>
      </c>
      <c r="G3471" s="26" t="s">
        <v>8402</v>
      </c>
      <c r="H3471" s="24" t="s">
        <v>2687</v>
      </c>
      <c r="I3471" s="22" t="s">
        <v>172</v>
      </c>
      <c r="J3471" s="22"/>
      <c r="K3471" s="24" t="s">
        <v>7995</v>
      </c>
      <c r="L3471" s="24"/>
      <c r="M3471" s="25" t="s">
        <v>2685</v>
      </c>
      <c r="N3471" s="22"/>
      <c r="O3471" s="22" t="s">
        <v>2686</v>
      </c>
      <c r="P3471" s="22" t="str">
        <f>HYPERLINK("https://ceds.ed.gov/cedselementdetails.aspx?termid=21027")</f>
        <v>https://ceds.ed.gov/cedselementdetails.aspx?termid=21027</v>
      </c>
      <c r="Q3471" s="22">
        <v>62613</v>
      </c>
    </row>
    <row r="3472" spans="1:17" ht="72" x14ac:dyDescent="0.3">
      <c r="A3472" s="22" t="s">
        <v>7870</v>
      </c>
      <c r="B3472" s="22" t="s">
        <v>7830</v>
      </c>
      <c r="C3472" s="22" t="s">
        <v>7831</v>
      </c>
      <c r="D3472" s="22" t="s">
        <v>7710</v>
      </c>
      <c r="E3472" s="22" t="s">
        <v>2082</v>
      </c>
      <c r="F3472" s="24" t="s">
        <v>2083</v>
      </c>
      <c r="G3472" s="23" t="s">
        <v>7422</v>
      </c>
      <c r="H3472" s="24" t="s">
        <v>42</v>
      </c>
      <c r="I3472" s="22"/>
      <c r="J3472" s="22"/>
      <c r="K3472" s="24"/>
      <c r="L3472" s="24"/>
      <c r="M3472" s="25" t="s">
        <v>2085</v>
      </c>
      <c r="N3472" s="22" t="s">
        <v>2086</v>
      </c>
      <c r="O3472" s="22" t="s">
        <v>2087</v>
      </c>
      <c r="P3472" s="22" t="str">
        <f>HYPERLINK("https://ceds.ed.gov/cedselementdetails.aspx?termid=21043")</f>
        <v>https://ceds.ed.gov/cedselementdetails.aspx?termid=21043</v>
      </c>
      <c r="Q3472" s="22">
        <v>62609</v>
      </c>
    </row>
    <row r="3473" spans="1:17" ht="86.4" x14ac:dyDescent="0.3">
      <c r="A3473" s="22" t="s">
        <v>7870</v>
      </c>
      <c r="B3473" s="22" t="s">
        <v>7830</v>
      </c>
      <c r="C3473" s="22" t="s">
        <v>7831</v>
      </c>
      <c r="D3473" s="22" t="s">
        <v>7710</v>
      </c>
      <c r="E3473" s="22" t="s">
        <v>2094</v>
      </c>
      <c r="F3473" s="24" t="s">
        <v>2095</v>
      </c>
      <c r="G3473" s="26" t="s">
        <v>8728</v>
      </c>
      <c r="H3473" s="24" t="s">
        <v>198</v>
      </c>
      <c r="I3473" s="22"/>
      <c r="J3473" s="22"/>
      <c r="K3473" s="24"/>
      <c r="L3473" s="24"/>
      <c r="M3473" s="25" t="s">
        <v>2097</v>
      </c>
      <c r="N3473" s="22" t="s">
        <v>2098</v>
      </c>
      <c r="O3473" s="22" t="s">
        <v>2099</v>
      </c>
      <c r="P3473" s="22" t="str">
        <f>HYPERLINK("https://ceds.ed.gov/cedselementdetails.aspx?termid=21045")</f>
        <v>https://ceds.ed.gov/cedselementdetails.aspx?termid=21045</v>
      </c>
      <c r="Q3473" s="22">
        <v>62610</v>
      </c>
    </row>
    <row r="3474" spans="1:17" ht="28.8" x14ac:dyDescent="0.3">
      <c r="A3474" s="22" t="s">
        <v>7870</v>
      </c>
      <c r="B3474" s="22" t="s">
        <v>7830</v>
      </c>
      <c r="C3474" s="22" t="s">
        <v>7831</v>
      </c>
      <c r="D3474" s="22" t="s">
        <v>7710</v>
      </c>
      <c r="E3474" s="22" t="s">
        <v>5882</v>
      </c>
      <c r="F3474" s="24" t="s">
        <v>5883</v>
      </c>
      <c r="G3474" s="23" t="s">
        <v>32</v>
      </c>
      <c r="H3474" s="22" t="s">
        <v>58</v>
      </c>
      <c r="I3474" s="22"/>
      <c r="J3474" s="22" t="s">
        <v>157</v>
      </c>
      <c r="K3474" s="24"/>
      <c r="L3474" s="24"/>
      <c r="M3474" s="25" t="s">
        <v>5884</v>
      </c>
      <c r="N3474" s="22"/>
      <c r="O3474" s="22" t="s">
        <v>5885</v>
      </c>
      <c r="P3474" s="22" t="str">
        <f>HYPERLINK("https://ceds.ed.gov/cedselementdetails.aspx?termid=21068")</f>
        <v>https://ceds.ed.gov/cedselementdetails.aspx?termid=21068</v>
      </c>
      <c r="Q3474" s="22">
        <v>62606</v>
      </c>
    </row>
    <row r="3475" spans="1:17" ht="43.2" x14ac:dyDescent="0.3">
      <c r="A3475" s="22" t="s">
        <v>7870</v>
      </c>
      <c r="B3475" s="22" t="s">
        <v>7830</v>
      </c>
      <c r="C3475" s="22" t="s">
        <v>7831</v>
      </c>
      <c r="D3475" s="22" t="s">
        <v>7710</v>
      </c>
      <c r="E3475" s="22" t="s">
        <v>5553</v>
      </c>
      <c r="F3475" s="24" t="s">
        <v>5554</v>
      </c>
      <c r="G3475" s="23" t="s">
        <v>5555</v>
      </c>
      <c r="H3475" s="22"/>
      <c r="I3475" s="22"/>
      <c r="J3475" s="22"/>
      <c r="K3475" s="24"/>
      <c r="L3475" s="24"/>
      <c r="M3475" s="25" t="s">
        <v>5556</v>
      </c>
      <c r="N3475" s="22"/>
      <c r="O3475" s="22" t="s">
        <v>5557</v>
      </c>
      <c r="P3475" s="22" t="str">
        <f>HYPERLINK("https://ceds.ed.gov/cedselementdetails.aspx?termid=22383")</f>
        <v>https://ceds.ed.gov/cedselementdetails.aspx?termid=22383</v>
      </c>
      <c r="Q3475" s="22">
        <v>62608</v>
      </c>
    </row>
    <row r="3476" spans="1:17" ht="43.2" x14ac:dyDescent="0.3">
      <c r="A3476" s="22" t="s">
        <v>7870</v>
      </c>
      <c r="B3476" s="22" t="s">
        <v>7830</v>
      </c>
      <c r="C3476" s="22" t="s">
        <v>7831</v>
      </c>
      <c r="D3476" s="22" t="s">
        <v>7741</v>
      </c>
      <c r="E3476" s="22" t="s">
        <v>8059</v>
      </c>
      <c r="F3476" s="24" t="s">
        <v>8060</v>
      </c>
      <c r="G3476" s="26" t="s">
        <v>22</v>
      </c>
      <c r="H3476" s="22"/>
      <c r="I3476" s="22" t="s">
        <v>167</v>
      </c>
      <c r="J3476" s="22" t="s">
        <v>2</v>
      </c>
      <c r="K3476" s="24" t="s">
        <v>7949</v>
      </c>
      <c r="L3476" s="24" t="s">
        <v>8061</v>
      </c>
      <c r="M3476" s="25" t="s">
        <v>8354</v>
      </c>
      <c r="N3476" s="22"/>
      <c r="O3476" s="22" t="s">
        <v>8062</v>
      </c>
      <c r="P3476" s="22" t="str">
        <f>HYPERLINK("https://ceds.ed.gov/cedselementdetails.aspx?termid=22975")</f>
        <v>https://ceds.ed.gov/cedselementdetails.aspx?termid=22975</v>
      </c>
      <c r="Q3476" s="22">
        <v>63694</v>
      </c>
    </row>
    <row r="3477" spans="1:17" ht="172.8" x14ac:dyDescent="0.3">
      <c r="A3477" s="22" t="s">
        <v>7870</v>
      </c>
      <c r="B3477" s="22" t="s">
        <v>7830</v>
      </c>
      <c r="C3477" s="22" t="s">
        <v>7755</v>
      </c>
      <c r="D3477" s="22" t="s">
        <v>7710</v>
      </c>
      <c r="E3477" s="22" t="s">
        <v>7040</v>
      </c>
      <c r="F3477" s="24" t="s">
        <v>7041</v>
      </c>
      <c r="G3477" s="23" t="s">
        <v>32</v>
      </c>
      <c r="H3477" s="24" t="s">
        <v>7039</v>
      </c>
      <c r="I3477" s="22" t="s">
        <v>172</v>
      </c>
      <c r="J3477" s="22" t="s">
        <v>132</v>
      </c>
      <c r="K3477" s="24" t="s">
        <v>7946</v>
      </c>
      <c r="L3477" s="24" t="s">
        <v>7945</v>
      </c>
      <c r="M3477" s="25" t="s">
        <v>7042</v>
      </c>
      <c r="N3477" s="22"/>
      <c r="O3477" s="22" t="s">
        <v>7043</v>
      </c>
      <c r="P3477" s="22" t="str">
        <f>HYPERLINK("https://ceds.ed.gov/cedselementdetails.aspx?termid=21157")</f>
        <v>https://ceds.ed.gov/cedselementdetails.aspx?termid=21157</v>
      </c>
      <c r="Q3477" s="22">
        <v>62581</v>
      </c>
    </row>
    <row r="3478" spans="1:17" ht="144" x14ac:dyDescent="0.3">
      <c r="A3478" s="22" t="s">
        <v>7870</v>
      </c>
      <c r="B3478" s="22" t="s">
        <v>7830</v>
      </c>
      <c r="C3478" s="22" t="s">
        <v>7755</v>
      </c>
      <c r="D3478" s="22" t="s">
        <v>7710</v>
      </c>
      <c r="E3478" s="22" t="s">
        <v>7035</v>
      </c>
      <c r="F3478" s="24" t="s">
        <v>7036</v>
      </c>
      <c r="G3478" s="26" t="s">
        <v>8540</v>
      </c>
      <c r="H3478" s="24" t="s">
        <v>7039</v>
      </c>
      <c r="I3478" s="22" t="s">
        <v>172</v>
      </c>
      <c r="J3478" s="22"/>
      <c r="K3478" s="24" t="s">
        <v>7946</v>
      </c>
      <c r="L3478" s="24"/>
      <c r="M3478" s="25" t="s">
        <v>7037</v>
      </c>
      <c r="N3478" s="22"/>
      <c r="O3478" s="22" t="s">
        <v>7038</v>
      </c>
      <c r="P3478" s="22" t="str">
        <f>HYPERLINK("https://ceds.ed.gov/cedselementdetails.aspx?termid=21163")</f>
        <v>https://ceds.ed.gov/cedselementdetails.aspx?termid=21163</v>
      </c>
      <c r="Q3478" s="22">
        <v>62582</v>
      </c>
    </row>
    <row r="3479" spans="1:17" ht="28.8" x14ac:dyDescent="0.3">
      <c r="A3479" s="22" t="s">
        <v>7870</v>
      </c>
      <c r="B3479" s="22" t="s">
        <v>7830</v>
      </c>
      <c r="C3479" s="22" t="s">
        <v>7755</v>
      </c>
      <c r="D3479" s="22" t="s">
        <v>7710</v>
      </c>
      <c r="E3479" s="22" t="s">
        <v>2667</v>
      </c>
      <c r="F3479" s="24" t="s">
        <v>8064</v>
      </c>
      <c r="G3479" s="23" t="s">
        <v>32</v>
      </c>
      <c r="H3479" s="22" t="s">
        <v>58</v>
      </c>
      <c r="I3479" s="22"/>
      <c r="J3479" s="22" t="s">
        <v>55</v>
      </c>
      <c r="K3479" s="24"/>
      <c r="L3479" s="24"/>
      <c r="M3479" s="25" t="s">
        <v>2668</v>
      </c>
      <c r="N3479" s="22"/>
      <c r="O3479" s="22" t="s">
        <v>2669</v>
      </c>
      <c r="P3479" s="22" t="str">
        <f>HYPERLINK("https://ceds.ed.gov/cedselementdetails.aspx?termid=21063")</f>
        <v>https://ceds.ed.gov/cedselementdetails.aspx?termid=21063</v>
      </c>
      <c r="Q3479" s="22">
        <v>62573</v>
      </c>
    </row>
    <row r="3480" spans="1:17" ht="43.2" x14ac:dyDescent="0.3">
      <c r="A3480" s="22" t="s">
        <v>7870</v>
      </c>
      <c r="B3480" s="22" t="s">
        <v>7830</v>
      </c>
      <c r="C3480" s="22" t="s">
        <v>7755</v>
      </c>
      <c r="D3480" s="22" t="s">
        <v>7710</v>
      </c>
      <c r="E3480" s="22" t="s">
        <v>3070</v>
      </c>
      <c r="F3480" s="24" t="s">
        <v>8076</v>
      </c>
      <c r="G3480" s="26" t="s">
        <v>22</v>
      </c>
      <c r="H3480" s="22" t="s">
        <v>58</v>
      </c>
      <c r="I3480" s="22"/>
      <c r="J3480" s="22"/>
      <c r="K3480" s="24"/>
      <c r="L3480" s="24"/>
      <c r="M3480" s="25" t="s">
        <v>3071</v>
      </c>
      <c r="N3480" s="22"/>
      <c r="O3480" s="22" t="s">
        <v>3072</v>
      </c>
      <c r="P3480" s="22" t="str">
        <f>HYPERLINK("https://ceds.ed.gov/cedselementdetails.aspx?termid=21077")</f>
        <v>https://ceds.ed.gov/cedselementdetails.aspx?termid=21077</v>
      </c>
      <c r="Q3480" s="22">
        <v>62576</v>
      </c>
    </row>
    <row r="3481" spans="1:17" ht="28.8" x14ac:dyDescent="0.3">
      <c r="A3481" s="22" t="s">
        <v>7870</v>
      </c>
      <c r="B3481" s="22" t="s">
        <v>7830</v>
      </c>
      <c r="C3481" s="22" t="s">
        <v>7755</v>
      </c>
      <c r="D3481" s="22" t="s">
        <v>7710</v>
      </c>
      <c r="E3481" s="22" t="s">
        <v>2541</v>
      </c>
      <c r="F3481" s="24" t="s">
        <v>8056</v>
      </c>
      <c r="G3481" s="23" t="s">
        <v>32</v>
      </c>
      <c r="H3481" s="24" t="s">
        <v>1965</v>
      </c>
      <c r="I3481" s="22"/>
      <c r="J3481" s="22" t="s">
        <v>2543</v>
      </c>
      <c r="K3481" s="24"/>
      <c r="L3481" s="24"/>
      <c r="M3481" s="25" t="s">
        <v>2544</v>
      </c>
      <c r="N3481" s="22"/>
      <c r="O3481" s="22" t="s">
        <v>2545</v>
      </c>
      <c r="P3481" s="22" t="str">
        <f>HYPERLINK("https://ceds.ed.gov/cedselementdetails.aspx?termid=21053")</f>
        <v>https://ceds.ed.gov/cedselementdetails.aspx?termid=21053</v>
      </c>
      <c r="Q3481" s="22">
        <v>62572</v>
      </c>
    </row>
    <row r="3482" spans="1:17" ht="100.8" x14ac:dyDescent="0.3">
      <c r="A3482" s="22" t="s">
        <v>7870</v>
      </c>
      <c r="B3482" s="22" t="s">
        <v>7830</v>
      </c>
      <c r="C3482" s="22" t="s">
        <v>7755</v>
      </c>
      <c r="D3482" s="22" t="s">
        <v>7710</v>
      </c>
      <c r="E3482" s="22" t="s">
        <v>5599</v>
      </c>
      <c r="F3482" s="24" t="s">
        <v>5600</v>
      </c>
      <c r="G3482" s="23" t="s">
        <v>32</v>
      </c>
      <c r="H3482" s="24" t="s">
        <v>5342</v>
      </c>
      <c r="I3482" s="22"/>
      <c r="J3482" s="22" t="s">
        <v>1518</v>
      </c>
      <c r="K3482" s="24"/>
      <c r="L3482" s="24"/>
      <c r="M3482" s="25" t="s">
        <v>5601</v>
      </c>
      <c r="N3482" s="22"/>
      <c r="O3482" s="22" t="s">
        <v>5602</v>
      </c>
      <c r="P3482" s="22" t="str">
        <f>HYPERLINK("https://ceds.ed.gov/cedselementdetails.aspx?termid=21200")</f>
        <v>https://ceds.ed.gov/cedselementdetails.aspx?termid=21200</v>
      </c>
      <c r="Q3482" s="22">
        <v>62583</v>
      </c>
    </row>
    <row r="3483" spans="1:17" ht="43.2" x14ac:dyDescent="0.3">
      <c r="A3483" s="22" t="s">
        <v>7870</v>
      </c>
      <c r="B3483" s="22" t="s">
        <v>7830</v>
      </c>
      <c r="C3483" s="22" t="s">
        <v>7755</v>
      </c>
      <c r="D3483" s="22" t="s">
        <v>7710</v>
      </c>
      <c r="E3483" s="22" t="s">
        <v>2670</v>
      </c>
      <c r="F3483" s="24" t="s">
        <v>8065</v>
      </c>
      <c r="G3483" s="23" t="s">
        <v>32</v>
      </c>
      <c r="H3483" s="22" t="s">
        <v>58</v>
      </c>
      <c r="I3483" s="22"/>
      <c r="J3483" s="22" t="s">
        <v>1518</v>
      </c>
      <c r="K3483" s="24"/>
      <c r="L3483" s="24"/>
      <c r="M3483" s="25" t="s">
        <v>2671</v>
      </c>
      <c r="N3483" s="22"/>
      <c r="O3483" s="22" t="s">
        <v>2672</v>
      </c>
      <c r="P3483" s="22" t="str">
        <f>HYPERLINK("https://ceds.ed.gov/cedselementdetails.aspx?termid=21064")</f>
        <v>https://ceds.ed.gov/cedselementdetails.aspx?termid=21064</v>
      </c>
      <c r="Q3483" s="22">
        <v>62574</v>
      </c>
    </row>
    <row r="3484" spans="1:17" ht="28.8" x14ac:dyDescent="0.3">
      <c r="A3484" s="22" t="s">
        <v>7870</v>
      </c>
      <c r="B3484" s="22" t="s">
        <v>7830</v>
      </c>
      <c r="C3484" s="22" t="s">
        <v>7755</v>
      </c>
      <c r="D3484" s="22" t="s">
        <v>7710</v>
      </c>
      <c r="E3484" s="22" t="s">
        <v>2558</v>
      </c>
      <c r="F3484" s="24" t="s">
        <v>2559</v>
      </c>
      <c r="G3484" s="23" t="s">
        <v>32</v>
      </c>
      <c r="H3484" s="22"/>
      <c r="I3484" s="22"/>
      <c r="J3484" s="22" t="s">
        <v>118</v>
      </c>
      <c r="K3484" s="24"/>
      <c r="L3484" s="24"/>
      <c r="M3484" s="25" t="s">
        <v>2560</v>
      </c>
      <c r="N3484" s="22"/>
      <c r="O3484" s="22" t="s">
        <v>2561</v>
      </c>
      <c r="P3484" s="22" t="str">
        <f>HYPERLINK("https://ceds.ed.gov/cedselementdetails.aspx?termid=22266")</f>
        <v>https://ceds.ed.gov/cedselementdetails.aspx?termid=22266</v>
      </c>
      <c r="Q3484" s="22">
        <v>62577</v>
      </c>
    </row>
    <row r="3485" spans="1:17" ht="28.8" x14ac:dyDescent="0.3">
      <c r="A3485" s="22" t="s">
        <v>7870</v>
      </c>
      <c r="B3485" s="22" t="s">
        <v>7830</v>
      </c>
      <c r="C3485" s="22" t="s">
        <v>7755</v>
      </c>
      <c r="D3485" s="22" t="s">
        <v>7710</v>
      </c>
      <c r="E3485" s="22" t="s">
        <v>2604</v>
      </c>
      <c r="F3485" s="24" t="s">
        <v>2605</v>
      </c>
      <c r="G3485" s="23" t="s">
        <v>32</v>
      </c>
      <c r="H3485" s="22" t="s">
        <v>2608</v>
      </c>
      <c r="I3485" s="22"/>
      <c r="J3485" s="22" t="s">
        <v>118</v>
      </c>
      <c r="K3485" s="24"/>
      <c r="L3485" s="24"/>
      <c r="M3485" s="25" t="s">
        <v>2606</v>
      </c>
      <c r="N3485" s="22"/>
      <c r="O3485" s="22" t="s">
        <v>2607</v>
      </c>
      <c r="P3485" s="22" t="str">
        <f>HYPERLINK("https://ceds.ed.gov/cedselementdetails.aspx?termid=22271")</f>
        <v>https://ceds.ed.gov/cedselementdetails.aspx?termid=22271</v>
      </c>
      <c r="Q3485" s="22">
        <v>62578</v>
      </c>
    </row>
    <row r="3486" spans="1:17" ht="72" x14ac:dyDescent="0.3">
      <c r="A3486" s="22" t="s">
        <v>7870</v>
      </c>
      <c r="B3486" s="22" t="s">
        <v>7830</v>
      </c>
      <c r="C3486" s="22" t="s">
        <v>7755</v>
      </c>
      <c r="D3486" s="22" t="s">
        <v>7710</v>
      </c>
      <c r="E3486" s="22" t="s">
        <v>7017</v>
      </c>
      <c r="F3486" s="24" t="s">
        <v>7018</v>
      </c>
      <c r="G3486" s="23" t="s">
        <v>32</v>
      </c>
      <c r="H3486" s="24" t="s">
        <v>64</v>
      </c>
      <c r="I3486" s="22"/>
      <c r="J3486" s="22" t="s">
        <v>2543</v>
      </c>
      <c r="K3486" s="24"/>
      <c r="L3486" s="24"/>
      <c r="M3486" s="25" t="s">
        <v>7020</v>
      </c>
      <c r="N3486" s="22"/>
      <c r="O3486" s="22" t="s">
        <v>7021</v>
      </c>
      <c r="P3486" s="22" t="str">
        <f>HYPERLINK("https://ceds.ed.gov/cedselementdetails.aspx?termid=21124")</f>
        <v>https://ceds.ed.gov/cedselementdetails.aspx?termid=21124</v>
      </c>
      <c r="Q3486" s="22">
        <v>62579</v>
      </c>
    </row>
    <row r="3487" spans="1:17" ht="43.2" x14ac:dyDescent="0.3">
      <c r="A3487" s="22" t="s">
        <v>7870</v>
      </c>
      <c r="B3487" s="22" t="s">
        <v>7830</v>
      </c>
      <c r="C3487" s="22" t="s">
        <v>7755</v>
      </c>
      <c r="D3487" s="22" t="s">
        <v>7710</v>
      </c>
      <c r="E3487" s="22" t="s">
        <v>7022</v>
      </c>
      <c r="F3487" s="24" t="s">
        <v>7023</v>
      </c>
      <c r="G3487" s="23" t="s">
        <v>32</v>
      </c>
      <c r="H3487" s="22"/>
      <c r="I3487" s="22"/>
      <c r="J3487" s="22" t="s">
        <v>113</v>
      </c>
      <c r="K3487" s="24"/>
      <c r="L3487" s="24"/>
      <c r="M3487" s="25" t="s">
        <v>7025</v>
      </c>
      <c r="N3487" s="22"/>
      <c r="O3487" s="22" t="s">
        <v>7026</v>
      </c>
      <c r="P3487" s="22" t="str">
        <f>HYPERLINK("https://ceds.ed.gov/cedselementdetails.aspx?termid=22552")</f>
        <v>https://ceds.ed.gov/cedselementdetails.aspx?termid=22552</v>
      </c>
      <c r="Q3487" s="22">
        <v>62580</v>
      </c>
    </row>
    <row r="3488" spans="1:17" ht="43.2" x14ac:dyDescent="0.3">
      <c r="A3488" s="22" t="s">
        <v>7870</v>
      </c>
      <c r="B3488" s="22" t="s">
        <v>7830</v>
      </c>
      <c r="C3488" s="22" t="s">
        <v>7755</v>
      </c>
      <c r="D3488" s="22" t="s">
        <v>7741</v>
      </c>
      <c r="E3488" s="22" t="s">
        <v>8109</v>
      </c>
      <c r="F3488" s="24" t="s">
        <v>8110</v>
      </c>
      <c r="G3488" s="23" t="s">
        <v>32</v>
      </c>
      <c r="H3488" s="22"/>
      <c r="I3488" s="22" t="s">
        <v>167</v>
      </c>
      <c r="J3488" s="22" t="s">
        <v>1699</v>
      </c>
      <c r="K3488" s="24" t="s">
        <v>7949</v>
      </c>
      <c r="L3488" s="24" t="s">
        <v>8111</v>
      </c>
      <c r="M3488" s="25" t="s">
        <v>8358</v>
      </c>
      <c r="N3488" s="22"/>
      <c r="O3488" s="22" t="s">
        <v>8112</v>
      </c>
      <c r="P3488" s="22" t="str">
        <f>HYPERLINK("https://ceds.ed.gov/cedselementdetails.aspx?termid=22979")</f>
        <v>https://ceds.ed.gov/cedselementdetails.aspx?termid=22979</v>
      </c>
      <c r="Q3488" s="22">
        <v>63695</v>
      </c>
    </row>
    <row r="3489" spans="1:17" ht="72" x14ac:dyDescent="0.3">
      <c r="A3489" s="22" t="s">
        <v>7870</v>
      </c>
      <c r="B3489" s="22" t="s">
        <v>7830</v>
      </c>
      <c r="C3489" s="22" t="s">
        <v>7832</v>
      </c>
      <c r="D3489" s="22" t="s">
        <v>7710</v>
      </c>
      <c r="E3489" s="22" t="s">
        <v>5383</v>
      </c>
      <c r="F3489" s="24" t="s">
        <v>5384</v>
      </c>
      <c r="G3489" s="23" t="s">
        <v>32</v>
      </c>
      <c r="H3489" s="24" t="s">
        <v>64</v>
      </c>
      <c r="I3489" s="22"/>
      <c r="J3489" s="22" t="s">
        <v>85</v>
      </c>
      <c r="K3489" s="24"/>
      <c r="L3489" s="24"/>
      <c r="M3489" s="25" t="s">
        <v>5386</v>
      </c>
      <c r="N3489" s="22"/>
      <c r="O3489" s="22" t="s">
        <v>5387</v>
      </c>
      <c r="P3489" s="22" t="str">
        <f>HYPERLINK("https://ceds.ed.gov/cedselementdetails.aspx?termid=21182")</f>
        <v>https://ceds.ed.gov/cedselementdetails.aspx?termid=21182</v>
      </c>
      <c r="Q3489" s="22">
        <v>62567</v>
      </c>
    </row>
    <row r="3490" spans="1:17" ht="43.2" x14ac:dyDescent="0.3">
      <c r="A3490" s="22" t="s">
        <v>7870</v>
      </c>
      <c r="B3490" s="22" t="s">
        <v>7830</v>
      </c>
      <c r="C3490" s="22" t="s">
        <v>7832</v>
      </c>
      <c r="D3490" s="22" t="s">
        <v>7710</v>
      </c>
      <c r="E3490" s="22" t="s">
        <v>7027</v>
      </c>
      <c r="F3490" s="24" t="s">
        <v>7028</v>
      </c>
      <c r="G3490" s="26" t="s">
        <v>22</v>
      </c>
      <c r="H3490" s="22"/>
      <c r="I3490" s="22"/>
      <c r="J3490" s="22"/>
      <c r="K3490" s="24"/>
      <c r="L3490" s="24"/>
      <c r="M3490" s="25" t="s">
        <v>7029</v>
      </c>
      <c r="N3490" s="22"/>
      <c r="O3490" s="22" t="s">
        <v>7030</v>
      </c>
      <c r="P3490" s="22" t="str">
        <f>HYPERLINK("https://ceds.ed.gov/cedselementdetails.aspx?termid=22191")</f>
        <v>https://ceds.ed.gov/cedselementdetails.aspx?termid=22191</v>
      </c>
      <c r="Q3490" s="22">
        <v>62568</v>
      </c>
    </row>
    <row r="3491" spans="1:17" ht="72" x14ac:dyDescent="0.3">
      <c r="A3491" s="22" t="s">
        <v>7870</v>
      </c>
      <c r="B3491" s="22" t="s">
        <v>7830</v>
      </c>
      <c r="C3491" s="22" t="s">
        <v>7832</v>
      </c>
      <c r="D3491" s="22" t="s">
        <v>7710</v>
      </c>
      <c r="E3491" s="22" t="s">
        <v>5411</v>
      </c>
      <c r="F3491" s="24" t="s">
        <v>5412</v>
      </c>
      <c r="G3491" s="23" t="s">
        <v>32</v>
      </c>
      <c r="H3491" s="24" t="s">
        <v>64</v>
      </c>
      <c r="I3491" s="22"/>
      <c r="J3491" s="22" t="s">
        <v>2543</v>
      </c>
      <c r="K3491" s="24"/>
      <c r="L3491" s="24"/>
      <c r="M3491" s="25" t="s">
        <v>5413</v>
      </c>
      <c r="N3491" s="22"/>
      <c r="O3491" s="22" t="s">
        <v>5414</v>
      </c>
      <c r="P3491" s="22" t="str">
        <f>HYPERLINK("https://ceds.ed.gov/cedselementdetails.aspx?termid=21183")</f>
        <v>https://ceds.ed.gov/cedselementdetails.aspx?termid=21183</v>
      </c>
      <c r="Q3491" s="22">
        <v>62570</v>
      </c>
    </row>
    <row r="3492" spans="1:17" ht="72" x14ac:dyDescent="0.3">
      <c r="A3492" s="22" t="s">
        <v>7870</v>
      </c>
      <c r="B3492" s="22" t="s">
        <v>7830</v>
      </c>
      <c r="C3492" s="22" t="s">
        <v>7832</v>
      </c>
      <c r="D3492" s="22" t="s">
        <v>7710</v>
      </c>
      <c r="E3492" s="22" t="s">
        <v>7017</v>
      </c>
      <c r="F3492" s="24" t="s">
        <v>7018</v>
      </c>
      <c r="G3492" s="23" t="s">
        <v>32</v>
      </c>
      <c r="H3492" s="24" t="s">
        <v>64</v>
      </c>
      <c r="I3492" s="22"/>
      <c r="J3492" s="22" t="s">
        <v>2543</v>
      </c>
      <c r="K3492" s="24"/>
      <c r="L3492" s="24"/>
      <c r="M3492" s="25" t="s">
        <v>7020</v>
      </c>
      <c r="N3492" s="22"/>
      <c r="O3492" s="22" t="s">
        <v>7021</v>
      </c>
      <c r="P3492" s="22" t="str">
        <f>HYPERLINK("https://ceds.ed.gov/cedselementdetails.aspx?termid=21124")</f>
        <v>https://ceds.ed.gov/cedselementdetails.aspx?termid=21124</v>
      </c>
      <c r="Q3492" s="22">
        <v>62569</v>
      </c>
    </row>
    <row r="3493" spans="1:17" ht="129.6" x14ac:dyDescent="0.3">
      <c r="A3493" s="22" t="s">
        <v>7870</v>
      </c>
      <c r="B3493" s="22" t="s">
        <v>7830</v>
      </c>
      <c r="C3493" s="22" t="s">
        <v>7832</v>
      </c>
      <c r="D3493" s="22" t="s">
        <v>7710</v>
      </c>
      <c r="E3493" s="22" t="s">
        <v>4235</v>
      </c>
      <c r="F3493" s="24" t="s">
        <v>4236</v>
      </c>
      <c r="G3493" s="23" t="s">
        <v>32</v>
      </c>
      <c r="H3493" s="22"/>
      <c r="I3493" s="22"/>
      <c r="J3493" s="22" t="s">
        <v>780</v>
      </c>
      <c r="K3493" s="24"/>
      <c r="L3493" s="24" t="s">
        <v>4238</v>
      </c>
      <c r="M3493" s="25" t="s">
        <v>4239</v>
      </c>
      <c r="N3493" s="22"/>
      <c r="O3493" s="22" t="s">
        <v>4240</v>
      </c>
      <c r="P3493" s="22" t="str">
        <f>HYPERLINK("https://ceds.ed.gov/cedselementdetails.aspx?termid=21609")</f>
        <v>https://ceds.ed.gov/cedselementdetails.aspx?termid=21609</v>
      </c>
      <c r="Q3493" s="22">
        <v>62571</v>
      </c>
    </row>
    <row r="3494" spans="1:17" ht="230.4" x14ac:dyDescent="0.3">
      <c r="A3494" s="22" t="s">
        <v>7870</v>
      </c>
      <c r="B3494" s="22" t="s">
        <v>7830</v>
      </c>
      <c r="C3494" s="22" t="s">
        <v>7832</v>
      </c>
      <c r="D3494" s="22" t="s">
        <v>7710</v>
      </c>
      <c r="E3494" s="22" t="s">
        <v>2553</v>
      </c>
      <c r="F3494" s="24" t="s">
        <v>2554</v>
      </c>
      <c r="G3494" s="26" t="s">
        <v>8746</v>
      </c>
      <c r="H3494" s="22"/>
      <c r="I3494" s="22"/>
      <c r="J3494" s="22"/>
      <c r="K3494" s="24"/>
      <c r="L3494" s="24"/>
      <c r="M3494" s="25" t="s">
        <v>2556</v>
      </c>
      <c r="N3494" s="22"/>
      <c r="O3494" s="22" t="s">
        <v>2557</v>
      </c>
      <c r="P3494" s="22" t="str">
        <f>HYPERLINK("https://ceds.ed.gov/cedselementdetails.aspx?termid=22265")</f>
        <v>https://ceds.ed.gov/cedselementdetails.aspx?termid=22265</v>
      </c>
      <c r="Q3494" s="22">
        <v>62566</v>
      </c>
    </row>
    <row r="3495" spans="1:17" ht="172.8" x14ac:dyDescent="0.3">
      <c r="A3495" s="22" t="s">
        <v>7870</v>
      </c>
      <c r="B3495" s="22" t="s">
        <v>7830</v>
      </c>
      <c r="C3495" s="22" t="s">
        <v>7833</v>
      </c>
      <c r="D3495" s="22" t="s">
        <v>7710</v>
      </c>
      <c r="E3495" s="22" t="s">
        <v>6911</v>
      </c>
      <c r="F3495" s="24" t="s">
        <v>6912</v>
      </c>
      <c r="G3495" s="23" t="s">
        <v>32</v>
      </c>
      <c r="H3495" s="24" t="s">
        <v>6915</v>
      </c>
      <c r="I3495" s="22" t="s">
        <v>172</v>
      </c>
      <c r="J3495" s="22" t="s">
        <v>132</v>
      </c>
      <c r="K3495" s="24" t="s">
        <v>7946</v>
      </c>
      <c r="L3495" s="24" t="s">
        <v>7945</v>
      </c>
      <c r="M3495" s="25" t="s">
        <v>6913</v>
      </c>
      <c r="N3495" s="22"/>
      <c r="O3495" s="22" t="s">
        <v>6914</v>
      </c>
      <c r="P3495" s="22" t="str">
        <f>HYPERLINK("https://ceds.ed.gov/cedselementdetails.aspx?termid=21156")</f>
        <v>https://ceds.ed.gov/cedselementdetails.aspx?termid=21156</v>
      </c>
      <c r="Q3495" s="22">
        <v>62586</v>
      </c>
    </row>
    <row r="3496" spans="1:17" ht="244.8" x14ac:dyDescent="0.3">
      <c r="A3496" s="22" t="s">
        <v>7870</v>
      </c>
      <c r="B3496" s="22" t="s">
        <v>7830</v>
      </c>
      <c r="C3496" s="22" t="s">
        <v>7833</v>
      </c>
      <c r="D3496" s="22" t="s">
        <v>7710</v>
      </c>
      <c r="E3496" s="22" t="s">
        <v>6906</v>
      </c>
      <c r="F3496" s="24" t="s">
        <v>6907</v>
      </c>
      <c r="G3496" s="26" t="s">
        <v>8531</v>
      </c>
      <c r="H3496" s="24" t="s">
        <v>6910</v>
      </c>
      <c r="I3496" s="22" t="s">
        <v>172</v>
      </c>
      <c r="J3496" s="22"/>
      <c r="K3496" s="24" t="s">
        <v>7946</v>
      </c>
      <c r="L3496" s="24"/>
      <c r="M3496" s="25" t="s">
        <v>6908</v>
      </c>
      <c r="N3496" s="22"/>
      <c r="O3496" s="22" t="s">
        <v>6909</v>
      </c>
      <c r="P3496" s="22" t="str">
        <f>HYPERLINK("https://ceds.ed.gov/cedselementdetails.aspx?termid=21162")</f>
        <v>https://ceds.ed.gov/cedselementdetails.aspx?termid=21162</v>
      </c>
      <c r="Q3496" s="22">
        <v>62587</v>
      </c>
    </row>
    <row r="3497" spans="1:17" ht="28.8" x14ac:dyDescent="0.3">
      <c r="A3497" s="22" t="s">
        <v>7870</v>
      </c>
      <c r="B3497" s="22" t="s">
        <v>7830</v>
      </c>
      <c r="C3497" s="22" t="s">
        <v>7833</v>
      </c>
      <c r="D3497" s="22" t="s">
        <v>7710</v>
      </c>
      <c r="E3497" s="22" t="s">
        <v>1443</v>
      </c>
      <c r="F3497" s="24" t="s">
        <v>1444</v>
      </c>
      <c r="G3497" s="23" t="s">
        <v>32</v>
      </c>
      <c r="H3497" s="22"/>
      <c r="I3497" s="22" t="s">
        <v>172</v>
      </c>
      <c r="J3497" s="22" t="s">
        <v>118</v>
      </c>
      <c r="K3497" s="24" t="s">
        <v>7946</v>
      </c>
      <c r="L3497" s="24"/>
      <c r="M3497" s="25" t="s">
        <v>1445</v>
      </c>
      <c r="N3497" s="22"/>
      <c r="O3497" s="22" t="s">
        <v>1446</v>
      </c>
      <c r="P3497" s="22" t="str">
        <f>HYPERLINK("https://ceds.ed.gov/cedselementdetails.aspx?termid=21517")</f>
        <v>https://ceds.ed.gov/cedselementdetails.aspx?termid=21517</v>
      </c>
      <c r="Q3497" s="22">
        <v>62584</v>
      </c>
    </row>
    <row r="3498" spans="1:17" ht="57.6" x14ac:dyDescent="0.3">
      <c r="A3498" s="22" t="s">
        <v>7870</v>
      </c>
      <c r="B3498" s="22" t="s">
        <v>7830</v>
      </c>
      <c r="C3498" s="22" t="s">
        <v>7833</v>
      </c>
      <c r="D3498" s="22" t="s">
        <v>7710</v>
      </c>
      <c r="E3498" s="22" t="s">
        <v>1439</v>
      </c>
      <c r="F3498" s="24" t="s">
        <v>1440</v>
      </c>
      <c r="G3498" s="23" t="s">
        <v>32</v>
      </c>
      <c r="H3498" s="22"/>
      <c r="I3498" s="22" t="s">
        <v>172</v>
      </c>
      <c r="J3498" s="22" t="s">
        <v>118</v>
      </c>
      <c r="K3498" s="24" t="s">
        <v>7946</v>
      </c>
      <c r="L3498" s="24" t="s">
        <v>143</v>
      </c>
      <c r="M3498" s="25" t="s">
        <v>1441</v>
      </c>
      <c r="N3498" s="22"/>
      <c r="O3498" s="22" t="s">
        <v>1442</v>
      </c>
      <c r="P3498" s="22" t="str">
        <f>HYPERLINK("https://ceds.ed.gov/cedselementdetails.aspx?termid=21518")</f>
        <v>https://ceds.ed.gov/cedselementdetails.aspx?termid=21518</v>
      </c>
      <c r="Q3498" s="22">
        <v>62585</v>
      </c>
    </row>
    <row r="3499" spans="1:17" ht="57.6" x14ac:dyDescent="0.3">
      <c r="A3499" s="22" t="s">
        <v>7870</v>
      </c>
      <c r="B3499" s="22" t="s">
        <v>7830</v>
      </c>
      <c r="C3499" s="22" t="s">
        <v>7833</v>
      </c>
      <c r="D3499" s="22" t="s">
        <v>7710</v>
      </c>
      <c r="E3499" s="22" t="s">
        <v>7095</v>
      </c>
      <c r="F3499" s="24" t="s">
        <v>7096</v>
      </c>
      <c r="G3499" s="26" t="s">
        <v>22</v>
      </c>
      <c r="H3499" s="22" t="s">
        <v>7101</v>
      </c>
      <c r="I3499" s="22"/>
      <c r="J3499" s="22"/>
      <c r="K3499" s="24"/>
      <c r="L3499" s="24" t="s">
        <v>7098</v>
      </c>
      <c r="M3499" s="25" t="s">
        <v>7099</v>
      </c>
      <c r="N3499" s="22"/>
      <c r="O3499" s="22" t="s">
        <v>7100</v>
      </c>
      <c r="P3499" s="22" t="str">
        <f>HYPERLINK("https://ceds.ed.gov/cedselementdetails.aspx?termid=21649")</f>
        <v>https://ceds.ed.gov/cedselementdetails.aspx?termid=21649</v>
      </c>
      <c r="Q3499" s="22">
        <v>62589</v>
      </c>
    </row>
    <row r="3500" spans="1:17" ht="72" x14ac:dyDescent="0.3">
      <c r="A3500" s="22" t="s">
        <v>7870</v>
      </c>
      <c r="B3500" s="22" t="s">
        <v>7830</v>
      </c>
      <c r="C3500" s="22" t="s">
        <v>7833</v>
      </c>
      <c r="D3500" s="22" t="s">
        <v>7710</v>
      </c>
      <c r="E3500" s="22" t="s">
        <v>7123</v>
      </c>
      <c r="F3500" s="24" t="s">
        <v>8340</v>
      </c>
      <c r="G3500" s="26" t="s">
        <v>8548</v>
      </c>
      <c r="H3500" s="22" t="s">
        <v>7101</v>
      </c>
      <c r="I3500" s="22" t="s">
        <v>172</v>
      </c>
      <c r="J3500" s="22"/>
      <c r="K3500" s="24" t="s">
        <v>7946</v>
      </c>
      <c r="L3500" s="24"/>
      <c r="M3500" s="25" t="s">
        <v>7124</v>
      </c>
      <c r="N3500" s="22"/>
      <c r="O3500" s="22" t="s">
        <v>7125</v>
      </c>
      <c r="P3500" s="22" t="str">
        <f>HYPERLINK("https://ceds.ed.gov/cedselementdetails.aspx?termid=21650")</f>
        <v>https://ceds.ed.gov/cedselementdetails.aspx?termid=21650</v>
      </c>
      <c r="Q3500" s="22">
        <v>62590</v>
      </c>
    </row>
    <row r="3501" spans="1:17" ht="72" x14ac:dyDescent="0.3">
      <c r="A3501" s="22" t="s">
        <v>7870</v>
      </c>
      <c r="B3501" s="22" t="s">
        <v>7830</v>
      </c>
      <c r="C3501" s="22" t="s">
        <v>7833</v>
      </c>
      <c r="D3501" s="22" t="s">
        <v>7710</v>
      </c>
      <c r="E3501" s="22" t="s">
        <v>7114</v>
      </c>
      <c r="F3501" s="24" t="s">
        <v>7115</v>
      </c>
      <c r="G3501" s="23" t="s">
        <v>32</v>
      </c>
      <c r="H3501" s="22" t="s">
        <v>7101</v>
      </c>
      <c r="I3501" s="22" t="s">
        <v>172</v>
      </c>
      <c r="J3501" s="22" t="s">
        <v>775</v>
      </c>
      <c r="K3501" s="24" t="s">
        <v>7946</v>
      </c>
      <c r="L3501" s="24"/>
      <c r="M3501" s="25" t="s">
        <v>7116</v>
      </c>
      <c r="N3501" s="22"/>
      <c r="O3501" s="22" t="s">
        <v>7117</v>
      </c>
      <c r="P3501" s="22" t="str">
        <f>HYPERLINK("https://ceds.ed.gov/cedselementdetails.aspx?termid=21651")</f>
        <v>https://ceds.ed.gov/cedselementdetails.aspx?termid=21651</v>
      </c>
      <c r="Q3501" s="22">
        <v>62591</v>
      </c>
    </row>
    <row r="3502" spans="1:17" ht="244.8" x14ac:dyDescent="0.3">
      <c r="A3502" s="22" t="s">
        <v>7870</v>
      </c>
      <c r="B3502" s="22" t="s">
        <v>7830</v>
      </c>
      <c r="C3502" s="22" t="s">
        <v>7833</v>
      </c>
      <c r="D3502" s="22" t="s">
        <v>7710</v>
      </c>
      <c r="E3502" s="22" t="s">
        <v>2104</v>
      </c>
      <c r="F3502" s="24" t="s">
        <v>2105</v>
      </c>
      <c r="G3502" s="26" t="s">
        <v>8411</v>
      </c>
      <c r="H3502" s="22"/>
      <c r="I3502" s="22" t="s">
        <v>172</v>
      </c>
      <c r="J3502" s="22"/>
      <c r="K3502" s="24" t="s">
        <v>7946</v>
      </c>
      <c r="L3502" s="24"/>
      <c r="M3502" s="25" t="s">
        <v>2106</v>
      </c>
      <c r="N3502" s="22"/>
      <c r="O3502" s="22" t="s">
        <v>2107</v>
      </c>
      <c r="P3502" s="22" t="str">
        <f>HYPERLINK("https://ceds.ed.gov/cedselementdetails.aspx?termid=21615")</f>
        <v>https://ceds.ed.gov/cedselementdetails.aspx?termid=21615</v>
      </c>
      <c r="Q3502" s="22">
        <v>62588</v>
      </c>
    </row>
    <row r="3503" spans="1:17" ht="28.8" x14ac:dyDescent="0.3">
      <c r="A3503" s="22" t="s">
        <v>7870</v>
      </c>
      <c r="B3503" s="22" t="s">
        <v>7830</v>
      </c>
      <c r="C3503" s="22" t="s">
        <v>7796</v>
      </c>
      <c r="D3503" s="22" t="s">
        <v>7710</v>
      </c>
      <c r="E3503" s="22" t="s">
        <v>1447</v>
      </c>
      <c r="F3503" s="24" t="s">
        <v>1448</v>
      </c>
      <c r="G3503" s="23" t="s">
        <v>32</v>
      </c>
      <c r="H3503" s="22"/>
      <c r="I3503" s="22" t="s">
        <v>172</v>
      </c>
      <c r="J3503" s="22" t="s">
        <v>118</v>
      </c>
      <c r="K3503" s="24" t="s">
        <v>7946</v>
      </c>
      <c r="L3503" s="24"/>
      <c r="M3503" s="25" t="s">
        <v>1449</v>
      </c>
      <c r="N3503" s="22"/>
      <c r="O3503" s="22" t="s">
        <v>1450</v>
      </c>
      <c r="P3503" s="22" t="str">
        <f>HYPERLINK("https://ceds.ed.gov/cedselementdetails.aspx?termid=22630")</f>
        <v>https://ceds.ed.gov/cedselementdetails.aspx?termid=22630</v>
      </c>
      <c r="Q3503" s="22">
        <v>62594</v>
      </c>
    </row>
    <row r="3504" spans="1:17" ht="72" x14ac:dyDescent="0.3">
      <c r="A3504" s="22" t="s">
        <v>7870</v>
      </c>
      <c r="B3504" s="22" t="s">
        <v>7830</v>
      </c>
      <c r="C3504" s="22" t="s">
        <v>7796</v>
      </c>
      <c r="D3504" s="22" t="s">
        <v>7710</v>
      </c>
      <c r="E3504" s="22" t="s">
        <v>1451</v>
      </c>
      <c r="F3504" s="24" t="s">
        <v>1452</v>
      </c>
      <c r="G3504" s="26" t="s">
        <v>8649</v>
      </c>
      <c r="H3504" s="22"/>
      <c r="I3504" s="22"/>
      <c r="J3504" s="22"/>
      <c r="K3504" s="24"/>
      <c r="L3504" s="24"/>
      <c r="M3504" s="25" t="s">
        <v>1454</v>
      </c>
      <c r="N3504" s="22"/>
      <c r="O3504" s="22" t="s">
        <v>1455</v>
      </c>
      <c r="P3504" s="22" t="str">
        <f>HYPERLINK("https://ceds.ed.gov/cedselementdetails.aspx?termid=21594")</f>
        <v>https://ceds.ed.gov/cedselementdetails.aspx?termid=21594</v>
      </c>
      <c r="Q3504" s="22">
        <v>62593</v>
      </c>
    </row>
    <row r="3505" spans="1:17" ht="86.4" x14ac:dyDescent="0.3">
      <c r="A3505" s="22" t="s">
        <v>7870</v>
      </c>
      <c r="B3505" s="22" t="s">
        <v>7830</v>
      </c>
      <c r="C3505" s="22" t="s">
        <v>7796</v>
      </c>
      <c r="D3505" s="22" t="s">
        <v>7710</v>
      </c>
      <c r="E3505" s="22" t="s">
        <v>1456</v>
      </c>
      <c r="F3505" s="24" t="s">
        <v>1457</v>
      </c>
      <c r="G3505" s="26" t="s">
        <v>8406</v>
      </c>
      <c r="H3505" s="22"/>
      <c r="I3505" s="22" t="s">
        <v>172</v>
      </c>
      <c r="J3505" s="22"/>
      <c r="K3505" s="24" t="s">
        <v>7946</v>
      </c>
      <c r="L3505" s="24"/>
      <c r="M3505" s="25" t="s">
        <v>1458</v>
      </c>
      <c r="N3505" s="22"/>
      <c r="O3505" s="22" t="s">
        <v>1459</v>
      </c>
      <c r="P3505" s="22" t="str">
        <f>HYPERLINK("https://ceds.ed.gov/cedselementdetails.aspx?termid=21076")</f>
        <v>https://ceds.ed.gov/cedselementdetails.aspx?termid=21076</v>
      </c>
      <c r="Q3505" s="22">
        <v>62592</v>
      </c>
    </row>
    <row r="3506" spans="1:17" ht="244.8" x14ac:dyDescent="0.3">
      <c r="A3506" s="22" t="s">
        <v>7870</v>
      </c>
      <c r="B3506" s="22" t="s">
        <v>7764</v>
      </c>
      <c r="C3506" s="22"/>
      <c r="D3506" s="22" t="s">
        <v>7710</v>
      </c>
      <c r="E3506" s="22" t="s">
        <v>1925</v>
      </c>
      <c r="F3506" s="24" t="s">
        <v>1926</v>
      </c>
      <c r="G3506" s="26" t="s">
        <v>8710</v>
      </c>
      <c r="H3506" s="22"/>
      <c r="I3506" s="22"/>
      <c r="J3506" s="22"/>
      <c r="K3506" s="24"/>
      <c r="L3506" s="24" t="s">
        <v>8034</v>
      </c>
      <c r="M3506" s="25" t="s">
        <v>1927</v>
      </c>
      <c r="N3506" s="22"/>
      <c r="O3506" s="22" t="s">
        <v>1928</v>
      </c>
      <c r="P3506" s="22" t="str">
        <f>HYPERLINK("https://ceds.ed.gov/cedselementdetails.aspx?termid=22254")</f>
        <v>https://ceds.ed.gov/cedselementdetails.aspx?termid=22254</v>
      </c>
      <c r="Q3506" s="22">
        <v>61076</v>
      </c>
    </row>
    <row r="3507" spans="1:17" ht="158.4" x14ac:dyDescent="0.3">
      <c r="A3507" s="22" t="s">
        <v>4116</v>
      </c>
      <c r="B3507" s="22" t="s">
        <v>7876</v>
      </c>
      <c r="C3507" s="22" t="s">
        <v>7738</v>
      </c>
      <c r="D3507" s="22" t="s">
        <v>7710</v>
      </c>
      <c r="E3507" s="22" t="s">
        <v>4050</v>
      </c>
      <c r="F3507" s="24" t="s">
        <v>4051</v>
      </c>
      <c r="G3507" s="23" t="s">
        <v>32</v>
      </c>
      <c r="H3507" s="24" t="s">
        <v>4054</v>
      </c>
      <c r="I3507" s="22"/>
      <c r="J3507" s="22" t="s">
        <v>7536</v>
      </c>
      <c r="K3507" s="24"/>
      <c r="L3507" s="24" t="s">
        <v>8200</v>
      </c>
      <c r="M3507" s="25" t="s">
        <v>4052</v>
      </c>
      <c r="N3507" s="22"/>
      <c r="O3507" s="22" t="s">
        <v>4053</v>
      </c>
      <c r="P3507" s="22" t="str">
        <f>HYPERLINK("https://ceds.ed.gov/cedselementdetails.aspx?termid=21115")</f>
        <v>https://ceds.ed.gov/cedselementdetails.aspx?termid=21115</v>
      </c>
      <c r="Q3507" s="22">
        <v>60465</v>
      </c>
    </row>
    <row r="3508" spans="1:17" ht="158.4" x14ac:dyDescent="0.3">
      <c r="A3508" s="22" t="s">
        <v>4116</v>
      </c>
      <c r="B3508" s="22" t="s">
        <v>7876</v>
      </c>
      <c r="C3508" s="22" t="s">
        <v>7738</v>
      </c>
      <c r="D3508" s="22" t="s">
        <v>7710</v>
      </c>
      <c r="E3508" s="22" t="s">
        <v>5415</v>
      </c>
      <c r="F3508" s="24" t="s">
        <v>5416</v>
      </c>
      <c r="G3508" s="23" t="s">
        <v>32</v>
      </c>
      <c r="H3508" s="24" t="s">
        <v>4054</v>
      </c>
      <c r="I3508" s="22"/>
      <c r="J3508" s="22" t="s">
        <v>7536</v>
      </c>
      <c r="K3508" s="24"/>
      <c r="L3508" s="24" t="s">
        <v>8207</v>
      </c>
      <c r="M3508" s="25" t="s">
        <v>5417</v>
      </c>
      <c r="N3508" s="22"/>
      <c r="O3508" s="22" t="s">
        <v>5418</v>
      </c>
      <c r="P3508" s="22" t="str">
        <f>HYPERLINK("https://ceds.ed.gov/cedselementdetails.aspx?termid=21184")</f>
        <v>https://ceds.ed.gov/cedselementdetails.aspx?termid=21184</v>
      </c>
      <c r="Q3508" s="22">
        <v>60466</v>
      </c>
    </row>
    <row r="3509" spans="1:17" ht="158.4" x14ac:dyDescent="0.3">
      <c r="A3509" s="22" t="s">
        <v>4116</v>
      </c>
      <c r="B3509" s="22" t="s">
        <v>7876</v>
      </c>
      <c r="C3509" s="22" t="s">
        <v>7738</v>
      </c>
      <c r="D3509" s="22" t="s">
        <v>7710</v>
      </c>
      <c r="E3509" s="22" t="s">
        <v>4973</v>
      </c>
      <c r="F3509" s="24" t="s">
        <v>4974</v>
      </c>
      <c r="G3509" s="23" t="s">
        <v>32</v>
      </c>
      <c r="H3509" s="24" t="s">
        <v>4054</v>
      </c>
      <c r="I3509" s="22"/>
      <c r="J3509" s="22" t="s">
        <v>7536</v>
      </c>
      <c r="K3509" s="24"/>
      <c r="L3509" s="24" t="s">
        <v>8207</v>
      </c>
      <c r="M3509" s="25" t="s">
        <v>4975</v>
      </c>
      <c r="N3509" s="22" t="s">
        <v>4976</v>
      </c>
      <c r="O3509" s="22" t="s">
        <v>4977</v>
      </c>
      <c r="P3509" s="22" t="str">
        <f>HYPERLINK("https://ceds.ed.gov/cedselementdetails.aspx?termid=21172")</f>
        <v>https://ceds.ed.gov/cedselementdetails.aspx?termid=21172</v>
      </c>
      <c r="Q3509" s="22">
        <v>60467</v>
      </c>
    </row>
    <row r="3510" spans="1:17" ht="129.6" x14ac:dyDescent="0.3">
      <c r="A3510" s="22" t="s">
        <v>4116</v>
      </c>
      <c r="B3510" s="22" t="s">
        <v>7876</v>
      </c>
      <c r="C3510" s="22" t="s">
        <v>7738</v>
      </c>
      <c r="D3510" s="22" t="s">
        <v>7710</v>
      </c>
      <c r="E3510" s="22" t="s">
        <v>4114</v>
      </c>
      <c r="F3510" s="24" t="s">
        <v>4115</v>
      </c>
      <c r="G3510" s="23" t="s">
        <v>32</v>
      </c>
      <c r="H3510" s="24" t="s">
        <v>4119</v>
      </c>
      <c r="I3510" s="22"/>
      <c r="J3510" s="22" t="s">
        <v>2743</v>
      </c>
      <c r="K3510" s="24"/>
      <c r="L3510" s="24" t="s">
        <v>8207</v>
      </c>
      <c r="M3510" s="25" t="s">
        <v>4117</v>
      </c>
      <c r="N3510" s="22"/>
      <c r="O3510" s="22" t="s">
        <v>4118</v>
      </c>
      <c r="P3510" s="22" t="str">
        <f>HYPERLINK("https://ceds.ed.gov/cedselementdetails.aspx?termid=21121")</f>
        <v>https://ceds.ed.gov/cedselementdetails.aspx?termid=21121</v>
      </c>
      <c r="Q3510" s="22">
        <v>60468</v>
      </c>
    </row>
    <row r="3511" spans="1:17" ht="86.4" x14ac:dyDescent="0.3">
      <c r="A3511" s="22" t="s">
        <v>4116</v>
      </c>
      <c r="B3511" s="22" t="s">
        <v>7876</v>
      </c>
      <c r="C3511" s="22" t="s">
        <v>7738</v>
      </c>
      <c r="D3511" s="22" t="s">
        <v>7710</v>
      </c>
      <c r="E3511" s="22" t="s">
        <v>5860</v>
      </c>
      <c r="F3511" s="24" t="s">
        <v>5861</v>
      </c>
      <c r="G3511" s="23" t="s">
        <v>32</v>
      </c>
      <c r="H3511" s="24" t="s">
        <v>5865</v>
      </c>
      <c r="I3511" s="22"/>
      <c r="J3511" s="22" t="s">
        <v>85</v>
      </c>
      <c r="K3511" s="24"/>
      <c r="L3511" s="24"/>
      <c r="M3511" s="25" t="s">
        <v>5862</v>
      </c>
      <c r="N3511" s="22" t="s">
        <v>5863</v>
      </c>
      <c r="O3511" s="22" t="s">
        <v>5864</v>
      </c>
      <c r="P3511" s="22" t="str">
        <f>HYPERLINK("https://ceds.ed.gov/cedselementdetails.aspx?termid=21212")</f>
        <v>https://ceds.ed.gov/cedselementdetails.aspx?termid=21212</v>
      </c>
      <c r="Q3511" s="22">
        <v>60891</v>
      </c>
    </row>
    <row r="3512" spans="1:17" ht="28.8" x14ac:dyDescent="0.3">
      <c r="A3512" s="22" t="s">
        <v>4116</v>
      </c>
      <c r="B3512" s="22" t="s">
        <v>7876</v>
      </c>
      <c r="C3512" s="22" t="s">
        <v>7739</v>
      </c>
      <c r="D3512" s="22" t="s">
        <v>7710</v>
      </c>
      <c r="E3512" s="22" t="s">
        <v>5728</v>
      </c>
      <c r="F3512" s="24" t="s">
        <v>5729</v>
      </c>
      <c r="G3512" s="23" t="s">
        <v>32</v>
      </c>
      <c r="H3512" s="22"/>
      <c r="I3512" s="22"/>
      <c r="J3512" s="22" t="s">
        <v>1301</v>
      </c>
      <c r="K3512" s="24"/>
      <c r="L3512" s="24" t="s">
        <v>5730</v>
      </c>
      <c r="M3512" s="25" t="s">
        <v>5731</v>
      </c>
      <c r="N3512" s="22"/>
      <c r="O3512" s="22" t="s">
        <v>5732</v>
      </c>
      <c r="P3512" s="22" t="str">
        <f>HYPERLINK("https://ceds.ed.gov/cedselementdetails.aspx?termid=22486")</f>
        <v>https://ceds.ed.gov/cedselementdetails.aspx?termid=22486</v>
      </c>
      <c r="Q3512" s="22">
        <v>61637</v>
      </c>
    </row>
    <row r="3513" spans="1:17" ht="28.8" x14ac:dyDescent="0.3">
      <c r="A3513" s="22" t="s">
        <v>4116</v>
      </c>
      <c r="B3513" s="22" t="s">
        <v>7876</v>
      </c>
      <c r="C3513" s="22" t="s">
        <v>7739</v>
      </c>
      <c r="D3513" s="22" t="s">
        <v>7710</v>
      </c>
      <c r="E3513" s="22" t="s">
        <v>5738</v>
      </c>
      <c r="F3513" s="24" t="s">
        <v>5739</v>
      </c>
      <c r="G3513" s="23" t="s">
        <v>32</v>
      </c>
      <c r="H3513" s="22"/>
      <c r="I3513" s="22"/>
      <c r="J3513" s="22" t="s">
        <v>1301</v>
      </c>
      <c r="K3513" s="24"/>
      <c r="L3513" s="24" t="s">
        <v>5740</v>
      </c>
      <c r="M3513" s="25" t="s">
        <v>5741</v>
      </c>
      <c r="N3513" s="22"/>
      <c r="O3513" s="22" t="s">
        <v>5742</v>
      </c>
      <c r="P3513" s="22" t="str">
        <f>HYPERLINK("https://ceds.ed.gov/cedselementdetails.aspx?termid=22487")</f>
        <v>https://ceds.ed.gov/cedselementdetails.aspx?termid=22487</v>
      </c>
      <c r="Q3513" s="22">
        <v>61653</v>
      </c>
    </row>
    <row r="3514" spans="1:17" ht="28.8" x14ac:dyDescent="0.3">
      <c r="A3514" s="22" t="s">
        <v>4116</v>
      </c>
      <c r="B3514" s="22" t="s">
        <v>7876</v>
      </c>
      <c r="C3514" s="22" t="s">
        <v>7739</v>
      </c>
      <c r="D3514" s="22" t="s">
        <v>7710</v>
      </c>
      <c r="E3514" s="22" t="s">
        <v>5733</v>
      </c>
      <c r="F3514" s="24" t="s">
        <v>5734</v>
      </c>
      <c r="G3514" s="23" t="s">
        <v>32</v>
      </c>
      <c r="H3514" s="22"/>
      <c r="I3514" s="22"/>
      <c r="J3514" s="22" t="s">
        <v>1301</v>
      </c>
      <c r="K3514" s="24"/>
      <c r="L3514" s="24" t="s">
        <v>5735</v>
      </c>
      <c r="M3514" s="25" t="s">
        <v>5736</v>
      </c>
      <c r="N3514" s="22"/>
      <c r="O3514" s="22" t="s">
        <v>5737</v>
      </c>
      <c r="P3514" s="22" t="str">
        <f>HYPERLINK("https://ceds.ed.gov/cedselementdetails.aspx?termid=22485")</f>
        <v>https://ceds.ed.gov/cedselementdetails.aspx?termid=22485</v>
      </c>
      <c r="Q3514" s="22">
        <v>61621</v>
      </c>
    </row>
    <row r="3515" spans="1:17" ht="129.6" x14ac:dyDescent="0.3">
      <c r="A3515" s="22" t="s">
        <v>4116</v>
      </c>
      <c r="B3515" s="22" t="s">
        <v>7876</v>
      </c>
      <c r="C3515" s="22" t="s">
        <v>7739</v>
      </c>
      <c r="D3515" s="22" t="s">
        <v>7710</v>
      </c>
      <c r="E3515" s="22" t="s">
        <v>5743</v>
      </c>
      <c r="F3515" s="24" t="s">
        <v>5744</v>
      </c>
      <c r="G3515" s="23" t="s">
        <v>32</v>
      </c>
      <c r="H3515" s="24" t="s">
        <v>4119</v>
      </c>
      <c r="I3515" s="22"/>
      <c r="J3515" s="22" t="s">
        <v>132</v>
      </c>
      <c r="K3515" s="24"/>
      <c r="L3515" s="24"/>
      <c r="M3515" s="25" t="s">
        <v>5745</v>
      </c>
      <c r="N3515" s="22"/>
      <c r="O3515" s="22" t="s">
        <v>5746</v>
      </c>
      <c r="P3515" s="22" t="str">
        <f>HYPERLINK("https://ceds.ed.gov/cedselementdetails.aspx?termid=21206")</f>
        <v>https://ceds.ed.gov/cedselementdetails.aspx?termid=21206</v>
      </c>
      <c r="Q3515" s="22">
        <v>60892</v>
      </c>
    </row>
    <row r="3516" spans="1:17" ht="115.2" x14ac:dyDescent="0.3">
      <c r="A3516" s="22" t="s">
        <v>4116</v>
      </c>
      <c r="B3516" s="22" t="s">
        <v>7876</v>
      </c>
      <c r="C3516" s="22" t="s">
        <v>7739</v>
      </c>
      <c r="D3516" s="22" t="s">
        <v>7710</v>
      </c>
      <c r="E3516" s="22" t="s">
        <v>5747</v>
      </c>
      <c r="F3516" s="24" t="s">
        <v>5748</v>
      </c>
      <c r="G3516" s="26" t="s">
        <v>9055</v>
      </c>
      <c r="H3516" s="24" t="s">
        <v>5751</v>
      </c>
      <c r="I3516" s="22"/>
      <c r="J3516" s="22" t="s">
        <v>85</v>
      </c>
      <c r="K3516" s="24"/>
      <c r="L3516" s="24"/>
      <c r="M3516" s="25" t="s">
        <v>5749</v>
      </c>
      <c r="N3516" s="22"/>
      <c r="O3516" s="22" t="s">
        <v>5750</v>
      </c>
      <c r="P3516" s="22" t="str">
        <f>HYPERLINK("https://ceds.ed.gov/cedselementdetails.aspx?termid=21627")</f>
        <v>https://ceds.ed.gov/cedselementdetails.aspx?termid=21627</v>
      </c>
      <c r="Q3516" s="22">
        <v>60893</v>
      </c>
    </row>
    <row r="3517" spans="1:17" ht="403.2" x14ac:dyDescent="0.3">
      <c r="A3517" s="22" t="s">
        <v>4116</v>
      </c>
      <c r="B3517" s="22" t="s">
        <v>7876</v>
      </c>
      <c r="C3517" s="22" t="s">
        <v>7740</v>
      </c>
      <c r="D3517" s="22" t="s">
        <v>7710</v>
      </c>
      <c r="E3517" s="22" t="s">
        <v>5856</v>
      </c>
      <c r="F3517" s="24" t="s">
        <v>5857</v>
      </c>
      <c r="G3517" s="26" t="s">
        <v>8498</v>
      </c>
      <c r="H3517" s="22"/>
      <c r="I3517" s="22" t="s">
        <v>172</v>
      </c>
      <c r="J3517" s="22"/>
      <c r="K3517" s="24" t="s">
        <v>7946</v>
      </c>
      <c r="L3517" s="24"/>
      <c r="M3517" s="25" t="s">
        <v>5858</v>
      </c>
      <c r="N3517" s="22"/>
      <c r="O3517" s="22" t="s">
        <v>5859</v>
      </c>
      <c r="P3517" s="22" t="str">
        <f>HYPERLINK("https://ceds.ed.gov/cedselementdetails.aspx?termid=21611")</f>
        <v>https://ceds.ed.gov/cedselementdetails.aspx?termid=21611</v>
      </c>
      <c r="Q3517" s="22">
        <v>60223</v>
      </c>
    </row>
    <row r="3518" spans="1:17" ht="259.2" x14ac:dyDescent="0.3">
      <c r="A3518" s="22" t="s">
        <v>4116</v>
      </c>
      <c r="B3518" s="22" t="s">
        <v>7876</v>
      </c>
      <c r="C3518" s="22" t="s">
        <v>7740</v>
      </c>
      <c r="D3518" s="22" t="s">
        <v>7710</v>
      </c>
      <c r="E3518" s="22" t="s">
        <v>5831</v>
      </c>
      <c r="F3518" s="24" t="s">
        <v>5832</v>
      </c>
      <c r="G3518" s="26" t="s">
        <v>8494</v>
      </c>
      <c r="H3518" s="22"/>
      <c r="I3518" s="22" t="s">
        <v>172</v>
      </c>
      <c r="J3518" s="22"/>
      <c r="K3518" s="24" t="s">
        <v>7946</v>
      </c>
      <c r="L3518" s="24"/>
      <c r="M3518" s="25" t="s">
        <v>5833</v>
      </c>
      <c r="N3518" s="22"/>
      <c r="O3518" s="22" t="s">
        <v>5834</v>
      </c>
      <c r="P3518" s="22" t="str">
        <f>HYPERLINK("https://ceds.ed.gov/cedselementdetails.aspx?termid=22550")</f>
        <v>https://ceds.ed.gov/cedselementdetails.aspx?termid=22550</v>
      </c>
      <c r="Q3518" s="22">
        <v>63006</v>
      </c>
    </row>
    <row r="3519" spans="1:17" ht="172.8" x14ac:dyDescent="0.3">
      <c r="A3519" s="22" t="s">
        <v>4116</v>
      </c>
      <c r="B3519" s="22" t="s">
        <v>7876</v>
      </c>
      <c r="C3519" s="22" t="s">
        <v>7740</v>
      </c>
      <c r="D3519" s="22" t="s">
        <v>7710</v>
      </c>
      <c r="E3519" s="22" t="s">
        <v>5835</v>
      </c>
      <c r="F3519" s="24" t="s">
        <v>5836</v>
      </c>
      <c r="G3519" s="23" t="s">
        <v>32</v>
      </c>
      <c r="H3519" s="22"/>
      <c r="I3519" s="22" t="s">
        <v>172</v>
      </c>
      <c r="J3519" s="22" t="s">
        <v>132</v>
      </c>
      <c r="K3519" s="24" t="s">
        <v>7946</v>
      </c>
      <c r="L3519" s="24" t="s">
        <v>8043</v>
      </c>
      <c r="M3519" s="25" t="s">
        <v>5837</v>
      </c>
      <c r="N3519" s="22"/>
      <c r="O3519" s="22" t="s">
        <v>5838</v>
      </c>
      <c r="P3519" s="22" t="str">
        <f>HYPERLINK("https://ceds.ed.gov/cedselementdetails.aspx?termid=22551")</f>
        <v>https://ceds.ed.gov/cedselementdetails.aspx?termid=22551</v>
      </c>
      <c r="Q3519" s="22">
        <v>63007</v>
      </c>
    </row>
    <row r="3520" spans="1:17" ht="72" x14ac:dyDescent="0.3">
      <c r="A3520" s="22" t="s">
        <v>4116</v>
      </c>
      <c r="B3520" s="22" t="s">
        <v>7876</v>
      </c>
      <c r="C3520" s="22" t="s">
        <v>7740</v>
      </c>
      <c r="D3520" s="22" t="s">
        <v>7710</v>
      </c>
      <c r="E3520" s="22" t="s">
        <v>7621</v>
      </c>
      <c r="F3520" s="24" t="s">
        <v>7622</v>
      </c>
      <c r="G3520" s="26" t="s">
        <v>8496</v>
      </c>
      <c r="H3520" s="22"/>
      <c r="I3520" s="22" t="s">
        <v>172</v>
      </c>
      <c r="J3520" s="22"/>
      <c r="K3520" s="24" t="s">
        <v>7946</v>
      </c>
      <c r="L3520" s="24"/>
      <c r="M3520" s="25" t="s">
        <v>7623</v>
      </c>
      <c r="N3520" s="22"/>
      <c r="O3520" s="22" t="s">
        <v>7624</v>
      </c>
      <c r="P3520" s="22" t="str">
        <f>HYPERLINK("https://ceds.ed.gov/cedselementdetails.aspx?termid=22951")</f>
        <v>https://ceds.ed.gov/cedselementdetails.aspx?termid=22951</v>
      </c>
      <c r="Q3520" s="22">
        <v>63688</v>
      </c>
    </row>
    <row r="3521" spans="1:17" ht="302.39999999999998" x14ac:dyDescent="0.3">
      <c r="A3521" s="22" t="s">
        <v>4116</v>
      </c>
      <c r="B3521" s="22" t="s">
        <v>7876</v>
      </c>
      <c r="C3521" s="22" t="s">
        <v>7862</v>
      </c>
      <c r="D3521" s="22" t="s">
        <v>7710</v>
      </c>
      <c r="E3521" s="22" t="s">
        <v>7409</v>
      </c>
      <c r="F3521" s="24" t="s">
        <v>7410</v>
      </c>
      <c r="G3521" s="26" t="s">
        <v>9191</v>
      </c>
      <c r="H3521" s="22"/>
      <c r="I3521" s="22"/>
      <c r="J3521" s="22"/>
      <c r="K3521" s="24"/>
      <c r="L3521" s="24" t="s">
        <v>8350</v>
      </c>
      <c r="M3521" s="25" t="s">
        <v>7411</v>
      </c>
      <c r="N3521" s="22"/>
      <c r="O3521" s="22" t="s">
        <v>7412</v>
      </c>
      <c r="P3521" s="22" t="str">
        <f>HYPERLINK("https://ceds.ed.gov/cedselementdetails.aspx?termid=22000")</f>
        <v>https://ceds.ed.gov/cedselementdetails.aspx?termid=22000</v>
      </c>
      <c r="Q3521" s="22">
        <v>60470</v>
      </c>
    </row>
    <row r="3522" spans="1:17" ht="158.4" x14ac:dyDescent="0.3">
      <c r="A3522" s="22" t="s">
        <v>4116</v>
      </c>
      <c r="B3522" s="22" t="s">
        <v>7876</v>
      </c>
      <c r="C3522" s="22" t="s">
        <v>7862</v>
      </c>
      <c r="D3522" s="22" t="s">
        <v>7710</v>
      </c>
      <c r="E3522" s="22" t="s">
        <v>7405</v>
      </c>
      <c r="F3522" s="24" t="s">
        <v>7406</v>
      </c>
      <c r="G3522" s="23" t="s">
        <v>32</v>
      </c>
      <c r="H3522" s="22"/>
      <c r="I3522" s="22"/>
      <c r="J3522" s="22" t="s">
        <v>118</v>
      </c>
      <c r="K3522" s="24"/>
      <c r="L3522" s="24" t="s">
        <v>7402</v>
      </c>
      <c r="M3522" s="25" t="s">
        <v>7407</v>
      </c>
      <c r="N3522" s="22"/>
      <c r="O3522" s="22" t="s">
        <v>7408</v>
      </c>
      <c r="P3522" s="22" t="str">
        <f>HYPERLINK("https://ceds.ed.gov/cedselementdetails.aspx?termid=22001")</f>
        <v>https://ceds.ed.gov/cedselementdetails.aspx?termid=22001</v>
      </c>
      <c r="Q3522" s="22">
        <v>60471</v>
      </c>
    </row>
    <row r="3523" spans="1:17" ht="158.4" x14ac:dyDescent="0.3">
      <c r="A3523" s="22" t="s">
        <v>4116</v>
      </c>
      <c r="B3523" s="22" t="s">
        <v>7876</v>
      </c>
      <c r="C3523" s="22" t="s">
        <v>7862</v>
      </c>
      <c r="D3523" s="22" t="s">
        <v>7710</v>
      </c>
      <c r="E3523" s="22" t="s">
        <v>7399</v>
      </c>
      <c r="F3523" s="24" t="s">
        <v>7400</v>
      </c>
      <c r="G3523" s="23" t="s">
        <v>32</v>
      </c>
      <c r="H3523" s="22"/>
      <c r="I3523" s="22"/>
      <c r="J3523" s="22" t="s">
        <v>118</v>
      </c>
      <c r="K3523" s="24"/>
      <c r="L3523" s="24" t="s">
        <v>7402</v>
      </c>
      <c r="M3523" s="25" t="s">
        <v>7403</v>
      </c>
      <c r="N3523" s="22"/>
      <c r="O3523" s="22" t="s">
        <v>7404</v>
      </c>
      <c r="P3523" s="22" t="str">
        <f>HYPERLINK("https://ceds.ed.gov/cedselementdetails.aspx?termid=22002")</f>
        <v>https://ceds.ed.gov/cedselementdetails.aspx?termid=22002</v>
      </c>
      <c r="Q3523" s="22">
        <v>60472</v>
      </c>
    </row>
    <row r="3524" spans="1:17" ht="72" x14ac:dyDescent="0.3">
      <c r="A3524" s="22" t="s">
        <v>4116</v>
      </c>
      <c r="B3524" s="22" t="s">
        <v>7876</v>
      </c>
      <c r="C3524" s="22" t="s">
        <v>7862</v>
      </c>
      <c r="D3524" s="22" t="s">
        <v>7710</v>
      </c>
      <c r="E3524" s="22" t="s">
        <v>1942</v>
      </c>
      <c r="F3524" s="24" t="s">
        <v>1943</v>
      </c>
      <c r="G3524" s="26" t="s">
        <v>22</v>
      </c>
      <c r="H3524" s="22"/>
      <c r="I3524" s="22"/>
      <c r="J3524" s="22"/>
      <c r="K3524" s="24"/>
      <c r="L3524" s="24"/>
      <c r="M3524" s="25" t="s">
        <v>1944</v>
      </c>
      <c r="N3524" s="22"/>
      <c r="O3524" s="22" t="s">
        <v>1945</v>
      </c>
      <c r="P3524" s="22" t="str">
        <f>HYPERLINK("https://ceds.ed.gov/cedselementdetails.aspx?termid=22257")</f>
        <v>https://ceds.ed.gov/cedselementdetails.aspx?termid=22257</v>
      </c>
      <c r="Q3524" s="22">
        <v>62031</v>
      </c>
    </row>
    <row r="3525" spans="1:17" ht="43.2" x14ac:dyDescent="0.3">
      <c r="A3525" s="22" t="s">
        <v>4116</v>
      </c>
      <c r="B3525" s="22" t="s">
        <v>7876</v>
      </c>
      <c r="C3525" s="22" t="s">
        <v>7862</v>
      </c>
      <c r="D3525" s="22" t="s">
        <v>7710</v>
      </c>
      <c r="E3525" s="22" t="s">
        <v>1946</v>
      </c>
      <c r="F3525" s="24" t="s">
        <v>1947</v>
      </c>
      <c r="G3525" s="23" t="s">
        <v>32</v>
      </c>
      <c r="H3525" s="22"/>
      <c r="I3525" s="22"/>
      <c r="J3525" s="22" t="s">
        <v>118</v>
      </c>
      <c r="K3525" s="24"/>
      <c r="L3525" s="24"/>
      <c r="M3525" s="25" t="s">
        <v>1948</v>
      </c>
      <c r="N3525" s="22"/>
      <c r="O3525" s="22" t="s">
        <v>1949</v>
      </c>
      <c r="P3525" s="22" t="str">
        <f>HYPERLINK("https://ceds.ed.gov/cedselementdetails.aspx?termid=22563")</f>
        <v>https://ceds.ed.gov/cedselementdetails.aspx?termid=22563</v>
      </c>
      <c r="Q3525" s="22">
        <v>62049</v>
      </c>
    </row>
    <row r="3526" spans="1:17" ht="57.6" x14ac:dyDescent="0.3">
      <c r="A3526" s="22" t="s">
        <v>4116</v>
      </c>
      <c r="B3526" s="22" t="s">
        <v>7876</v>
      </c>
      <c r="C3526" s="22" t="s">
        <v>7862</v>
      </c>
      <c r="D3526" s="22" t="s">
        <v>7710</v>
      </c>
      <c r="E3526" s="22" t="s">
        <v>1937</v>
      </c>
      <c r="F3526" s="24" t="s">
        <v>1938</v>
      </c>
      <c r="G3526" s="23" t="s">
        <v>32</v>
      </c>
      <c r="H3526" s="22"/>
      <c r="I3526" s="22"/>
      <c r="J3526" s="22" t="s">
        <v>118</v>
      </c>
      <c r="K3526" s="24"/>
      <c r="L3526" s="24" t="s">
        <v>143</v>
      </c>
      <c r="M3526" s="25" t="s">
        <v>1940</v>
      </c>
      <c r="N3526" s="22"/>
      <c r="O3526" s="22" t="s">
        <v>1941</v>
      </c>
      <c r="P3526" s="22" t="str">
        <f>HYPERLINK("https://ceds.ed.gov/cedselementdetails.aspx?termid=22562")</f>
        <v>https://ceds.ed.gov/cedselementdetails.aspx?termid=22562</v>
      </c>
      <c r="Q3526" s="22">
        <v>62042</v>
      </c>
    </row>
    <row r="3527" spans="1:17" ht="216" x14ac:dyDescent="0.3">
      <c r="A3527" s="22" t="s">
        <v>4116</v>
      </c>
      <c r="B3527" s="22" t="s">
        <v>7876</v>
      </c>
      <c r="C3527" s="22" t="s">
        <v>7862</v>
      </c>
      <c r="D3527" s="22" t="s">
        <v>7710</v>
      </c>
      <c r="E3527" s="22" t="s">
        <v>7656</v>
      </c>
      <c r="F3527" s="24" t="s">
        <v>7657</v>
      </c>
      <c r="G3527" s="26" t="s">
        <v>8514</v>
      </c>
      <c r="H3527" s="22"/>
      <c r="I3527" s="22" t="s">
        <v>172</v>
      </c>
      <c r="J3527" s="22"/>
      <c r="K3527" s="24" t="s">
        <v>7995</v>
      </c>
      <c r="L3527" s="24"/>
      <c r="M3527" s="25" t="s">
        <v>7658</v>
      </c>
      <c r="N3527" s="22"/>
      <c r="O3527" s="22" t="s">
        <v>7656</v>
      </c>
      <c r="P3527" s="22" t="str">
        <f>HYPERLINK("https://ceds.ed.gov/cedselementdetails.aspx?termid=22959")</f>
        <v>https://ceds.ed.gov/cedselementdetails.aspx?termid=22959</v>
      </c>
      <c r="Q3527" s="22">
        <v>63689</v>
      </c>
    </row>
    <row r="3528" spans="1:17" ht="172.8" x14ac:dyDescent="0.3">
      <c r="A3528" s="22" t="s">
        <v>4116</v>
      </c>
      <c r="B3528" s="22" t="s">
        <v>7876</v>
      </c>
      <c r="C3528" s="22" t="s">
        <v>7716</v>
      </c>
      <c r="D3528" s="22" t="s">
        <v>7710</v>
      </c>
      <c r="E3528" s="22" t="s">
        <v>194</v>
      </c>
      <c r="F3528" s="24" t="s">
        <v>195</v>
      </c>
      <c r="G3528" s="26" t="s">
        <v>8575</v>
      </c>
      <c r="H3528" s="24" t="s">
        <v>198</v>
      </c>
      <c r="I3528" s="22"/>
      <c r="J3528" s="22" t="s">
        <v>85</v>
      </c>
      <c r="K3528" s="24"/>
      <c r="L3528" s="24"/>
      <c r="M3528" s="25" t="s">
        <v>196</v>
      </c>
      <c r="N3528" s="22"/>
      <c r="O3528" s="22" t="s">
        <v>197</v>
      </c>
      <c r="P3528" s="22" t="str">
        <f>HYPERLINK("https://ceds.ed.gov/cedselementdetails.aspx?termid=21358")</f>
        <v>https://ceds.ed.gov/cedselementdetails.aspx?termid=21358</v>
      </c>
      <c r="Q3528" s="22">
        <v>61943</v>
      </c>
    </row>
    <row r="3529" spans="1:17" ht="187.2" x14ac:dyDescent="0.3">
      <c r="A3529" s="22" t="s">
        <v>4116</v>
      </c>
      <c r="B3529" s="22" t="s">
        <v>7876</v>
      </c>
      <c r="C3529" s="22" t="s">
        <v>7716</v>
      </c>
      <c r="D3529" s="22" t="s">
        <v>7710</v>
      </c>
      <c r="E3529" s="22" t="s">
        <v>189</v>
      </c>
      <c r="F3529" s="24" t="s">
        <v>190</v>
      </c>
      <c r="G3529" s="23" t="s">
        <v>32</v>
      </c>
      <c r="H3529" s="24" t="s">
        <v>175</v>
      </c>
      <c r="I3529" s="22" t="s">
        <v>172</v>
      </c>
      <c r="J3529" s="22" t="s">
        <v>191</v>
      </c>
      <c r="K3529" s="24" t="s">
        <v>7946</v>
      </c>
      <c r="L3529" s="24"/>
      <c r="M3529" s="25" t="s">
        <v>192</v>
      </c>
      <c r="N3529" s="22"/>
      <c r="O3529" s="22" t="s">
        <v>193</v>
      </c>
      <c r="P3529" s="22" t="str">
        <f>HYPERLINK("https://ceds.ed.gov/cedselementdetails.aspx?termid=21269")</f>
        <v>https://ceds.ed.gov/cedselementdetails.aspx?termid=21269</v>
      </c>
      <c r="Q3529" s="22">
        <v>61994</v>
      </c>
    </row>
    <row r="3530" spans="1:17" ht="187.2" x14ac:dyDescent="0.3">
      <c r="A3530" s="22" t="s">
        <v>4116</v>
      </c>
      <c r="B3530" s="22" t="s">
        <v>7876</v>
      </c>
      <c r="C3530" s="22" t="s">
        <v>7716</v>
      </c>
      <c r="D3530" s="22" t="s">
        <v>7710</v>
      </c>
      <c r="E3530" s="22" t="s">
        <v>170</v>
      </c>
      <c r="F3530" s="24" t="s">
        <v>171</v>
      </c>
      <c r="G3530" s="23" t="s">
        <v>32</v>
      </c>
      <c r="H3530" s="24" t="s">
        <v>175</v>
      </c>
      <c r="I3530" s="22" t="s">
        <v>172</v>
      </c>
      <c r="J3530" s="22" t="s">
        <v>157</v>
      </c>
      <c r="K3530" s="24" t="s">
        <v>7946</v>
      </c>
      <c r="L3530" s="24"/>
      <c r="M3530" s="25" t="s">
        <v>173</v>
      </c>
      <c r="N3530" s="22"/>
      <c r="O3530" s="22" t="s">
        <v>174</v>
      </c>
      <c r="P3530" s="22" t="str">
        <f>HYPERLINK("https://ceds.ed.gov/cedselementdetails.aspx?termid=21019")</f>
        <v>https://ceds.ed.gov/cedselementdetails.aspx?termid=21019</v>
      </c>
      <c r="Q3530" s="22">
        <v>61945</v>
      </c>
    </row>
    <row r="3531" spans="1:17" ht="187.2" x14ac:dyDescent="0.3">
      <c r="A3531" s="22" t="s">
        <v>4116</v>
      </c>
      <c r="B3531" s="22" t="s">
        <v>7876</v>
      </c>
      <c r="C3531" s="22" t="s">
        <v>7716</v>
      </c>
      <c r="D3531" s="22" t="s">
        <v>7710</v>
      </c>
      <c r="E3531" s="22" t="s">
        <v>176</v>
      </c>
      <c r="F3531" s="24" t="s">
        <v>177</v>
      </c>
      <c r="G3531" s="23" t="s">
        <v>32</v>
      </c>
      <c r="H3531" s="24" t="s">
        <v>175</v>
      </c>
      <c r="I3531" s="22" t="s">
        <v>172</v>
      </c>
      <c r="J3531" s="22" t="s">
        <v>85</v>
      </c>
      <c r="K3531" s="24" t="s">
        <v>7946</v>
      </c>
      <c r="L3531" s="24"/>
      <c r="M3531" s="25" t="s">
        <v>178</v>
      </c>
      <c r="N3531" s="22"/>
      <c r="O3531" s="22" t="s">
        <v>179</v>
      </c>
      <c r="P3531" s="22" t="str">
        <f>HYPERLINK("https://ceds.ed.gov/cedselementdetails.aspx?termid=21040")</f>
        <v>https://ceds.ed.gov/cedselementdetails.aspx?termid=21040</v>
      </c>
      <c r="Q3531" s="22">
        <v>61949</v>
      </c>
    </row>
    <row r="3532" spans="1:17" ht="409.6" x14ac:dyDescent="0.3">
      <c r="A3532" s="22" t="s">
        <v>4116</v>
      </c>
      <c r="B3532" s="22" t="s">
        <v>7876</v>
      </c>
      <c r="C3532" s="22" t="s">
        <v>7716</v>
      </c>
      <c r="D3532" s="22" t="s">
        <v>7710</v>
      </c>
      <c r="E3532" s="22" t="s">
        <v>6941</v>
      </c>
      <c r="F3532" s="24" t="s">
        <v>6942</v>
      </c>
      <c r="G3532" s="26" t="s">
        <v>8533</v>
      </c>
      <c r="H3532" s="24" t="s">
        <v>6945</v>
      </c>
      <c r="I3532" s="22" t="s">
        <v>172</v>
      </c>
      <c r="J3532" s="22"/>
      <c r="K3532" s="24" t="s">
        <v>8327</v>
      </c>
      <c r="L3532" s="24"/>
      <c r="M3532" s="25" t="s">
        <v>6943</v>
      </c>
      <c r="N3532" s="22"/>
      <c r="O3532" s="22" t="s">
        <v>6944</v>
      </c>
      <c r="P3532" s="22" t="str">
        <f>HYPERLINK("https://ceds.ed.gov/cedselementdetails.aspx?termid=21267")</f>
        <v>https://ceds.ed.gov/cedselementdetails.aspx?termid=21267</v>
      </c>
      <c r="Q3532" s="22">
        <v>61993</v>
      </c>
    </row>
    <row r="3533" spans="1:17" ht="187.2" x14ac:dyDescent="0.3">
      <c r="A3533" s="22" t="s">
        <v>4116</v>
      </c>
      <c r="B3533" s="22" t="s">
        <v>7876</v>
      </c>
      <c r="C3533" s="22" t="s">
        <v>7716</v>
      </c>
      <c r="D3533" s="22" t="s">
        <v>7710</v>
      </c>
      <c r="E3533" s="22" t="s">
        <v>184</v>
      </c>
      <c r="F3533" s="24" t="s">
        <v>185</v>
      </c>
      <c r="G3533" s="23" t="s">
        <v>32</v>
      </c>
      <c r="H3533" s="24" t="s">
        <v>175</v>
      </c>
      <c r="I3533" s="22" t="s">
        <v>172</v>
      </c>
      <c r="J3533" s="22" t="s">
        <v>186</v>
      </c>
      <c r="K3533" s="24" t="s">
        <v>7946</v>
      </c>
      <c r="L3533" s="24"/>
      <c r="M3533" s="25" t="s">
        <v>187</v>
      </c>
      <c r="N3533" s="22"/>
      <c r="O3533" s="22" t="s">
        <v>188</v>
      </c>
      <c r="P3533" s="22" t="str">
        <f>HYPERLINK("https://ceds.ed.gov/cedselementdetails.aspx?termid=21214")</f>
        <v>https://ceds.ed.gov/cedselementdetails.aspx?termid=21214</v>
      </c>
      <c r="Q3533" s="22">
        <v>61986</v>
      </c>
    </row>
    <row r="3534" spans="1:17" ht="187.2" x14ac:dyDescent="0.3">
      <c r="A3534" s="22" t="s">
        <v>4116</v>
      </c>
      <c r="B3534" s="22" t="s">
        <v>7876</v>
      </c>
      <c r="C3534" s="22" t="s">
        <v>7716</v>
      </c>
      <c r="D3534" s="22" t="s">
        <v>7710</v>
      </c>
      <c r="E3534" s="22" t="s">
        <v>180</v>
      </c>
      <c r="F3534" s="24" t="s">
        <v>181</v>
      </c>
      <c r="G3534" s="23" t="s">
        <v>32</v>
      </c>
      <c r="H3534" s="24" t="s">
        <v>175</v>
      </c>
      <c r="I3534" s="22" t="s">
        <v>172</v>
      </c>
      <c r="J3534" s="22" t="s">
        <v>85</v>
      </c>
      <c r="K3534" s="24" t="s">
        <v>7946</v>
      </c>
      <c r="L3534" s="24"/>
      <c r="M3534" s="25" t="s">
        <v>182</v>
      </c>
      <c r="N3534" s="22"/>
      <c r="O3534" s="22" t="s">
        <v>183</v>
      </c>
      <c r="P3534" s="22" t="str">
        <f>HYPERLINK("https://ceds.ed.gov/cedselementdetails.aspx?termid=21190")</f>
        <v>https://ceds.ed.gov/cedselementdetails.aspx?termid=21190</v>
      </c>
      <c r="Q3534" s="22">
        <v>61975</v>
      </c>
    </row>
    <row r="3535" spans="1:17" ht="57.6" x14ac:dyDescent="0.3">
      <c r="A3535" s="22" t="s">
        <v>4116</v>
      </c>
      <c r="B3535" s="22" t="s">
        <v>7876</v>
      </c>
      <c r="C3535" s="22" t="s">
        <v>7716</v>
      </c>
      <c r="D3535" s="22" t="s">
        <v>7710</v>
      </c>
      <c r="E3535" s="22" t="s">
        <v>4982</v>
      </c>
      <c r="F3535" s="24" t="s">
        <v>4983</v>
      </c>
      <c r="G3535" s="23" t="s">
        <v>32</v>
      </c>
      <c r="H3535" s="22"/>
      <c r="I3535" s="22"/>
      <c r="J3535" s="22" t="s">
        <v>1165</v>
      </c>
      <c r="K3535" s="24"/>
      <c r="L3535" s="24"/>
      <c r="M3535" s="25" t="s">
        <v>4984</v>
      </c>
      <c r="N3535" s="22"/>
      <c r="O3535" s="22" t="s">
        <v>4982</v>
      </c>
      <c r="P3535" s="22" t="str">
        <f>HYPERLINK("https://ceds.ed.gov/cedselementdetails.aspx?termid=21599")</f>
        <v>https://ceds.ed.gov/cedselementdetails.aspx?termid=21599</v>
      </c>
      <c r="Q3535" s="22">
        <v>62273</v>
      </c>
    </row>
    <row r="3536" spans="1:17" ht="57.6" x14ac:dyDescent="0.3">
      <c r="A3536" s="22" t="s">
        <v>4116</v>
      </c>
      <c r="B3536" s="22" t="s">
        <v>7876</v>
      </c>
      <c r="C3536" s="22" t="s">
        <v>7716</v>
      </c>
      <c r="D3536" s="22" t="s">
        <v>7710</v>
      </c>
      <c r="E3536" s="22" t="s">
        <v>5372</v>
      </c>
      <c r="F3536" s="24" t="s">
        <v>5373</v>
      </c>
      <c r="G3536" s="23" t="s">
        <v>32</v>
      </c>
      <c r="H3536" s="22"/>
      <c r="I3536" s="22"/>
      <c r="J3536" s="22" t="s">
        <v>1165</v>
      </c>
      <c r="K3536" s="24"/>
      <c r="L3536" s="24"/>
      <c r="M3536" s="25" t="s">
        <v>5374</v>
      </c>
      <c r="N3536" s="22"/>
      <c r="O3536" s="22" t="s">
        <v>5372</v>
      </c>
      <c r="P3536" s="22" t="str">
        <f>HYPERLINK("https://ceds.ed.gov/cedselementdetails.aspx?termid=21600")</f>
        <v>https://ceds.ed.gov/cedselementdetails.aspx?termid=21600</v>
      </c>
      <c r="Q3536" s="22">
        <v>62296</v>
      </c>
    </row>
    <row r="3537" spans="1:17" ht="158.4" x14ac:dyDescent="0.3">
      <c r="A3537" s="22" t="s">
        <v>4116</v>
      </c>
      <c r="B3537" s="22" t="s">
        <v>7876</v>
      </c>
      <c r="C3537" s="22" t="s">
        <v>7716</v>
      </c>
      <c r="D3537" s="22" t="s">
        <v>7710</v>
      </c>
      <c r="E3537" s="22" t="s">
        <v>2536</v>
      </c>
      <c r="F3537" s="24" t="s">
        <v>2537</v>
      </c>
      <c r="G3537" s="23" t="s">
        <v>32</v>
      </c>
      <c r="H3537" s="22"/>
      <c r="I3537" s="22"/>
      <c r="J3537" s="22" t="s">
        <v>2538</v>
      </c>
      <c r="K3537" s="24"/>
      <c r="L3537" s="24"/>
      <c r="M3537" s="25" t="s">
        <v>2539</v>
      </c>
      <c r="N3537" s="22"/>
      <c r="O3537" s="22" t="s">
        <v>2540</v>
      </c>
      <c r="P3537" s="22" t="str">
        <f>HYPERLINK("https://ceds.ed.gov/cedselementdetails.aspx?termid=22176")</f>
        <v>https://ceds.ed.gov/cedselementdetails.aspx?termid=22176</v>
      </c>
      <c r="Q3537" s="22">
        <v>63444</v>
      </c>
    </row>
    <row r="3538" spans="1:17" ht="57.6" x14ac:dyDescent="0.3">
      <c r="A3538" s="22" t="s">
        <v>4116</v>
      </c>
      <c r="B3538" s="22" t="s">
        <v>7876</v>
      </c>
      <c r="C3538" s="22" t="s">
        <v>7716</v>
      </c>
      <c r="D3538" s="22" t="s">
        <v>7710</v>
      </c>
      <c r="E3538" s="22" t="s">
        <v>3228</v>
      </c>
      <c r="F3538" s="24" t="s">
        <v>3229</v>
      </c>
      <c r="G3538" s="26" t="s">
        <v>3039</v>
      </c>
      <c r="H3538" s="22"/>
      <c r="I3538" s="22" t="s">
        <v>172</v>
      </c>
      <c r="J3538" s="22"/>
      <c r="K3538" s="24" t="s">
        <v>7946</v>
      </c>
      <c r="L3538" s="24"/>
      <c r="M3538" s="25" t="s">
        <v>3230</v>
      </c>
      <c r="N3538" s="22"/>
      <c r="O3538" s="22" t="s">
        <v>3231</v>
      </c>
      <c r="P3538" s="22" t="str">
        <f>HYPERLINK("https://ceds.ed.gov/cedselementdetails.aspx?termid=22905")</f>
        <v>https://ceds.ed.gov/cedselementdetails.aspx?termid=22905</v>
      </c>
      <c r="Q3538" s="22">
        <v>63445</v>
      </c>
    </row>
    <row r="3539" spans="1:17" ht="86.4" x14ac:dyDescent="0.3">
      <c r="A3539" s="22" t="s">
        <v>4116</v>
      </c>
      <c r="B3539" s="22" t="s">
        <v>7876</v>
      </c>
      <c r="C3539" s="22" t="s">
        <v>7717</v>
      </c>
      <c r="D3539" s="22" t="s">
        <v>7710</v>
      </c>
      <c r="E3539" s="22" t="s">
        <v>7168</v>
      </c>
      <c r="F3539" s="24" t="s">
        <v>7169</v>
      </c>
      <c r="G3539" s="26" t="s">
        <v>9168</v>
      </c>
      <c r="H3539" s="24" t="s">
        <v>64</v>
      </c>
      <c r="I3539" s="22"/>
      <c r="J3539" s="22" t="s">
        <v>2543</v>
      </c>
      <c r="K3539" s="24"/>
      <c r="L3539" s="24"/>
      <c r="M3539" s="25" t="s">
        <v>7170</v>
      </c>
      <c r="N3539" s="22"/>
      <c r="O3539" s="22" t="s">
        <v>7171</v>
      </c>
      <c r="P3539" s="22" t="str">
        <f>HYPERLINK("https://ceds.ed.gov/cedselementdetails.aspx?termid=21280")</f>
        <v>https://ceds.ed.gov/cedselementdetails.aspx?termid=21280</v>
      </c>
      <c r="Q3539" s="22">
        <v>61996</v>
      </c>
    </row>
    <row r="3540" spans="1:17" ht="72" x14ac:dyDescent="0.3">
      <c r="A3540" s="22" t="s">
        <v>4116</v>
      </c>
      <c r="B3540" s="22" t="s">
        <v>7876</v>
      </c>
      <c r="C3540" s="22" t="s">
        <v>7717</v>
      </c>
      <c r="D3540" s="22" t="s">
        <v>7710</v>
      </c>
      <c r="E3540" s="22" t="s">
        <v>5965</v>
      </c>
      <c r="F3540" s="24" t="s">
        <v>5966</v>
      </c>
      <c r="G3540" s="26" t="s">
        <v>22</v>
      </c>
      <c r="H3540" s="24" t="s">
        <v>64</v>
      </c>
      <c r="I3540" s="22"/>
      <c r="J3540" s="22"/>
      <c r="K3540" s="24"/>
      <c r="L3540" s="24"/>
      <c r="M3540" s="25" t="s">
        <v>5967</v>
      </c>
      <c r="N3540" s="22"/>
      <c r="O3540" s="22" t="s">
        <v>5968</v>
      </c>
      <c r="P3540" s="22" t="str">
        <f>HYPERLINK("https://ceds.ed.gov/cedselementdetails.aspx?termid=21219")</f>
        <v>https://ceds.ed.gov/cedselementdetails.aspx?termid=21219</v>
      </c>
      <c r="Q3540" s="22">
        <v>61987</v>
      </c>
    </row>
    <row r="3541" spans="1:17" ht="72" x14ac:dyDescent="0.3">
      <c r="A3541" s="22" t="s">
        <v>4116</v>
      </c>
      <c r="B3541" s="22" t="s">
        <v>7876</v>
      </c>
      <c r="C3541" s="22" t="s">
        <v>7717</v>
      </c>
      <c r="D3541" s="22" t="s">
        <v>7710</v>
      </c>
      <c r="E3541" s="22" t="s">
        <v>7159</v>
      </c>
      <c r="F3541" s="24" t="s">
        <v>7160</v>
      </c>
      <c r="G3541" s="23" t="s">
        <v>32</v>
      </c>
      <c r="H3541" s="24" t="s">
        <v>64</v>
      </c>
      <c r="I3541" s="22"/>
      <c r="J3541" s="22" t="s">
        <v>7161</v>
      </c>
      <c r="K3541" s="24"/>
      <c r="L3541" s="24"/>
      <c r="M3541" s="25" t="s">
        <v>7162</v>
      </c>
      <c r="N3541" s="22"/>
      <c r="O3541" s="22" t="s">
        <v>7163</v>
      </c>
      <c r="P3541" s="22" t="str">
        <f>HYPERLINK("https://ceds.ed.gov/cedselementdetails.aspx?termid=21279")</f>
        <v>https://ceds.ed.gov/cedselementdetails.aspx?termid=21279</v>
      </c>
      <c r="Q3541" s="22">
        <v>61995</v>
      </c>
    </row>
    <row r="3542" spans="1:17" ht="57.6" x14ac:dyDescent="0.3">
      <c r="A3542" s="22" t="s">
        <v>4116</v>
      </c>
      <c r="B3542" s="22" t="s">
        <v>7876</v>
      </c>
      <c r="C3542" s="22" t="s">
        <v>7717</v>
      </c>
      <c r="D3542" s="22" t="s">
        <v>7710</v>
      </c>
      <c r="E3542" s="22" t="s">
        <v>3228</v>
      </c>
      <c r="F3542" s="24" t="s">
        <v>3229</v>
      </c>
      <c r="G3542" s="26" t="s">
        <v>3039</v>
      </c>
      <c r="H3542" s="22"/>
      <c r="I3542" s="22" t="s">
        <v>172</v>
      </c>
      <c r="J3542" s="22"/>
      <c r="K3542" s="24" t="s">
        <v>7946</v>
      </c>
      <c r="L3542" s="24"/>
      <c r="M3542" s="25" t="s">
        <v>3230</v>
      </c>
      <c r="N3542" s="22"/>
      <c r="O3542" s="22" t="s">
        <v>3231</v>
      </c>
      <c r="P3542" s="22" t="str">
        <f>HYPERLINK("https://ceds.ed.gov/cedselementdetails.aspx?termid=22905")</f>
        <v>https://ceds.ed.gov/cedselementdetails.aspx?termid=22905</v>
      </c>
      <c r="Q3542" s="22">
        <v>63447</v>
      </c>
    </row>
    <row r="3543" spans="1:17" ht="57.6" x14ac:dyDescent="0.3">
      <c r="A3543" s="22" t="s">
        <v>4116</v>
      </c>
      <c r="B3543" s="22" t="s">
        <v>7876</v>
      </c>
      <c r="C3543" s="22" t="s">
        <v>7717</v>
      </c>
      <c r="D3543" s="22" t="s">
        <v>7710</v>
      </c>
      <c r="E3543" s="22" t="s">
        <v>7164</v>
      </c>
      <c r="F3543" s="24" t="s">
        <v>7165</v>
      </c>
      <c r="G3543" s="26" t="s">
        <v>9167</v>
      </c>
      <c r="H3543" s="22"/>
      <c r="I3543" s="22"/>
      <c r="J3543" s="22"/>
      <c r="K3543" s="24"/>
      <c r="L3543" s="24"/>
      <c r="M3543" s="25" t="s">
        <v>7166</v>
      </c>
      <c r="N3543" s="22"/>
      <c r="O3543" s="22" t="s">
        <v>7167</v>
      </c>
      <c r="P3543" s="22" t="str">
        <f>HYPERLINK("https://ceds.ed.gov/cedselementdetails.aspx?termid=22911")</f>
        <v>https://ceds.ed.gov/cedselementdetails.aspx?termid=22911</v>
      </c>
      <c r="Q3543" s="22">
        <v>63448</v>
      </c>
    </row>
    <row r="3544" spans="1:17" ht="72" x14ac:dyDescent="0.3">
      <c r="A3544" s="22" t="s">
        <v>4116</v>
      </c>
      <c r="B3544" s="22" t="s">
        <v>7876</v>
      </c>
      <c r="C3544" s="22" t="s">
        <v>7718</v>
      </c>
      <c r="D3544" s="22" t="s">
        <v>7710</v>
      </c>
      <c r="E3544" s="22" t="s">
        <v>3467</v>
      </c>
      <c r="F3544" s="24" t="s">
        <v>3468</v>
      </c>
      <c r="G3544" s="26" t="s">
        <v>8430</v>
      </c>
      <c r="H3544" s="24" t="s">
        <v>64</v>
      </c>
      <c r="I3544" s="22" t="s">
        <v>172</v>
      </c>
      <c r="J3544" s="22"/>
      <c r="K3544" s="24" t="s">
        <v>7946</v>
      </c>
      <c r="L3544" s="24"/>
      <c r="M3544" s="25" t="s">
        <v>3469</v>
      </c>
      <c r="N3544" s="22" t="s">
        <v>3470</v>
      </c>
      <c r="O3544" s="22" t="s">
        <v>3471</v>
      </c>
      <c r="P3544" s="22" t="str">
        <f>HYPERLINK("https://ceds.ed.gov/cedselementdetails.aspx?termid=21089")</f>
        <v>https://ceds.ed.gov/cedselementdetails.aspx?termid=21089</v>
      </c>
      <c r="Q3544" s="22">
        <v>61970</v>
      </c>
    </row>
    <row r="3545" spans="1:17" ht="72" x14ac:dyDescent="0.3">
      <c r="A3545" s="22" t="s">
        <v>4116</v>
      </c>
      <c r="B3545" s="22" t="s">
        <v>7876</v>
      </c>
      <c r="C3545" s="22" t="s">
        <v>7718</v>
      </c>
      <c r="D3545" s="22" t="s">
        <v>7710</v>
      </c>
      <c r="E3545" s="22" t="s">
        <v>3461</v>
      </c>
      <c r="F3545" s="24" t="s">
        <v>3462</v>
      </c>
      <c r="G3545" s="23" t="s">
        <v>32</v>
      </c>
      <c r="H3545" s="24" t="s">
        <v>64</v>
      </c>
      <c r="I3545" s="22" t="s">
        <v>172</v>
      </c>
      <c r="J3545" s="22" t="s">
        <v>3463</v>
      </c>
      <c r="K3545" s="24" t="s">
        <v>7946</v>
      </c>
      <c r="L3545" s="24"/>
      <c r="M3545" s="25" t="s">
        <v>3464</v>
      </c>
      <c r="N3545" s="22" t="s">
        <v>3465</v>
      </c>
      <c r="O3545" s="22" t="s">
        <v>3466</v>
      </c>
      <c r="P3545" s="22" t="str">
        <f>HYPERLINK("https://ceds.ed.gov/cedselementdetails.aspx?termid=21088")</f>
        <v>https://ceds.ed.gov/cedselementdetails.aspx?termid=21088</v>
      </c>
      <c r="Q3545" s="22">
        <v>61968</v>
      </c>
    </row>
    <row r="3546" spans="1:17" ht="57.6" x14ac:dyDescent="0.3">
      <c r="A3546" s="22" t="s">
        <v>4116</v>
      </c>
      <c r="B3546" s="22" t="s">
        <v>7876</v>
      </c>
      <c r="C3546" s="22" t="s">
        <v>7718</v>
      </c>
      <c r="D3546" s="22" t="s">
        <v>7710</v>
      </c>
      <c r="E3546" s="22" t="s">
        <v>3228</v>
      </c>
      <c r="F3546" s="24" t="s">
        <v>3229</v>
      </c>
      <c r="G3546" s="26" t="s">
        <v>3039</v>
      </c>
      <c r="H3546" s="22"/>
      <c r="I3546" s="22" t="s">
        <v>172</v>
      </c>
      <c r="J3546" s="22"/>
      <c r="K3546" s="24" t="s">
        <v>7946</v>
      </c>
      <c r="L3546" s="24"/>
      <c r="M3546" s="25" t="s">
        <v>3230</v>
      </c>
      <c r="N3546" s="22"/>
      <c r="O3546" s="22" t="s">
        <v>3231</v>
      </c>
      <c r="P3546" s="22" t="str">
        <f>HYPERLINK("https://ceds.ed.gov/cedselementdetails.aspx?termid=22905")</f>
        <v>https://ceds.ed.gov/cedselementdetails.aspx?termid=22905</v>
      </c>
      <c r="Q3546" s="22">
        <v>63446</v>
      </c>
    </row>
    <row r="3547" spans="1:17" ht="201.6" x14ac:dyDescent="0.3">
      <c r="A3547" s="22" t="s">
        <v>4116</v>
      </c>
      <c r="B3547" s="22" t="s">
        <v>7876</v>
      </c>
      <c r="C3547" s="22" t="s">
        <v>7742</v>
      </c>
      <c r="D3547" s="22" t="s">
        <v>7710</v>
      </c>
      <c r="E3547" s="22" t="s">
        <v>1544</v>
      </c>
      <c r="F3547" s="24" t="s">
        <v>1545</v>
      </c>
      <c r="G3547" s="23" t="s">
        <v>32</v>
      </c>
      <c r="H3547" s="24" t="s">
        <v>1547</v>
      </c>
      <c r="I3547" s="22"/>
      <c r="J3547" s="22" t="s">
        <v>118</v>
      </c>
      <c r="K3547" s="24"/>
      <c r="L3547" s="24"/>
      <c r="M3547" s="25" t="s">
        <v>1546</v>
      </c>
      <c r="N3547" s="22"/>
      <c r="O3547" s="22" t="s">
        <v>1544</v>
      </c>
      <c r="P3547" s="22" t="str">
        <f>HYPERLINK("https://ceds.ed.gov/cedselementdetails.aspx?termid=21033")</f>
        <v>https://ceds.ed.gov/cedselementdetails.aspx?termid=21033</v>
      </c>
      <c r="Q3547" s="22">
        <v>61947</v>
      </c>
    </row>
    <row r="3548" spans="1:17" ht="216" x14ac:dyDescent="0.3">
      <c r="A3548" s="22" t="s">
        <v>4116</v>
      </c>
      <c r="B3548" s="22" t="s">
        <v>7876</v>
      </c>
      <c r="C3548" s="22" t="s">
        <v>7742</v>
      </c>
      <c r="D3548" s="22" t="s">
        <v>7710</v>
      </c>
      <c r="E3548" s="22" t="s">
        <v>6763</v>
      </c>
      <c r="F3548" s="24" t="s">
        <v>6764</v>
      </c>
      <c r="G3548" s="26" t="s">
        <v>9142</v>
      </c>
      <c r="H3548" s="24" t="s">
        <v>6767</v>
      </c>
      <c r="I3548" s="22"/>
      <c r="J3548" s="22"/>
      <c r="K3548" s="24"/>
      <c r="L3548" s="24" t="s">
        <v>6765</v>
      </c>
      <c r="M3548" s="25" t="s">
        <v>6766</v>
      </c>
      <c r="N3548" s="22"/>
      <c r="O3548" s="22" t="s">
        <v>6763</v>
      </c>
      <c r="P3548" s="22" t="str">
        <f>HYPERLINK("https://ceds.ed.gov/cedselementdetails.aspx?termid=21255")</f>
        <v>https://ceds.ed.gov/cedselementdetails.aspx?termid=21255</v>
      </c>
      <c r="Q3548" s="22">
        <v>61992</v>
      </c>
    </row>
    <row r="3549" spans="1:17" ht="201.6" x14ac:dyDescent="0.3">
      <c r="A3549" s="22" t="s">
        <v>4116</v>
      </c>
      <c r="B3549" s="22" t="s">
        <v>7876</v>
      </c>
      <c r="C3549" s="22" t="s">
        <v>7742</v>
      </c>
      <c r="D3549" s="22" t="s">
        <v>7710</v>
      </c>
      <c r="E3549" s="22" t="s">
        <v>360</v>
      </c>
      <c r="F3549" s="24" t="s">
        <v>361</v>
      </c>
      <c r="G3549" s="26" t="s">
        <v>8601</v>
      </c>
      <c r="H3549" s="24" t="s">
        <v>365</v>
      </c>
      <c r="I3549" s="22"/>
      <c r="J3549" s="22"/>
      <c r="K3549" s="24"/>
      <c r="L3549" s="24" t="s">
        <v>7958</v>
      </c>
      <c r="M3549" s="25" t="s">
        <v>362</v>
      </c>
      <c r="N3549" s="22" t="s">
        <v>363</v>
      </c>
      <c r="O3549" s="22" t="s">
        <v>364</v>
      </c>
      <c r="P3549" s="22" t="str">
        <f>HYPERLINK("https://ceds.ed.gov/cedselementdetails.aspx?termid=21655")</f>
        <v>https://ceds.ed.gov/cedselementdetails.aspx?termid=21655</v>
      </c>
      <c r="Q3549" s="22">
        <v>61944</v>
      </c>
    </row>
    <row r="3550" spans="1:17" ht="201.6" x14ac:dyDescent="0.3">
      <c r="A3550" s="22" t="s">
        <v>4116</v>
      </c>
      <c r="B3550" s="22" t="s">
        <v>7876</v>
      </c>
      <c r="C3550" s="22" t="s">
        <v>7742</v>
      </c>
      <c r="D3550" s="22" t="s">
        <v>7710</v>
      </c>
      <c r="E3550" s="22" t="s">
        <v>400</v>
      </c>
      <c r="F3550" s="24" t="s">
        <v>401</v>
      </c>
      <c r="G3550" s="26" t="s">
        <v>8601</v>
      </c>
      <c r="H3550" s="24" t="s">
        <v>365</v>
      </c>
      <c r="I3550" s="22"/>
      <c r="J3550" s="22"/>
      <c r="K3550" s="24"/>
      <c r="L3550" s="24" t="s">
        <v>7958</v>
      </c>
      <c r="M3550" s="25" t="s">
        <v>402</v>
      </c>
      <c r="N3550" s="22" t="s">
        <v>403</v>
      </c>
      <c r="O3550" s="22" t="s">
        <v>400</v>
      </c>
      <c r="P3550" s="22" t="str">
        <f>HYPERLINK("https://ceds.ed.gov/cedselementdetails.aspx?termid=21656")</f>
        <v>https://ceds.ed.gov/cedselementdetails.aspx?termid=21656</v>
      </c>
      <c r="Q3550" s="22">
        <v>61946</v>
      </c>
    </row>
    <row r="3551" spans="1:17" ht="201.6" x14ac:dyDescent="0.3">
      <c r="A3551" s="22" t="s">
        <v>4116</v>
      </c>
      <c r="B3551" s="22" t="s">
        <v>7876</v>
      </c>
      <c r="C3551" s="22" t="s">
        <v>7742</v>
      </c>
      <c r="D3551" s="22" t="s">
        <v>7710</v>
      </c>
      <c r="E3551" s="22" t="s">
        <v>1554</v>
      </c>
      <c r="F3551" s="24" t="s">
        <v>1555</v>
      </c>
      <c r="G3551" s="26" t="s">
        <v>8601</v>
      </c>
      <c r="H3551" s="24" t="s">
        <v>365</v>
      </c>
      <c r="I3551" s="22"/>
      <c r="J3551" s="22"/>
      <c r="K3551" s="24"/>
      <c r="L3551" s="24" t="s">
        <v>7958</v>
      </c>
      <c r="M3551" s="25" t="s">
        <v>1556</v>
      </c>
      <c r="N3551" s="22" t="s">
        <v>1557</v>
      </c>
      <c r="O3551" s="22" t="s">
        <v>1558</v>
      </c>
      <c r="P3551" s="22" t="str">
        <f>HYPERLINK("https://ceds.ed.gov/cedselementdetails.aspx?termid=21657")</f>
        <v>https://ceds.ed.gov/cedselementdetails.aspx?termid=21657</v>
      </c>
      <c r="Q3551" s="22">
        <v>61948</v>
      </c>
    </row>
    <row r="3552" spans="1:17" ht="201.6" x14ac:dyDescent="0.3">
      <c r="A3552" s="22" t="s">
        <v>4116</v>
      </c>
      <c r="B3552" s="22" t="s">
        <v>7876</v>
      </c>
      <c r="C3552" s="22" t="s">
        <v>7742</v>
      </c>
      <c r="D3552" s="22" t="s">
        <v>7710</v>
      </c>
      <c r="E3552" s="22" t="s">
        <v>5548</v>
      </c>
      <c r="F3552" s="24" t="s">
        <v>5549</v>
      </c>
      <c r="G3552" s="26" t="s">
        <v>8601</v>
      </c>
      <c r="H3552" s="24" t="s">
        <v>365</v>
      </c>
      <c r="I3552" s="22"/>
      <c r="J3552" s="22"/>
      <c r="K3552" s="24"/>
      <c r="L3552" s="24" t="s">
        <v>7958</v>
      </c>
      <c r="M3552" s="25" t="s">
        <v>5550</v>
      </c>
      <c r="N3552" s="22" t="s">
        <v>5551</v>
      </c>
      <c r="O3552" s="22" t="s">
        <v>5552</v>
      </c>
      <c r="P3552" s="22" t="str">
        <f>HYPERLINK("https://ceds.ed.gov/cedselementdetails.aspx?termid=21658")</f>
        <v>https://ceds.ed.gov/cedselementdetails.aspx?termid=21658</v>
      </c>
      <c r="Q3552" s="22">
        <v>61977</v>
      </c>
    </row>
    <row r="3553" spans="1:17" ht="201.6" x14ac:dyDescent="0.3">
      <c r="A3553" s="22" t="s">
        <v>4116</v>
      </c>
      <c r="B3553" s="22" t="s">
        <v>7876</v>
      </c>
      <c r="C3553" s="22" t="s">
        <v>7742</v>
      </c>
      <c r="D3553" s="22" t="s">
        <v>7710</v>
      </c>
      <c r="E3553" s="22" t="s">
        <v>7390</v>
      </c>
      <c r="F3553" s="24" t="s">
        <v>7391</v>
      </c>
      <c r="G3553" s="26" t="s">
        <v>8601</v>
      </c>
      <c r="H3553" s="24" t="s">
        <v>365</v>
      </c>
      <c r="I3553" s="22"/>
      <c r="J3553" s="22"/>
      <c r="K3553" s="24"/>
      <c r="L3553" s="24" t="s">
        <v>7958</v>
      </c>
      <c r="M3553" s="25" t="s">
        <v>7392</v>
      </c>
      <c r="N3553" s="22" t="s">
        <v>7393</v>
      </c>
      <c r="O3553" s="22" t="s">
        <v>7390</v>
      </c>
      <c r="P3553" s="22" t="str">
        <f>HYPERLINK("https://ceds.ed.gov/cedselementdetails.aspx?termid=21659")</f>
        <v>https://ceds.ed.gov/cedselementdetails.aspx?termid=21659</v>
      </c>
      <c r="Q3553" s="22">
        <v>61999</v>
      </c>
    </row>
    <row r="3554" spans="1:17" ht="201.6" x14ac:dyDescent="0.3">
      <c r="A3554" s="22" t="s">
        <v>4116</v>
      </c>
      <c r="B3554" s="22" t="s">
        <v>7876</v>
      </c>
      <c r="C3554" s="22" t="s">
        <v>7742</v>
      </c>
      <c r="D3554" s="22" t="s">
        <v>7710</v>
      </c>
      <c r="E3554" s="22" t="s">
        <v>4347</v>
      </c>
      <c r="F3554" s="24" t="s">
        <v>4348</v>
      </c>
      <c r="G3554" s="26" t="s">
        <v>8601</v>
      </c>
      <c r="H3554" s="24" t="s">
        <v>365</v>
      </c>
      <c r="I3554" s="22"/>
      <c r="J3554" s="22"/>
      <c r="K3554" s="24"/>
      <c r="L3554" s="24" t="s">
        <v>7958</v>
      </c>
      <c r="M3554" s="25" t="s">
        <v>4349</v>
      </c>
      <c r="N3554" s="22"/>
      <c r="O3554" s="22" t="s">
        <v>4350</v>
      </c>
      <c r="P3554" s="22" t="str">
        <f>HYPERLINK("https://ceds.ed.gov/cedselementdetails.aspx?termid=21144")</f>
        <v>https://ceds.ed.gov/cedselementdetails.aspx?termid=21144</v>
      </c>
      <c r="Q3554" s="22">
        <v>61974</v>
      </c>
    </row>
    <row r="3555" spans="1:17" ht="100.8" x14ac:dyDescent="0.3">
      <c r="A3555" s="22" t="s">
        <v>4116</v>
      </c>
      <c r="B3555" s="22" t="s">
        <v>7876</v>
      </c>
      <c r="C3555" s="22" t="s">
        <v>7742</v>
      </c>
      <c r="D3555" s="22" t="s">
        <v>7710</v>
      </c>
      <c r="E3555" s="22" t="s">
        <v>5486</v>
      </c>
      <c r="F3555" s="24" t="s">
        <v>8254</v>
      </c>
      <c r="G3555" s="26" t="s">
        <v>9036</v>
      </c>
      <c r="H3555" s="22"/>
      <c r="I3555" s="22"/>
      <c r="J3555" s="22"/>
      <c r="K3555" s="24"/>
      <c r="L3555" s="24"/>
      <c r="M3555" s="25" t="s">
        <v>5487</v>
      </c>
      <c r="N3555" s="22"/>
      <c r="O3555" s="22" t="s">
        <v>5488</v>
      </c>
      <c r="P3555" s="22" t="str">
        <f>HYPERLINK("https://ceds.ed.gov/cedselementdetails.aspx?termid=22621")</f>
        <v>https://ceds.ed.gov/cedselementdetails.aspx?termid=22621</v>
      </c>
      <c r="Q3555" s="22">
        <v>62312</v>
      </c>
    </row>
    <row r="3556" spans="1:17" ht="57.6" x14ac:dyDescent="0.3">
      <c r="A3556" s="22" t="s">
        <v>4116</v>
      </c>
      <c r="B3556" s="22" t="s">
        <v>7876</v>
      </c>
      <c r="C3556" s="22" t="s">
        <v>7742</v>
      </c>
      <c r="D3556" s="22" t="s">
        <v>7710</v>
      </c>
      <c r="E3556" s="22" t="s">
        <v>5481</v>
      </c>
      <c r="F3556" s="24" t="s">
        <v>5482</v>
      </c>
      <c r="G3556" s="26" t="s">
        <v>9035</v>
      </c>
      <c r="H3556" s="22"/>
      <c r="I3556" s="22"/>
      <c r="J3556" s="22"/>
      <c r="K3556" s="24"/>
      <c r="L3556" s="24"/>
      <c r="M3556" s="25" t="s">
        <v>5484</v>
      </c>
      <c r="N3556" s="22"/>
      <c r="O3556" s="22" t="s">
        <v>5485</v>
      </c>
      <c r="P3556" s="22" t="str">
        <f>HYPERLINK("https://ceds.ed.gov/cedselementdetails.aspx?termid=22556")</f>
        <v>https://ceds.ed.gov/cedselementdetails.aspx?termid=22556</v>
      </c>
      <c r="Q3556" s="22">
        <v>62089</v>
      </c>
    </row>
    <row r="3557" spans="1:17" ht="57.6" x14ac:dyDescent="0.3">
      <c r="A3557" s="22" t="s">
        <v>4116</v>
      </c>
      <c r="B3557" s="22" t="s">
        <v>7876</v>
      </c>
      <c r="C3557" s="22" t="s">
        <v>7742</v>
      </c>
      <c r="D3557" s="22" t="s">
        <v>7710</v>
      </c>
      <c r="E3557" s="22" t="s">
        <v>5497</v>
      </c>
      <c r="F3557" s="24" t="s">
        <v>5498</v>
      </c>
      <c r="G3557" s="26" t="s">
        <v>9038</v>
      </c>
      <c r="H3557" s="22"/>
      <c r="I3557" s="22"/>
      <c r="J3557" s="22"/>
      <c r="K3557" s="24"/>
      <c r="L3557" s="24"/>
      <c r="M3557" s="25" t="s">
        <v>5499</v>
      </c>
      <c r="N3557" s="22"/>
      <c r="O3557" s="22" t="s">
        <v>5500</v>
      </c>
      <c r="P3557" s="22" t="str">
        <f>HYPERLINK("https://ceds.ed.gov/cedselementdetails.aspx?termid=22557")</f>
        <v>https://ceds.ed.gov/cedselementdetails.aspx?termid=22557</v>
      </c>
      <c r="Q3557" s="22">
        <v>62090</v>
      </c>
    </row>
    <row r="3558" spans="1:17" ht="72" x14ac:dyDescent="0.3">
      <c r="A3558" s="22" t="s">
        <v>4116</v>
      </c>
      <c r="B3558" s="22" t="s">
        <v>7876</v>
      </c>
      <c r="C3558" s="22" t="s">
        <v>7742</v>
      </c>
      <c r="D3558" s="22" t="s">
        <v>7710</v>
      </c>
      <c r="E3558" s="22" t="s">
        <v>3090</v>
      </c>
      <c r="F3558" s="24" t="s">
        <v>3091</v>
      </c>
      <c r="G3558" s="26" t="s">
        <v>22</v>
      </c>
      <c r="H3558" s="22"/>
      <c r="I3558" s="22"/>
      <c r="J3558" s="22"/>
      <c r="K3558" s="24"/>
      <c r="L3558" s="24" t="s">
        <v>3092</v>
      </c>
      <c r="M3558" s="25" t="s">
        <v>3093</v>
      </c>
      <c r="N3558" s="22"/>
      <c r="O3558" s="22" t="s">
        <v>3094</v>
      </c>
      <c r="P3558" s="22" t="str">
        <f>HYPERLINK("https://ceds.ed.gov/cedselementdetails.aspx?termid=21974")</f>
        <v>https://ceds.ed.gov/cedselementdetails.aspx?termid=21974</v>
      </c>
      <c r="Q3558" s="22">
        <v>63181</v>
      </c>
    </row>
    <row r="3559" spans="1:17" ht="409.6" x14ac:dyDescent="0.3">
      <c r="A3559" s="22" t="s">
        <v>4116</v>
      </c>
      <c r="B3559" s="22" t="s">
        <v>7876</v>
      </c>
      <c r="C3559" s="22" t="s">
        <v>7742</v>
      </c>
      <c r="D3559" s="22" t="s">
        <v>7710</v>
      </c>
      <c r="E3559" s="22" t="s">
        <v>2531</v>
      </c>
      <c r="F3559" s="24" t="s">
        <v>2532</v>
      </c>
      <c r="G3559" s="26" t="s">
        <v>8743</v>
      </c>
      <c r="H3559" s="24" t="s">
        <v>2535</v>
      </c>
      <c r="I3559" s="22"/>
      <c r="J3559" s="22"/>
      <c r="K3559" s="24"/>
      <c r="L3559" s="24" t="s">
        <v>8055</v>
      </c>
      <c r="M3559" s="25" t="s">
        <v>2533</v>
      </c>
      <c r="N3559" s="22"/>
      <c r="O3559" s="22" t="s">
        <v>2534</v>
      </c>
      <c r="P3559" s="22" t="str">
        <f>HYPERLINK("https://ceds.ed.gov/cedselementdetails.aspx?termid=21051")</f>
        <v>https://ceds.ed.gov/cedselementdetails.aspx?termid=21051</v>
      </c>
      <c r="Q3559" s="22">
        <v>63449</v>
      </c>
    </row>
    <row r="3560" spans="1:17" ht="57.6" x14ac:dyDescent="0.3">
      <c r="A3560" s="22" t="s">
        <v>4116</v>
      </c>
      <c r="B3560" s="22" t="s">
        <v>7876</v>
      </c>
      <c r="C3560" s="22" t="s">
        <v>7742</v>
      </c>
      <c r="D3560" s="22" t="s">
        <v>7710</v>
      </c>
      <c r="E3560" s="22" t="s">
        <v>7528</v>
      </c>
      <c r="F3560" s="24" t="s">
        <v>7529</v>
      </c>
      <c r="G3560" s="26" t="s">
        <v>22</v>
      </c>
      <c r="H3560" s="22"/>
      <c r="I3560" s="22"/>
      <c r="J3560" s="22"/>
      <c r="K3560" s="24"/>
      <c r="L3560" s="24"/>
      <c r="M3560" s="25" t="s">
        <v>7530</v>
      </c>
      <c r="N3560" s="22"/>
      <c r="O3560" s="22" t="s">
        <v>7531</v>
      </c>
      <c r="P3560" s="22" t="str">
        <f>HYPERLINK("https://ceds.ed.gov/cedselementdetails.aspx?termid=22932")</f>
        <v>https://ceds.ed.gov/cedselementdetails.aspx?termid=22932</v>
      </c>
      <c r="Q3560" s="22">
        <v>63681</v>
      </c>
    </row>
    <row r="3561" spans="1:17" ht="115.2" x14ac:dyDescent="0.3">
      <c r="A3561" s="22" t="s">
        <v>4116</v>
      </c>
      <c r="B3561" s="22" t="s">
        <v>7876</v>
      </c>
      <c r="C3561" s="22" t="s">
        <v>7742</v>
      </c>
      <c r="D3561" s="22" t="s">
        <v>7710</v>
      </c>
      <c r="E3561" s="22" t="s">
        <v>7532</v>
      </c>
      <c r="F3561" s="24" t="s">
        <v>7533</v>
      </c>
      <c r="G3561" s="26" t="s">
        <v>3039</v>
      </c>
      <c r="H3561" s="22"/>
      <c r="I3561" s="22"/>
      <c r="J3561" s="22"/>
      <c r="K3561" s="24"/>
      <c r="L3561" s="24"/>
      <c r="M3561" s="25" t="s">
        <v>7534</v>
      </c>
      <c r="N3561" s="22"/>
      <c r="O3561" s="22" t="s">
        <v>7535</v>
      </c>
      <c r="P3561" s="22" t="str">
        <f>HYPERLINK("https://ceds.ed.gov/cedselementdetails.aspx?termid=22933")</f>
        <v>https://ceds.ed.gov/cedselementdetails.aspx?termid=22933</v>
      </c>
      <c r="Q3561" s="22">
        <v>63682</v>
      </c>
    </row>
    <row r="3562" spans="1:17" ht="144" x14ac:dyDescent="0.3">
      <c r="A3562" s="22" t="s">
        <v>4116</v>
      </c>
      <c r="B3562" s="22" t="s">
        <v>7876</v>
      </c>
      <c r="C3562" s="22" t="s">
        <v>7742</v>
      </c>
      <c r="D3562" s="22" t="s">
        <v>7710</v>
      </c>
      <c r="E3562" s="22" t="s">
        <v>7640</v>
      </c>
      <c r="F3562" s="24" t="s">
        <v>7641</v>
      </c>
      <c r="G3562" s="26" t="s">
        <v>9121</v>
      </c>
      <c r="H3562" s="22"/>
      <c r="I3562" s="22"/>
      <c r="J3562" s="22"/>
      <c r="K3562" s="24"/>
      <c r="L3562" s="24" t="s">
        <v>7642</v>
      </c>
      <c r="M3562" s="25" t="s">
        <v>7643</v>
      </c>
      <c r="N3562" s="22"/>
      <c r="O3562" s="22" t="s">
        <v>7640</v>
      </c>
      <c r="P3562" s="22" t="str">
        <f>HYPERLINK("https://ceds.ed.gov/cedselementdetails.aspx?termid=22955")</f>
        <v>https://ceds.ed.gov/cedselementdetails.aspx?termid=22955</v>
      </c>
      <c r="Q3562" s="22">
        <v>63683</v>
      </c>
    </row>
    <row r="3563" spans="1:17" ht="100.8" x14ac:dyDescent="0.3">
      <c r="A3563" s="22" t="s">
        <v>4116</v>
      </c>
      <c r="B3563" s="22" t="s">
        <v>7876</v>
      </c>
      <c r="C3563" s="22" t="s">
        <v>7797</v>
      </c>
      <c r="D3563" s="22" t="s">
        <v>7710</v>
      </c>
      <c r="E3563" s="22" t="s">
        <v>5599</v>
      </c>
      <c r="F3563" s="24" t="s">
        <v>5600</v>
      </c>
      <c r="G3563" s="23" t="s">
        <v>32</v>
      </c>
      <c r="H3563" s="24" t="s">
        <v>5342</v>
      </c>
      <c r="I3563" s="22"/>
      <c r="J3563" s="22" t="s">
        <v>1518</v>
      </c>
      <c r="K3563" s="24"/>
      <c r="L3563" s="24"/>
      <c r="M3563" s="25" t="s">
        <v>5601</v>
      </c>
      <c r="N3563" s="22"/>
      <c r="O3563" s="22" t="s">
        <v>5602</v>
      </c>
      <c r="P3563" s="22" t="str">
        <f>HYPERLINK("https://ceds.ed.gov/cedselementdetails.aspx?termid=21200")</f>
        <v>https://ceds.ed.gov/cedselementdetails.aspx?termid=21200</v>
      </c>
      <c r="Q3563" s="22">
        <v>61983</v>
      </c>
    </row>
    <row r="3564" spans="1:17" ht="115.2" x14ac:dyDescent="0.3">
      <c r="A3564" s="22" t="s">
        <v>4116</v>
      </c>
      <c r="B3564" s="22" t="s">
        <v>7876</v>
      </c>
      <c r="C3564" s="22" t="s">
        <v>7799</v>
      </c>
      <c r="D3564" s="22" t="s">
        <v>7710</v>
      </c>
      <c r="E3564" s="22" t="s">
        <v>3142</v>
      </c>
      <c r="F3564" s="24" t="s">
        <v>3143</v>
      </c>
      <c r="G3564" s="23" t="s">
        <v>32</v>
      </c>
      <c r="H3564" s="24" t="s">
        <v>3148</v>
      </c>
      <c r="I3564" s="22"/>
      <c r="J3564" s="22" t="s">
        <v>3145</v>
      </c>
      <c r="K3564" s="24"/>
      <c r="L3564" s="24"/>
      <c r="M3564" s="25" t="s">
        <v>3146</v>
      </c>
      <c r="N3564" s="22"/>
      <c r="O3564" s="22" t="s">
        <v>3147</v>
      </c>
      <c r="P3564" s="22" t="str">
        <f>HYPERLINK("https://ceds.ed.gov/cedselementdetails.aspx?termid=21081")</f>
        <v>https://ceds.ed.gov/cedselementdetails.aspx?termid=21081</v>
      </c>
      <c r="Q3564" s="22">
        <v>61966</v>
      </c>
    </row>
    <row r="3565" spans="1:17" ht="201.6" x14ac:dyDescent="0.3">
      <c r="A3565" s="22" t="s">
        <v>4116</v>
      </c>
      <c r="B3565" s="22" t="s">
        <v>7876</v>
      </c>
      <c r="C3565" s="22" t="s">
        <v>7799</v>
      </c>
      <c r="D3565" s="22" t="s">
        <v>7710</v>
      </c>
      <c r="E3565" s="22" t="s">
        <v>4307</v>
      </c>
      <c r="F3565" s="24" t="s">
        <v>4308</v>
      </c>
      <c r="G3565" s="26" t="s">
        <v>8919</v>
      </c>
      <c r="H3565" s="24" t="s">
        <v>4313</v>
      </c>
      <c r="I3565" s="22"/>
      <c r="J3565" s="22"/>
      <c r="K3565" s="24"/>
      <c r="L3565" s="24" t="s">
        <v>4310</v>
      </c>
      <c r="M3565" s="25" t="s">
        <v>4311</v>
      </c>
      <c r="N3565" s="22"/>
      <c r="O3565" s="22" t="s">
        <v>4312</v>
      </c>
      <c r="P3565" s="22" t="str">
        <f>HYPERLINK("https://ceds.ed.gov/cedselementdetails.aspx?termid=21138")</f>
        <v>https://ceds.ed.gov/cedselementdetails.aspx?termid=21138</v>
      </c>
      <c r="Q3565" s="22">
        <v>62720</v>
      </c>
    </row>
    <row r="3566" spans="1:17" ht="100.8" x14ac:dyDescent="0.3">
      <c r="A3566" s="22" t="s">
        <v>4116</v>
      </c>
      <c r="B3566" s="22" t="s">
        <v>7876</v>
      </c>
      <c r="C3566" s="22" t="s">
        <v>7799</v>
      </c>
      <c r="D3566" s="22" t="s">
        <v>7710</v>
      </c>
      <c r="E3566" s="22" t="s">
        <v>4302</v>
      </c>
      <c r="F3566" s="24" t="s">
        <v>4303</v>
      </c>
      <c r="G3566" s="26" t="s">
        <v>8918</v>
      </c>
      <c r="H3566" s="22"/>
      <c r="I3566" s="22"/>
      <c r="J3566" s="22"/>
      <c r="K3566" s="24"/>
      <c r="L3566" s="24"/>
      <c r="M3566" s="25" t="s">
        <v>4305</v>
      </c>
      <c r="N3566" s="22"/>
      <c r="O3566" s="22" t="s">
        <v>4306</v>
      </c>
      <c r="P3566" s="22" t="str">
        <f>HYPERLINK("https://ceds.ed.gov/cedselementdetails.aspx?termid=21689")</f>
        <v>https://ceds.ed.gov/cedselementdetails.aspx?termid=21689</v>
      </c>
      <c r="Q3566" s="22">
        <v>62723</v>
      </c>
    </row>
    <row r="3567" spans="1:17" ht="57.6" x14ac:dyDescent="0.3">
      <c r="A3567" s="22" t="s">
        <v>4116</v>
      </c>
      <c r="B3567" s="22" t="s">
        <v>7876</v>
      </c>
      <c r="C3567" s="22" t="s">
        <v>7799</v>
      </c>
      <c r="D3567" s="22" t="s">
        <v>7710</v>
      </c>
      <c r="E3567" s="22" t="s">
        <v>30</v>
      </c>
      <c r="F3567" s="24" t="s">
        <v>31</v>
      </c>
      <c r="G3567" s="23" t="s">
        <v>32</v>
      </c>
      <c r="H3567" s="24" t="s">
        <v>37</v>
      </c>
      <c r="I3567" s="22"/>
      <c r="J3567" s="22" t="s">
        <v>34</v>
      </c>
      <c r="K3567" s="24"/>
      <c r="L3567" s="24"/>
      <c r="M3567" s="25" t="s">
        <v>35</v>
      </c>
      <c r="N3567" s="22"/>
      <c r="O3567" s="22" t="s">
        <v>36</v>
      </c>
      <c r="P3567" s="22" t="str">
        <f>HYPERLINK("https://ceds.ed.gov/cedselementdetails.aspx?termid=21001")</f>
        <v>https://ceds.ed.gov/cedselementdetails.aspx?termid=21001</v>
      </c>
      <c r="Q3567" s="22">
        <v>62696</v>
      </c>
    </row>
    <row r="3568" spans="1:17" ht="216" x14ac:dyDescent="0.3">
      <c r="A3568" s="22" t="s">
        <v>4116</v>
      </c>
      <c r="B3568" s="22" t="s">
        <v>7876</v>
      </c>
      <c r="C3568" s="22" t="s">
        <v>7799</v>
      </c>
      <c r="D3568" s="22" t="s">
        <v>7710</v>
      </c>
      <c r="E3568" s="22" t="s">
        <v>38</v>
      </c>
      <c r="F3568" s="24" t="s">
        <v>7941</v>
      </c>
      <c r="G3568" s="26" t="s">
        <v>8562</v>
      </c>
      <c r="H3568" s="24" t="s">
        <v>42</v>
      </c>
      <c r="I3568" s="22"/>
      <c r="J3568" s="22"/>
      <c r="K3568" s="24"/>
      <c r="L3568" s="24"/>
      <c r="M3568" s="25" t="s">
        <v>40</v>
      </c>
      <c r="N3568" s="22"/>
      <c r="O3568" s="22" t="s">
        <v>41</v>
      </c>
      <c r="P3568" s="22" t="str">
        <f>HYPERLINK("https://ceds.ed.gov/cedselementdetails.aspx?termid=21002")</f>
        <v>https://ceds.ed.gov/cedselementdetails.aspx?termid=21002</v>
      </c>
      <c r="Q3568" s="22">
        <v>62687</v>
      </c>
    </row>
    <row r="3569" spans="1:17" ht="28.8" x14ac:dyDescent="0.3">
      <c r="A3569" s="22" t="s">
        <v>4116</v>
      </c>
      <c r="B3569" s="22" t="s">
        <v>7876</v>
      </c>
      <c r="C3569" s="22" t="s">
        <v>7799</v>
      </c>
      <c r="D3569" s="22" t="s">
        <v>7710</v>
      </c>
      <c r="E3569" s="22" t="s">
        <v>53</v>
      </c>
      <c r="F3569" s="24" t="s">
        <v>54</v>
      </c>
      <c r="G3569" s="23" t="s">
        <v>32</v>
      </c>
      <c r="H3569" s="22" t="s">
        <v>58</v>
      </c>
      <c r="I3569" s="22"/>
      <c r="J3569" s="22" t="s">
        <v>55</v>
      </c>
      <c r="K3569" s="24"/>
      <c r="L3569" s="24"/>
      <c r="M3569" s="25" t="s">
        <v>56</v>
      </c>
      <c r="N3569" s="22"/>
      <c r="O3569" s="22" t="s">
        <v>57</v>
      </c>
      <c r="P3569" s="22" t="str">
        <f>HYPERLINK("https://ceds.ed.gov/cedselementdetails.aspx?termid=21003")</f>
        <v>https://ceds.ed.gov/cedselementdetails.aspx?termid=21003</v>
      </c>
      <c r="Q3569" s="22">
        <v>62688</v>
      </c>
    </row>
    <row r="3570" spans="1:17" ht="172.8" x14ac:dyDescent="0.3">
      <c r="A3570" s="22" t="s">
        <v>4116</v>
      </c>
      <c r="B3570" s="22" t="s">
        <v>7876</v>
      </c>
      <c r="C3570" s="22" t="s">
        <v>7799</v>
      </c>
      <c r="D3570" s="22" t="s">
        <v>7710</v>
      </c>
      <c r="E3570" s="22" t="s">
        <v>2965</v>
      </c>
      <c r="F3570" s="24" t="s">
        <v>2966</v>
      </c>
      <c r="G3570" s="26" t="s">
        <v>8776</v>
      </c>
      <c r="H3570" s="22"/>
      <c r="I3570" s="22"/>
      <c r="J3570" s="22"/>
      <c r="K3570" s="24"/>
      <c r="L3570" s="24"/>
      <c r="M3570" s="25" t="s">
        <v>2968</v>
      </c>
      <c r="N3570" s="22"/>
      <c r="O3570" s="22" t="s">
        <v>2969</v>
      </c>
      <c r="P3570" s="22" t="str">
        <f>HYPERLINK("https://ceds.ed.gov/cedselementdetails.aspx?termid=22283")</f>
        <v>https://ceds.ed.gov/cedselementdetails.aspx?termid=22283</v>
      </c>
      <c r="Q3570" s="22">
        <v>62686</v>
      </c>
    </row>
    <row r="3571" spans="1:17" ht="115.2" x14ac:dyDescent="0.3">
      <c r="A3571" s="22" t="s">
        <v>4116</v>
      </c>
      <c r="B3571" s="22" t="s">
        <v>7876</v>
      </c>
      <c r="C3571" s="22" t="s">
        <v>7799</v>
      </c>
      <c r="D3571" s="22" t="s">
        <v>7710</v>
      </c>
      <c r="E3571" s="22" t="s">
        <v>6134</v>
      </c>
      <c r="F3571" s="24" t="s">
        <v>6135</v>
      </c>
      <c r="G3571" s="26" t="s">
        <v>9103</v>
      </c>
      <c r="H3571" s="22"/>
      <c r="I3571" s="22"/>
      <c r="J3571" s="22"/>
      <c r="K3571" s="24"/>
      <c r="L3571" s="24"/>
      <c r="M3571" s="25" t="s">
        <v>6137</v>
      </c>
      <c r="N3571" s="22"/>
      <c r="O3571" s="22" t="s">
        <v>6138</v>
      </c>
      <c r="P3571" s="22" t="str">
        <f>HYPERLINK("https://ceds.ed.gov/cedselementdetails.aspx?termid=21780")</f>
        <v>https://ceds.ed.gov/cedselementdetails.aspx?termid=21780</v>
      </c>
      <c r="Q3571" s="22">
        <v>62693</v>
      </c>
    </row>
    <row r="3572" spans="1:17" ht="172.8" x14ac:dyDescent="0.3">
      <c r="A3572" s="22" t="s">
        <v>4116</v>
      </c>
      <c r="B3572" s="22" t="s">
        <v>7876</v>
      </c>
      <c r="C3572" s="22" t="s">
        <v>7799</v>
      </c>
      <c r="D3572" s="22" t="s">
        <v>7710</v>
      </c>
      <c r="E3572" s="22" t="s">
        <v>6174</v>
      </c>
      <c r="F3572" s="24" t="s">
        <v>6175</v>
      </c>
      <c r="G3572" s="23" t="s">
        <v>32</v>
      </c>
      <c r="H3572" s="22" t="s">
        <v>2608</v>
      </c>
      <c r="I3572" s="22" t="s">
        <v>172</v>
      </c>
      <c r="J3572" s="22" t="s">
        <v>132</v>
      </c>
      <c r="K3572" s="24" t="s">
        <v>8282</v>
      </c>
      <c r="L3572" s="24" t="s">
        <v>7945</v>
      </c>
      <c r="M3572" s="25" t="s">
        <v>6176</v>
      </c>
      <c r="N3572" s="22"/>
      <c r="O3572" s="22" t="s">
        <v>6177</v>
      </c>
      <c r="P3572" s="22" t="str">
        <f>HYPERLINK("https://ceds.ed.gov/cedselementdetails.aspx?termid=21618")</f>
        <v>https://ceds.ed.gov/cedselementdetails.aspx?termid=21618</v>
      </c>
      <c r="Q3572" s="22">
        <v>62692</v>
      </c>
    </row>
    <row r="3573" spans="1:17" ht="72" x14ac:dyDescent="0.3">
      <c r="A3573" s="22" t="s">
        <v>4116</v>
      </c>
      <c r="B3573" s="22" t="s">
        <v>7876</v>
      </c>
      <c r="C3573" s="22" t="s">
        <v>7799</v>
      </c>
      <c r="D3573" s="22" t="s">
        <v>7710</v>
      </c>
      <c r="E3573" s="22" t="s">
        <v>5909</v>
      </c>
      <c r="F3573" s="24" t="s">
        <v>5910</v>
      </c>
      <c r="G3573" s="26" t="s">
        <v>9070</v>
      </c>
      <c r="H3573" s="24" t="s">
        <v>5913</v>
      </c>
      <c r="I3573" s="22"/>
      <c r="J3573" s="22"/>
      <c r="K3573" s="24"/>
      <c r="L3573" s="24"/>
      <c r="M3573" s="25" t="s">
        <v>5911</v>
      </c>
      <c r="N3573" s="22"/>
      <c r="O3573" s="22" t="s">
        <v>5912</v>
      </c>
      <c r="P3573" s="22" t="str">
        <f>HYPERLINK("https://ceds.ed.gov/cedselementdetails.aspx?termid=22595")</f>
        <v>https://ceds.ed.gov/cedselementdetails.aspx?termid=22595</v>
      </c>
      <c r="Q3573" s="22">
        <v>62694</v>
      </c>
    </row>
    <row r="3574" spans="1:17" ht="129.6" x14ac:dyDescent="0.3">
      <c r="A3574" s="22" t="s">
        <v>4116</v>
      </c>
      <c r="B3574" s="22" t="s">
        <v>7876</v>
      </c>
      <c r="C3574" s="22" t="s">
        <v>7799</v>
      </c>
      <c r="D3574" s="22" t="s">
        <v>7710</v>
      </c>
      <c r="E3574" s="22" t="s">
        <v>3249</v>
      </c>
      <c r="F3574" s="24" t="s">
        <v>3250</v>
      </c>
      <c r="G3574" s="26" t="s">
        <v>8809</v>
      </c>
      <c r="H3574" s="22"/>
      <c r="I3574" s="22"/>
      <c r="J3574" s="22"/>
      <c r="K3574" s="24"/>
      <c r="L3574" s="24" t="s">
        <v>8081</v>
      </c>
      <c r="M3574" s="25" t="s">
        <v>3252</v>
      </c>
      <c r="N3574" s="22"/>
      <c r="O3574" s="22" t="s">
        <v>3253</v>
      </c>
      <c r="P3574" s="22" t="str">
        <f>HYPERLINK("https://ceds.ed.gov/cedselementdetails.aspx?termid=22622")</f>
        <v>https://ceds.ed.gov/cedselementdetails.aspx?termid=22622</v>
      </c>
      <c r="Q3574" s="22">
        <v>62695</v>
      </c>
    </row>
    <row r="3575" spans="1:17" ht="72" x14ac:dyDescent="0.3">
      <c r="A3575" s="22" t="s">
        <v>4116</v>
      </c>
      <c r="B3575" s="22" t="s">
        <v>7876</v>
      </c>
      <c r="C3575" s="22" t="s">
        <v>7799</v>
      </c>
      <c r="D3575" s="22" t="s">
        <v>7710</v>
      </c>
      <c r="E3575" s="22" t="s">
        <v>2082</v>
      </c>
      <c r="F3575" s="24" t="s">
        <v>2083</v>
      </c>
      <c r="G3575" s="23" t="s">
        <v>7422</v>
      </c>
      <c r="H3575" s="24" t="s">
        <v>42</v>
      </c>
      <c r="I3575" s="22"/>
      <c r="J3575" s="22"/>
      <c r="K3575" s="24"/>
      <c r="L3575" s="24"/>
      <c r="M3575" s="25" t="s">
        <v>2085</v>
      </c>
      <c r="N3575" s="22" t="s">
        <v>2086</v>
      </c>
      <c r="O3575" s="22" t="s">
        <v>2087</v>
      </c>
      <c r="P3575" s="22" t="str">
        <f>HYPERLINK("https://ceds.ed.gov/cedselementdetails.aspx?termid=21043")</f>
        <v>https://ceds.ed.gov/cedselementdetails.aspx?termid=21043</v>
      </c>
      <c r="Q3575" s="22">
        <v>62689</v>
      </c>
    </row>
    <row r="3576" spans="1:17" ht="72" x14ac:dyDescent="0.3">
      <c r="A3576" s="22" t="s">
        <v>4116</v>
      </c>
      <c r="B3576" s="22" t="s">
        <v>7876</v>
      </c>
      <c r="C3576" s="22" t="s">
        <v>7799</v>
      </c>
      <c r="D3576" s="22" t="s">
        <v>7710</v>
      </c>
      <c r="E3576" s="22" t="s">
        <v>2088</v>
      </c>
      <c r="F3576" s="24" t="s">
        <v>2089</v>
      </c>
      <c r="G3576" s="26" t="s">
        <v>8727</v>
      </c>
      <c r="H3576" s="24" t="s">
        <v>198</v>
      </c>
      <c r="I3576" s="22"/>
      <c r="J3576" s="22"/>
      <c r="K3576" s="24"/>
      <c r="L3576" s="24"/>
      <c r="M3576" s="25" t="s">
        <v>2091</v>
      </c>
      <c r="N3576" s="22" t="s">
        <v>2092</v>
      </c>
      <c r="O3576" s="22" t="s">
        <v>2093</v>
      </c>
      <c r="P3576" s="22" t="str">
        <f>HYPERLINK("https://ceds.ed.gov/cedselementdetails.aspx?termid=21044")</f>
        <v>https://ceds.ed.gov/cedselementdetails.aspx?termid=21044</v>
      </c>
      <c r="Q3576" s="22">
        <v>62690</v>
      </c>
    </row>
    <row r="3577" spans="1:17" ht="86.4" x14ac:dyDescent="0.3">
      <c r="A3577" s="22" t="s">
        <v>4116</v>
      </c>
      <c r="B3577" s="22" t="s">
        <v>7876</v>
      </c>
      <c r="C3577" s="22" t="s">
        <v>7799</v>
      </c>
      <c r="D3577" s="22" t="s">
        <v>7710</v>
      </c>
      <c r="E3577" s="22" t="s">
        <v>2094</v>
      </c>
      <c r="F3577" s="24" t="s">
        <v>2095</v>
      </c>
      <c r="G3577" s="26" t="s">
        <v>8728</v>
      </c>
      <c r="H3577" s="24" t="s">
        <v>198</v>
      </c>
      <c r="I3577" s="22"/>
      <c r="J3577" s="22"/>
      <c r="K3577" s="24"/>
      <c r="L3577" s="24"/>
      <c r="M3577" s="25" t="s">
        <v>2097</v>
      </c>
      <c r="N3577" s="22" t="s">
        <v>2098</v>
      </c>
      <c r="O3577" s="22" t="s">
        <v>2099</v>
      </c>
      <c r="P3577" s="22" t="str">
        <f>HYPERLINK("https://ceds.ed.gov/cedselementdetails.aspx?termid=21045")</f>
        <v>https://ceds.ed.gov/cedselementdetails.aspx?termid=21045</v>
      </c>
      <c r="Q3577" s="22">
        <v>62691</v>
      </c>
    </row>
    <row r="3578" spans="1:17" ht="43.2" x14ac:dyDescent="0.3">
      <c r="A3578" s="22" t="s">
        <v>4116</v>
      </c>
      <c r="B3578" s="22" t="s">
        <v>7876</v>
      </c>
      <c r="C3578" s="22" t="s">
        <v>7772</v>
      </c>
      <c r="D3578" s="22" t="s">
        <v>7710</v>
      </c>
      <c r="E3578" s="22" t="s">
        <v>3528</v>
      </c>
      <c r="F3578" s="24" t="s">
        <v>3529</v>
      </c>
      <c r="G3578" s="23" t="s">
        <v>2887</v>
      </c>
      <c r="H3578" s="22"/>
      <c r="I3578" s="22"/>
      <c r="J3578" s="22" t="s">
        <v>2888</v>
      </c>
      <c r="K3578" s="24"/>
      <c r="L3578" s="24"/>
      <c r="M3578" s="25" t="s">
        <v>3531</v>
      </c>
      <c r="N3578" s="22"/>
      <c r="O3578" s="22" t="s">
        <v>3532</v>
      </c>
      <c r="P3578" s="22" t="str">
        <f>HYPERLINK("https://ceds.ed.gov/cedselementdetails.aspx?termid=22070")</f>
        <v>https://ceds.ed.gov/cedselementdetails.aspx?termid=22070</v>
      </c>
      <c r="Q3578" s="22">
        <v>62023</v>
      </c>
    </row>
    <row r="3579" spans="1:17" ht="57.6" x14ac:dyDescent="0.3">
      <c r="A3579" s="22" t="s">
        <v>4116</v>
      </c>
      <c r="B3579" s="22" t="s">
        <v>7876</v>
      </c>
      <c r="C3579" s="22" t="s">
        <v>7772</v>
      </c>
      <c r="D3579" s="22" t="s">
        <v>7710</v>
      </c>
      <c r="E3579" s="22" t="s">
        <v>3555</v>
      </c>
      <c r="F3579" s="24" t="s">
        <v>3556</v>
      </c>
      <c r="G3579" s="23" t="s">
        <v>32</v>
      </c>
      <c r="H3579" s="24" t="s">
        <v>3559</v>
      </c>
      <c r="I3579" s="22"/>
      <c r="J3579" s="22" t="s">
        <v>118</v>
      </c>
      <c r="K3579" s="24"/>
      <c r="L3579" s="24"/>
      <c r="M3579" s="25" t="s">
        <v>3557</v>
      </c>
      <c r="N3579" s="22"/>
      <c r="O3579" s="22" t="s">
        <v>3558</v>
      </c>
      <c r="P3579" s="22" t="str">
        <f>HYPERLINK("https://ceds.ed.gov/cedselementdetails.aspx?termid=21345")</f>
        <v>https://ceds.ed.gov/cedselementdetails.aspx?termid=21345</v>
      </c>
      <c r="Q3579" s="22">
        <v>62003</v>
      </c>
    </row>
    <row r="3580" spans="1:17" ht="57.6" x14ac:dyDescent="0.3">
      <c r="A3580" s="22" t="s">
        <v>4116</v>
      </c>
      <c r="B3580" s="22" t="s">
        <v>7876</v>
      </c>
      <c r="C3580" s="22" t="s">
        <v>7772</v>
      </c>
      <c r="D3580" s="22" t="s">
        <v>7710</v>
      </c>
      <c r="E3580" s="22" t="s">
        <v>3519</v>
      </c>
      <c r="F3580" s="24" t="s">
        <v>3520</v>
      </c>
      <c r="G3580" s="23" t="s">
        <v>32</v>
      </c>
      <c r="H3580" s="22" t="s">
        <v>207</v>
      </c>
      <c r="I3580" s="22"/>
      <c r="J3580" s="22" t="s">
        <v>118</v>
      </c>
      <c r="K3580" s="24"/>
      <c r="L3580" s="24" t="s">
        <v>143</v>
      </c>
      <c r="M3580" s="25" t="s">
        <v>3521</v>
      </c>
      <c r="N3580" s="22"/>
      <c r="O3580" s="22" t="s">
        <v>3522</v>
      </c>
      <c r="P3580" s="22" t="str">
        <f>HYPERLINK("https://ceds.ed.gov/cedselementdetails.aspx?termid=21794")</f>
        <v>https://ceds.ed.gov/cedselementdetails.aspx?termid=21794</v>
      </c>
      <c r="Q3580" s="22">
        <v>62020</v>
      </c>
    </row>
    <row r="3581" spans="1:17" ht="201.6" x14ac:dyDescent="0.3">
      <c r="A3581" s="22" t="s">
        <v>4116</v>
      </c>
      <c r="B3581" s="22" t="s">
        <v>7876</v>
      </c>
      <c r="C3581" s="22" t="s">
        <v>7772</v>
      </c>
      <c r="D3581" s="22" t="s">
        <v>7710</v>
      </c>
      <c r="E3581" s="22" t="s">
        <v>3514</v>
      </c>
      <c r="F3581" s="24" t="s">
        <v>3515</v>
      </c>
      <c r="G3581" s="26" t="s">
        <v>3503</v>
      </c>
      <c r="H3581" s="22" t="s">
        <v>3507</v>
      </c>
      <c r="I3581" s="22"/>
      <c r="J3581" s="22"/>
      <c r="K3581" s="24"/>
      <c r="L3581" s="24" t="s">
        <v>3516</v>
      </c>
      <c r="M3581" s="25" t="s">
        <v>3517</v>
      </c>
      <c r="N3581" s="22"/>
      <c r="O3581" s="22" t="s">
        <v>3518</v>
      </c>
      <c r="P3581" s="22" t="str">
        <f>HYPERLINK("https://ceds.ed.gov/cedselementdetails.aspx?termid=21989")</f>
        <v>https://ceds.ed.gov/cedselementdetails.aspx?termid=21989</v>
      </c>
      <c r="Q3581" s="22">
        <v>62021</v>
      </c>
    </row>
    <row r="3582" spans="1:17" ht="230.4" x14ac:dyDescent="0.3">
      <c r="A3582" s="22" t="s">
        <v>4116</v>
      </c>
      <c r="B3582" s="22" t="s">
        <v>7876</v>
      </c>
      <c r="C3582" s="22" t="s">
        <v>7772</v>
      </c>
      <c r="D3582" s="22" t="s">
        <v>7710</v>
      </c>
      <c r="E3582" s="22" t="s">
        <v>3501</v>
      </c>
      <c r="F3582" s="24" t="s">
        <v>3502</v>
      </c>
      <c r="G3582" s="26" t="s">
        <v>3503</v>
      </c>
      <c r="H3582" s="22" t="s">
        <v>3507</v>
      </c>
      <c r="I3582" s="22"/>
      <c r="J3582" s="22"/>
      <c r="K3582" s="24"/>
      <c r="L3582" s="24" t="s">
        <v>8106</v>
      </c>
      <c r="M3582" s="25" t="s">
        <v>3505</v>
      </c>
      <c r="N3582" s="22"/>
      <c r="O3582" s="22" t="s">
        <v>3506</v>
      </c>
      <c r="P3582" s="22" t="str">
        <f>HYPERLINK("https://ceds.ed.gov/cedselementdetails.aspx?termid=21990")</f>
        <v>https://ceds.ed.gov/cedselementdetails.aspx?termid=21990</v>
      </c>
      <c r="Q3582" s="22">
        <v>62022</v>
      </c>
    </row>
    <row r="3583" spans="1:17" ht="115.2" x14ac:dyDescent="0.3">
      <c r="A3583" s="22" t="s">
        <v>4116</v>
      </c>
      <c r="B3583" s="22" t="s">
        <v>7876</v>
      </c>
      <c r="C3583" s="22" t="s">
        <v>7772</v>
      </c>
      <c r="D3583" s="22" t="s">
        <v>7710</v>
      </c>
      <c r="E3583" s="22" t="s">
        <v>6924</v>
      </c>
      <c r="F3583" s="24" t="s">
        <v>8326</v>
      </c>
      <c r="G3583" s="23" t="s">
        <v>32</v>
      </c>
      <c r="H3583" s="22" t="s">
        <v>69</v>
      </c>
      <c r="I3583" s="22"/>
      <c r="J3583" s="22" t="s">
        <v>6925</v>
      </c>
      <c r="K3583" s="24"/>
      <c r="L3583" s="24"/>
      <c r="M3583" s="25" t="s">
        <v>6926</v>
      </c>
      <c r="N3583" s="22"/>
      <c r="O3583" s="22" t="s">
        <v>6927</v>
      </c>
      <c r="P3583" s="22" t="str">
        <f>HYPERLINK("https://ceds.ed.gov/cedselementdetails.aspx?termid=21707")</f>
        <v>https://ceds.ed.gov/cedselementdetails.aspx?termid=21707</v>
      </c>
      <c r="Q3583" s="22">
        <v>63450</v>
      </c>
    </row>
    <row r="3584" spans="1:17" ht="216" x14ac:dyDescent="0.3">
      <c r="A3584" s="22" t="s">
        <v>4116</v>
      </c>
      <c r="B3584" s="22" t="s">
        <v>7876</v>
      </c>
      <c r="C3584" s="22" t="s">
        <v>7772</v>
      </c>
      <c r="D3584" s="22" t="s">
        <v>7710</v>
      </c>
      <c r="E3584" s="22" t="s">
        <v>7656</v>
      </c>
      <c r="F3584" s="24" t="s">
        <v>7657</v>
      </c>
      <c r="G3584" s="26" t="s">
        <v>8514</v>
      </c>
      <c r="H3584" s="22"/>
      <c r="I3584" s="22" t="s">
        <v>172</v>
      </c>
      <c r="J3584" s="22"/>
      <c r="K3584" s="24" t="s">
        <v>7995</v>
      </c>
      <c r="L3584" s="24"/>
      <c r="M3584" s="25" t="s">
        <v>7658</v>
      </c>
      <c r="N3584" s="22"/>
      <c r="O3584" s="22" t="s">
        <v>7656</v>
      </c>
      <c r="P3584" s="22" t="str">
        <f>HYPERLINK("https://ceds.ed.gov/cedselementdetails.aspx?termid=22959")</f>
        <v>https://ceds.ed.gov/cedselementdetails.aspx?termid=22959</v>
      </c>
      <c r="Q3584" s="22">
        <v>63687</v>
      </c>
    </row>
    <row r="3585" spans="1:17" ht="115.2" x14ac:dyDescent="0.3">
      <c r="A3585" s="22" t="s">
        <v>4116</v>
      </c>
      <c r="B3585" s="22" t="s">
        <v>7876</v>
      </c>
      <c r="C3585" s="22" t="s">
        <v>7877</v>
      </c>
      <c r="D3585" s="22" t="s">
        <v>7710</v>
      </c>
      <c r="E3585" s="22" t="s">
        <v>6134</v>
      </c>
      <c r="F3585" s="24" t="s">
        <v>6135</v>
      </c>
      <c r="G3585" s="26" t="s">
        <v>9103</v>
      </c>
      <c r="H3585" s="22"/>
      <c r="I3585" s="22"/>
      <c r="J3585" s="22"/>
      <c r="K3585" s="24"/>
      <c r="L3585" s="24"/>
      <c r="M3585" s="25" t="s">
        <v>6137</v>
      </c>
      <c r="N3585" s="22"/>
      <c r="O3585" s="22" t="s">
        <v>6138</v>
      </c>
      <c r="P3585" s="22" t="str">
        <f>HYPERLINK("https://ceds.ed.gov/cedselementdetails.aspx?termid=21780")</f>
        <v>https://ceds.ed.gov/cedselementdetails.aspx?termid=21780</v>
      </c>
      <c r="Q3585" s="22">
        <v>62018</v>
      </c>
    </row>
    <row r="3586" spans="1:17" ht="115.2" x14ac:dyDescent="0.3">
      <c r="A3586" s="22" t="s">
        <v>4116</v>
      </c>
      <c r="B3586" s="22" t="s">
        <v>7876</v>
      </c>
      <c r="C3586" s="22" t="s">
        <v>7754</v>
      </c>
      <c r="D3586" s="22" t="s">
        <v>7710</v>
      </c>
      <c r="E3586" s="22" t="s">
        <v>4923</v>
      </c>
      <c r="F3586" s="24" t="s">
        <v>4924</v>
      </c>
      <c r="G3586" s="23" t="s">
        <v>7423</v>
      </c>
      <c r="H3586" s="24" t="s">
        <v>4927</v>
      </c>
      <c r="I3586" s="22"/>
      <c r="J3586" s="22"/>
      <c r="K3586" s="24"/>
      <c r="L3586" s="24" t="s">
        <v>7994</v>
      </c>
      <c r="M3586" s="25" t="s">
        <v>4925</v>
      </c>
      <c r="N3586" s="22"/>
      <c r="O3586" s="22" t="s">
        <v>4926</v>
      </c>
      <c r="P3586" s="22" t="str">
        <f>HYPERLINK("https://ceds.ed.gov/cedselementdetails.aspx?termid=21317")</f>
        <v>https://ceds.ed.gov/cedselementdetails.aspx?termid=21317</v>
      </c>
      <c r="Q3586" s="22">
        <v>63451</v>
      </c>
    </row>
    <row r="3587" spans="1:17" ht="115.2" x14ac:dyDescent="0.3">
      <c r="A3587" s="22" t="s">
        <v>4116</v>
      </c>
      <c r="B3587" s="22" t="s">
        <v>7876</v>
      </c>
      <c r="C3587" s="22" t="s">
        <v>7754</v>
      </c>
      <c r="D3587" s="22" t="s">
        <v>7710</v>
      </c>
      <c r="E3587" s="22" t="s">
        <v>4928</v>
      </c>
      <c r="F3587" s="24" t="s">
        <v>4924</v>
      </c>
      <c r="G3587" s="23" t="s">
        <v>7423</v>
      </c>
      <c r="H3587" s="22"/>
      <c r="I3587" s="22" t="s">
        <v>172</v>
      </c>
      <c r="J3587" s="22"/>
      <c r="K3587" s="24" t="s">
        <v>8231</v>
      </c>
      <c r="L3587" s="24" t="s">
        <v>8232</v>
      </c>
      <c r="M3587" s="25" t="s">
        <v>4929</v>
      </c>
      <c r="N3587" s="22"/>
      <c r="O3587" s="22" t="s">
        <v>4930</v>
      </c>
      <c r="P3587" s="22" t="str">
        <f>HYPERLINK("https://ceds.ed.gov/cedselementdetails.aspx?termid=22618")</f>
        <v>https://ceds.ed.gov/cedselementdetails.aspx?termid=22618</v>
      </c>
      <c r="Q3587" s="22">
        <v>63452</v>
      </c>
    </row>
    <row r="3588" spans="1:17" ht="409.6" x14ac:dyDescent="0.3">
      <c r="A3588" s="22" t="s">
        <v>4116</v>
      </c>
      <c r="B3588" s="22" t="s">
        <v>7876</v>
      </c>
      <c r="C3588" s="22" t="s">
        <v>7754</v>
      </c>
      <c r="D3588" s="22" t="s">
        <v>7710</v>
      </c>
      <c r="E3588" s="22" t="s">
        <v>4931</v>
      </c>
      <c r="F3588" s="24" t="s">
        <v>4932</v>
      </c>
      <c r="G3588" s="26" t="s">
        <v>8988</v>
      </c>
      <c r="H3588" s="22"/>
      <c r="I3588" s="22"/>
      <c r="J3588" s="22"/>
      <c r="K3588" s="24"/>
      <c r="L3588" s="24" t="s">
        <v>8233</v>
      </c>
      <c r="M3588" s="25" t="s">
        <v>4933</v>
      </c>
      <c r="N3588" s="22"/>
      <c r="O3588" s="22" t="s">
        <v>4934</v>
      </c>
      <c r="P3588" s="22" t="str">
        <f>HYPERLINK("https://ceds.ed.gov/cedselementdetails.aspx?termid=22619")</f>
        <v>https://ceds.ed.gov/cedselementdetails.aspx?termid=22619</v>
      </c>
      <c r="Q3588" s="22">
        <v>63453</v>
      </c>
    </row>
    <row r="3589" spans="1:17" ht="129.6" x14ac:dyDescent="0.3">
      <c r="A3589" s="22" t="s">
        <v>4116</v>
      </c>
      <c r="B3589" s="22" t="s">
        <v>7876</v>
      </c>
      <c r="C3589" s="22" t="s">
        <v>7754</v>
      </c>
      <c r="D3589" s="22" t="s">
        <v>7710</v>
      </c>
      <c r="E3589" s="22" t="s">
        <v>4965</v>
      </c>
      <c r="F3589" s="24" t="s">
        <v>4966</v>
      </c>
      <c r="G3589" s="26" t="s">
        <v>8993</v>
      </c>
      <c r="H3589" s="24" t="s">
        <v>4927</v>
      </c>
      <c r="I3589" s="22"/>
      <c r="J3589" s="22"/>
      <c r="K3589" s="24"/>
      <c r="L3589" s="24"/>
      <c r="M3589" s="25" t="s">
        <v>4967</v>
      </c>
      <c r="N3589" s="22"/>
      <c r="O3589" s="22" t="s">
        <v>4968</v>
      </c>
      <c r="P3589" s="22" t="str">
        <f>HYPERLINK("https://ceds.ed.gov/cedselementdetails.aspx?termid=21316")</f>
        <v>https://ceds.ed.gov/cedselementdetails.aspx?termid=21316</v>
      </c>
      <c r="Q3589" s="22">
        <v>63454</v>
      </c>
    </row>
    <row r="3590" spans="1:17" ht="409.6" x14ac:dyDescent="0.3">
      <c r="A3590" s="22" t="s">
        <v>4116</v>
      </c>
      <c r="B3590" s="22" t="s">
        <v>7876</v>
      </c>
      <c r="C3590" s="22" t="s">
        <v>7766</v>
      </c>
      <c r="D3590" s="22" t="s">
        <v>7710</v>
      </c>
      <c r="E3590" s="22" t="s">
        <v>5851</v>
      </c>
      <c r="F3590" s="24" t="s">
        <v>5852</v>
      </c>
      <c r="G3590" s="26" t="s">
        <v>9062</v>
      </c>
      <c r="H3590" s="22" t="s">
        <v>1553</v>
      </c>
      <c r="I3590" s="22"/>
      <c r="J3590" s="22"/>
      <c r="K3590" s="24"/>
      <c r="L3590" s="24" t="s">
        <v>5853</v>
      </c>
      <c r="M3590" s="25" t="s">
        <v>5854</v>
      </c>
      <c r="N3590" s="22"/>
      <c r="O3590" s="22" t="s">
        <v>5855</v>
      </c>
      <c r="P3590" s="22" t="str">
        <f>HYPERLINK("https://ceds.ed.gov/cedselementdetails.aspx?termid=21415")</f>
        <v>https://ceds.ed.gov/cedselementdetails.aspx?termid=21415</v>
      </c>
      <c r="Q3590" s="22">
        <v>63455</v>
      </c>
    </row>
    <row r="3591" spans="1:17" ht="57.6" x14ac:dyDescent="0.3">
      <c r="A3591" s="22" t="s">
        <v>4116</v>
      </c>
      <c r="B3591" s="22" t="s">
        <v>7876</v>
      </c>
      <c r="C3591" s="22" t="s">
        <v>4</v>
      </c>
      <c r="D3591" s="22" t="s">
        <v>7710</v>
      </c>
      <c r="E3591" s="22" t="s">
        <v>6262</v>
      </c>
      <c r="F3591" s="24" t="s">
        <v>6263</v>
      </c>
      <c r="G3591" s="26" t="s">
        <v>22</v>
      </c>
      <c r="H3591" s="22"/>
      <c r="I3591" s="22"/>
      <c r="J3591" s="22"/>
      <c r="K3591" s="24"/>
      <c r="L3591" s="24"/>
      <c r="M3591" s="25" t="s">
        <v>6264</v>
      </c>
      <c r="N3591" s="22"/>
      <c r="O3591" s="22" t="s">
        <v>6265</v>
      </c>
      <c r="P3591" s="22" t="str">
        <f>HYPERLINK("https://ceds.ed.gov/cedselementdetails.aspx?termid=21760")</f>
        <v>https://ceds.ed.gov/cedselementdetails.aspx?termid=21760</v>
      </c>
      <c r="Q3591" s="22">
        <v>63456</v>
      </c>
    </row>
    <row r="3592" spans="1:17" ht="57.6" x14ac:dyDescent="0.3">
      <c r="A3592" s="22" t="s">
        <v>4116</v>
      </c>
      <c r="B3592" s="22" t="s">
        <v>7876</v>
      </c>
      <c r="C3592" s="22" t="s">
        <v>7767</v>
      </c>
      <c r="D3592" s="22" t="s">
        <v>7710</v>
      </c>
      <c r="E3592" s="22" t="s">
        <v>7559</v>
      </c>
      <c r="F3592" s="24" t="s">
        <v>7560</v>
      </c>
      <c r="G3592" s="23" t="s">
        <v>32</v>
      </c>
      <c r="H3592" s="22"/>
      <c r="I3592" s="22"/>
      <c r="J3592" s="22" t="s">
        <v>148</v>
      </c>
      <c r="K3592" s="24"/>
      <c r="L3592" s="24" t="s">
        <v>7561</v>
      </c>
      <c r="M3592" s="25" t="s">
        <v>7562</v>
      </c>
      <c r="N3592" s="22"/>
      <c r="O3592" s="22" t="s">
        <v>7563</v>
      </c>
      <c r="P3592" s="22" t="str">
        <f>HYPERLINK("https://ceds.ed.gov/cedselementdetails.aspx?termid=22938")</f>
        <v>https://ceds.ed.gov/cedselementdetails.aspx?termid=22938</v>
      </c>
      <c r="Q3592" s="22">
        <v>63684</v>
      </c>
    </row>
    <row r="3593" spans="1:17" ht="43.2" x14ac:dyDescent="0.3">
      <c r="A3593" s="22" t="s">
        <v>4116</v>
      </c>
      <c r="B3593" s="22" t="s">
        <v>7876</v>
      </c>
      <c r="C3593" s="22" t="s">
        <v>7767</v>
      </c>
      <c r="D3593" s="22" t="s">
        <v>7710</v>
      </c>
      <c r="E3593" s="22" t="s">
        <v>7569</v>
      </c>
      <c r="F3593" s="24" t="s">
        <v>7570</v>
      </c>
      <c r="G3593" s="23" t="s">
        <v>32</v>
      </c>
      <c r="H3593" s="22"/>
      <c r="I3593" s="22"/>
      <c r="J3593" s="22" t="s">
        <v>845</v>
      </c>
      <c r="K3593" s="24"/>
      <c r="L3593" s="24" t="s">
        <v>7571</v>
      </c>
      <c r="M3593" s="25" t="s">
        <v>7572</v>
      </c>
      <c r="N3593" s="22"/>
      <c r="O3593" s="22" t="s">
        <v>7573</v>
      </c>
      <c r="P3593" s="22" t="str">
        <f>HYPERLINK("https://ceds.ed.gov/cedselementdetails.aspx?termid=22940")</f>
        <v>https://ceds.ed.gov/cedselementdetails.aspx?termid=22940</v>
      </c>
      <c r="Q3593" s="22">
        <v>63685</v>
      </c>
    </row>
    <row r="3594" spans="1:17" ht="57.6" x14ac:dyDescent="0.3">
      <c r="A3594" s="22" t="s">
        <v>4116</v>
      </c>
      <c r="B3594" s="22" t="s">
        <v>7876</v>
      </c>
      <c r="C3594" s="22" t="s">
        <v>7767</v>
      </c>
      <c r="D3594" s="22" t="s">
        <v>7710</v>
      </c>
      <c r="E3594" s="22" t="s">
        <v>7574</v>
      </c>
      <c r="F3594" s="24" t="s">
        <v>7575</v>
      </c>
      <c r="G3594" s="23" t="s">
        <v>32</v>
      </c>
      <c r="H3594" s="22"/>
      <c r="I3594" s="22"/>
      <c r="J3594" s="22" t="s">
        <v>148</v>
      </c>
      <c r="K3594" s="24"/>
      <c r="L3594" s="24" t="s">
        <v>7576</v>
      </c>
      <c r="M3594" s="25" t="s">
        <v>7577</v>
      </c>
      <c r="N3594" s="22"/>
      <c r="O3594" s="22" t="s">
        <v>7578</v>
      </c>
      <c r="P3594" s="22" t="str">
        <f>HYPERLINK("https://ceds.ed.gov/cedselementdetails.aspx?termid=22941")</f>
        <v>https://ceds.ed.gov/cedselementdetails.aspx?termid=22941</v>
      </c>
      <c r="Q3594" s="22">
        <v>63686</v>
      </c>
    </row>
    <row r="3595" spans="1:17" ht="43.2" x14ac:dyDescent="0.3">
      <c r="A3595" s="22" t="s">
        <v>4116</v>
      </c>
      <c r="B3595" s="22" t="s">
        <v>7878</v>
      </c>
      <c r="C3595" s="22"/>
      <c r="D3595" s="22" t="s">
        <v>7710</v>
      </c>
      <c r="E3595" s="22" t="s">
        <v>3528</v>
      </c>
      <c r="F3595" s="24" t="s">
        <v>3529</v>
      </c>
      <c r="G3595" s="23" t="s">
        <v>2887</v>
      </c>
      <c r="H3595" s="22"/>
      <c r="I3595" s="22"/>
      <c r="J3595" s="22" t="s">
        <v>2888</v>
      </c>
      <c r="K3595" s="24"/>
      <c r="L3595" s="24"/>
      <c r="M3595" s="25" t="s">
        <v>3531</v>
      </c>
      <c r="N3595" s="22"/>
      <c r="O3595" s="22" t="s">
        <v>3532</v>
      </c>
      <c r="P3595" s="22" t="str">
        <f>HYPERLINK("https://ceds.ed.gov/cedselementdetails.aspx?termid=22070")</f>
        <v>https://ceds.ed.gov/cedselementdetails.aspx?termid=22070</v>
      </c>
      <c r="Q3595" s="22">
        <v>59514</v>
      </c>
    </row>
    <row r="3596" spans="1:17" ht="316.8" x14ac:dyDescent="0.3">
      <c r="A3596" s="22" t="s">
        <v>4116</v>
      </c>
      <c r="B3596" s="22" t="s">
        <v>7878</v>
      </c>
      <c r="C3596" s="22"/>
      <c r="D3596" s="22" t="s">
        <v>7710</v>
      </c>
      <c r="E3596" s="22" t="s">
        <v>3543</v>
      </c>
      <c r="F3596" s="24" t="s">
        <v>3544</v>
      </c>
      <c r="G3596" s="23" t="s">
        <v>32</v>
      </c>
      <c r="H3596" s="22"/>
      <c r="I3596" s="22"/>
      <c r="J3596" s="22" t="s">
        <v>118</v>
      </c>
      <c r="K3596" s="24"/>
      <c r="L3596" s="24" t="s">
        <v>3545</v>
      </c>
      <c r="M3596" s="25" t="s">
        <v>3546</v>
      </c>
      <c r="N3596" s="22"/>
      <c r="O3596" s="22" t="s">
        <v>3547</v>
      </c>
      <c r="P3596" s="22" t="str">
        <f>HYPERLINK("https://ceds.ed.gov/cedselementdetails.aspx?termid=21994")</f>
        <v>https://ceds.ed.gov/cedselementdetails.aspx?termid=21994</v>
      </c>
      <c r="Q3596" s="22">
        <v>60461</v>
      </c>
    </row>
    <row r="3597" spans="1:17" ht="316.8" x14ac:dyDescent="0.3">
      <c r="A3597" s="22" t="s">
        <v>4116</v>
      </c>
      <c r="B3597" s="22" t="s">
        <v>7878</v>
      </c>
      <c r="C3597" s="22"/>
      <c r="D3597" s="22" t="s">
        <v>7710</v>
      </c>
      <c r="E3597" s="22" t="s">
        <v>3538</v>
      </c>
      <c r="F3597" s="24" t="s">
        <v>3539</v>
      </c>
      <c r="G3597" s="23" t="s">
        <v>32</v>
      </c>
      <c r="H3597" s="22"/>
      <c r="I3597" s="22"/>
      <c r="J3597" s="22" t="s">
        <v>118</v>
      </c>
      <c r="K3597" s="24"/>
      <c r="L3597" s="24" t="s">
        <v>3540</v>
      </c>
      <c r="M3597" s="25" t="s">
        <v>3541</v>
      </c>
      <c r="N3597" s="22"/>
      <c r="O3597" s="22" t="s">
        <v>3542</v>
      </c>
      <c r="P3597" s="22" t="str">
        <f>HYPERLINK("https://ceds.ed.gov/cedselementdetails.aspx?termid=21995")</f>
        <v>https://ceds.ed.gov/cedselementdetails.aspx?termid=21995</v>
      </c>
      <c r="Q3597" s="22">
        <v>60462</v>
      </c>
    </row>
    <row r="3598" spans="1:17" ht="409.6" x14ac:dyDescent="0.3">
      <c r="A3598" s="22" t="s">
        <v>4116</v>
      </c>
      <c r="B3598" s="22" t="s">
        <v>7878</v>
      </c>
      <c r="C3598" s="22"/>
      <c r="D3598" s="22" t="s">
        <v>7710</v>
      </c>
      <c r="E3598" s="22" t="s">
        <v>3523</v>
      </c>
      <c r="F3598" s="24" t="s">
        <v>3524</v>
      </c>
      <c r="G3598" s="26" t="s">
        <v>8844</v>
      </c>
      <c r="H3598" s="22"/>
      <c r="I3598" s="22"/>
      <c r="J3598" s="22"/>
      <c r="K3598" s="24"/>
      <c r="L3598" s="24" t="s">
        <v>3525</v>
      </c>
      <c r="M3598" s="25" t="s">
        <v>3526</v>
      </c>
      <c r="N3598" s="22"/>
      <c r="O3598" s="22" t="s">
        <v>3527</v>
      </c>
      <c r="P3598" s="22" t="str">
        <f>HYPERLINK("https://ceds.ed.gov/cedselementdetails.aspx?termid=21992")</f>
        <v>https://ceds.ed.gov/cedselementdetails.aspx?termid=21992</v>
      </c>
      <c r="Q3598" s="22">
        <v>60459</v>
      </c>
    </row>
    <row r="3599" spans="1:17" ht="201.6" x14ac:dyDescent="0.3">
      <c r="A3599" s="22" t="s">
        <v>4116</v>
      </c>
      <c r="B3599" s="22" t="s">
        <v>7878</v>
      </c>
      <c r="C3599" s="22"/>
      <c r="D3599" s="22" t="s">
        <v>7710</v>
      </c>
      <c r="E3599" s="22" t="s">
        <v>3508</v>
      </c>
      <c r="F3599" s="24" t="s">
        <v>3509</v>
      </c>
      <c r="G3599" s="26" t="s">
        <v>3503</v>
      </c>
      <c r="H3599" s="22"/>
      <c r="I3599" s="22"/>
      <c r="J3599" s="22"/>
      <c r="K3599" s="24"/>
      <c r="L3599" s="24" t="s">
        <v>3511</v>
      </c>
      <c r="M3599" s="25" t="s">
        <v>3512</v>
      </c>
      <c r="N3599" s="22"/>
      <c r="O3599" s="22" t="s">
        <v>3513</v>
      </c>
      <c r="P3599" s="22" t="str">
        <f>HYPERLINK("https://ceds.ed.gov/cedselementdetails.aspx?termid=22309")</f>
        <v>https://ceds.ed.gov/cedselementdetails.aspx?termid=22309</v>
      </c>
      <c r="Q3599" s="22">
        <v>61152</v>
      </c>
    </row>
    <row r="3600" spans="1:17" ht="201.6" x14ac:dyDescent="0.3">
      <c r="A3600" s="22" t="s">
        <v>4116</v>
      </c>
      <c r="B3600" s="22" t="s">
        <v>7878</v>
      </c>
      <c r="C3600" s="22"/>
      <c r="D3600" s="22" t="s">
        <v>7710</v>
      </c>
      <c r="E3600" s="22" t="s">
        <v>3514</v>
      </c>
      <c r="F3600" s="24" t="s">
        <v>3515</v>
      </c>
      <c r="G3600" s="26" t="s">
        <v>3503</v>
      </c>
      <c r="H3600" s="22" t="s">
        <v>3507</v>
      </c>
      <c r="I3600" s="22"/>
      <c r="J3600" s="22"/>
      <c r="K3600" s="24"/>
      <c r="L3600" s="24" t="s">
        <v>3516</v>
      </c>
      <c r="M3600" s="25" t="s">
        <v>3517</v>
      </c>
      <c r="N3600" s="22"/>
      <c r="O3600" s="22" t="s">
        <v>3518</v>
      </c>
      <c r="P3600" s="22" t="str">
        <f>HYPERLINK("https://ceds.ed.gov/cedselementdetails.aspx?termid=21989")</f>
        <v>https://ceds.ed.gov/cedselementdetails.aspx?termid=21989</v>
      </c>
      <c r="Q3600" s="22">
        <v>60456</v>
      </c>
    </row>
    <row r="3601" spans="1:17" ht="230.4" x14ac:dyDescent="0.3">
      <c r="A3601" s="22" t="s">
        <v>4116</v>
      </c>
      <c r="B3601" s="22" t="s">
        <v>7878</v>
      </c>
      <c r="C3601" s="22"/>
      <c r="D3601" s="22" t="s">
        <v>7710</v>
      </c>
      <c r="E3601" s="22" t="s">
        <v>3501</v>
      </c>
      <c r="F3601" s="24" t="s">
        <v>3502</v>
      </c>
      <c r="G3601" s="26" t="s">
        <v>3503</v>
      </c>
      <c r="H3601" s="22" t="s">
        <v>3507</v>
      </c>
      <c r="I3601" s="22"/>
      <c r="J3601" s="22"/>
      <c r="K3601" s="24"/>
      <c r="L3601" s="24" t="s">
        <v>8106</v>
      </c>
      <c r="M3601" s="25" t="s">
        <v>3505</v>
      </c>
      <c r="N3601" s="22"/>
      <c r="O3601" s="22" t="s">
        <v>3506</v>
      </c>
      <c r="P3601" s="22" t="str">
        <f>HYPERLINK("https://ceds.ed.gov/cedselementdetails.aspx?termid=21990")</f>
        <v>https://ceds.ed.gov/cedselementdetails.aspx?termid=21990</v>
      </c>
      <c r="Q3601" s="22">
        <v>60457</v>
      </c>
    </row>
    <row r="3602" spans="1:17" ht="172.8" x14ac:dyDescent="0.3">
      <c r="A3602" s="22" t="s">
        <v>4116</v>
      </c>
      <c r="B3602" s="22" t="s">
        <v>7878</v>
      </c>
      <c r="C3602" s="22"/>
      <c r="D3602" s="22" t="s">
        <v>7710</v>
      </c>
      <c r="E3602" s="22" t="s">
        <v>5493</v>
      </c>
      <c r="F3602" s="24" t="s">
        <v>5494</v>
      </c>
      <c r="G3602" s="26" t="s">
        <v>22</v>
      </c>
      <c r="H3602" s="22"/>
      <c r="I3602" s="22"/>
      <c r="J3602" s="22"/>
      <c r="K3602" s="24"/>
      <c r="L3602" s="24" t="s">
        <v>8255</v>
      </c>
      <c r="M3602" s="25" t="s">
        <v>5495</v>
      </c>
      <c r="N3602" s="22"/>
      <c r="O3602" s="22" t="s">
        <v>5496</v>
      </c>
      <c r="P3602" s="22" t="str">
        <f>HYPERLINK("https://ceds.ed.gov/cedselementdetails.aspx?termid=22381")</f>
        <v>https://ceds.ed.gov/cedselementdetails.aspx?termid=22381</v>
      </c>
      <c r="Q3602" s="22">
        <v>61292</v>
      </c>
    </row>
    <row r="3603" spans="1:17" ht="187.2" x14ac:dyDescent="0.3">
      <c r="A3603" s="22" t="s">
        <v>4116</v>
      </c>
      <c r="B3603" s="22" t="s">
        <v>7878</v>
      </c>
      <c r="C3603" s="22"/>
      <c r="D3603" s="22" t="s">
        <v>7710</v>
      </c>
      <c r="E3603" s="22" t="s">
        <v>5826</v>
      </c>
      <c r="F3603" s="24" t="s">
        <v>5827</v>
      </c>
      <c r="G3603" s="23" t="s">
        <v>32</v>
      </c>
      <c r="H3603" s="22"/>
      <c r="I3603" s="22"/>
      <c r="J3603" s="22" t="s">
        <v>317</v>
      </c>
      <c r="K3603" s="24"/>
      <c r="L3603" s="24" t="s">
        <v>5828</v>
      </c>
      <c r="M3603" s="25" t="s">
        <v>5829</v>
      </c>
      <c r="N3603" s="22"/>
      <c r="O3603" s="22" t="s">
        <v>5830</v>
      </c>
      <c r="P3603" s="22" t="str">
        <f>HYPERLINK("https://ceds.ed.gov/cedselementdetails.aspx?termid=21993")</f>
        <v>https://ceds.ed.gov/cedselementdetails.aspx?termid=21993</v>
      </c>
      <c r="Q3603" s="22">
        <v>60460</v>
      </c>
    </row>
    <row r="3604" spans="1:17" ht="244.8" x14ac:dyDescent="0.3">
      <c r="A3604" s="22" t="s">
        <v>4116</v>
      </c>
      <c r="B3604" s="22" t="s">
        <v>7878</v>
      </c>
      <c r="C3604" s="22"/>
      <c r="D3604" s="22" t="s">
        <v>7710</v>
      </c>
      <c r="E3604" s="22" t="s">
        <v>3533</v>
      </c>
      <c r="F3604" s="24" t="s">
        <v>3534</v>
      </c>
      <c r="G3604" s="26" t="s">
        <v>8845</v>
      </c>
      <c r="H3604" s="22"/>
      <c r="I3604" s="22"/>
      <c r="J3604" s="22"/>
      <c r="K3604" s="24"/>
      <c r="L3604" s="24" t="s">
        <v>3535</v>
      </c>
      <c r="M3604" s="25" t="s">
        <v>3536</v>
      </c>
      <c r="N3604" s="22"/>
      <c r="O3604" s="22" t="s">
        <v>3537</v>
      </c>
      <c r="P3604" s="22" t="str">
        <f>HYPERLINK("https://ceds.ed.gov/cedselementdetails.aspx?termid=21996")</f>
        <v>https://ceds.ed.gov/cedselementdetails.aspx?termid=21996</v>
      </c>
      <c r="Q3604" s="22">
        <v>60463</v>
      </c>
    </row>
    <row r="3605" spans="1:17" ht="187.2" x14ac:dyDescent="0.3">
      <c r="A3605" s="22" t="s">
        <v>4116</v>
      </c>
      <c r="B3605" s="22" t="s">
        <v>7878</v>
      </c>
      <c r="C3605" s="22"/>
      <c r="D3605" s="22" t="s">
        <v>7710</v>
      </c>
      <c r="E3605" s="22" t="s">
        <v>6344</v>
      </c>
      <c r="F3605" s="24" t="s">
        <v>6345</v>
      </c>
      <c r="G3605" s="23" t="s">
        <v>32</v>
      </c>
      <c r="H3605" s="22"/>
      <c r="I3605" s="22"/>
      <c r="J3605" s="22" t="s">
        <v>1518</v>
      </c>
      <c r="K3605" s="24"/>
      <c r="L3605" s="24" t="s">
        <v>6346</v>
      </c>
      <c r="M3605" s="25" t="s">
        <v>6347</v>
      </c>
      <c r="N3605" s="22"/>
      <c r="O3605" s="22" t="s">
        <v>6348</v>
      </c>
      <c r="P3605" s="22" t="str">
        <f>HYPERLINK("https://ceds.ed.gov/cedselementdetails.aspx?termid=21991")</f>
        <v>https://ceds.ed.gov/cedselementdetails.aspx?termid=21991</v>
      </c>
      <c r="Q3605" s="22">
        <v>60458</v>
      </c>
    </row>
    <row r="3606" spans="1:17" ht="259.2" x14ac:dyDescent="0.3">
      <c r="A3606" s="22" t="s">
        <v>4116</v>
      </c>
      <c r="B3606" s="22" t="s">
        <v>7878</v>
      </c>
      <c r="C3606" s="22"/>
      <c r="D3606" s="22" t="s">
        <v>7710</v>
      </c>
      <c r="E3606" s="22" t="s">
        <v>5831</v>
      </c>
      <c r="F3606" s="24" t="s">
        <v>5832</v>
      </c>
      <c r="G3606" s="26" t="s">
        <v>8494</v>
      </c>
      <c r="H3606" s="22"/>
      <c r="I3606" s="22" t="s">
        <v>172</v>
      </c>
      <c r="J3606" s="22"/>
      <c r="K3606" s="24" t="s">
        <v>7946</v>
      </c>
      <c r="L3606" s="24"/>
      <c r="M3606" s="25" t="s">
        <v>5833</v>
      </c>
      <c r="N3606" s="22"/>
      <c r="O3606" s="22" t="s">
        <v>5834</v>
      </c>
      <c r="P3606" s="22" t="str">
        <f>HYPERLINK("https://ceds.ed.gov/cedselementdetails.aspx?termid=22550")</f>
        <v>https://ceds.ed.gov/cedselementdetails.aspx?termid=22550</v>
      </c>
      <c r="Q3606" s="22">
        <v>63004</v>
      </c>
    </row>
    <row r="3607" spans="1:17" ht="172.8" x14ac:dyDescent="0.3">
      <c r="A3607" s="22" t="s">
        <v>4116</v>
      </c>
      <c r="B3607" s="22" t="s">
        <v>7878</v>
      </c>
      <c r="C3607" s="22"/>
      <c r="D3607" s="22" t="s">
        <v>7710</v>
      </c>
      <c r="E3607" s="22" t="s">
        <v>5835</v>
      </c>
      <c r="F3607" s="24" t="s">
        <v>5836</v>
      </c>
      <c r="G3607" s="23" t="s">
        <v>32</v>
      </c>
      <c r="H3607" s="22"/>
      <c r="I3607" s="22" t="s">
        <v>172</v>
      </c>
      <c r="J3607" s="22" t="s">
        <v>132</v>
      </c>
      <c r="K3607" s="24" t="s">
        <v>7946</v>
      </c>
      <c r="L3607" s="24" t="s">
        <v>8043</v>
      </c>
      <c r="M3607" s="25" t="s">
        <v>5837</v>
      </c>
      <c r="N3607" s="22"/>
      <c r="O3607" s="22" t="s">
        <v>5838</v>
      </c>
      <c r="P3607" s="22" t="str">
        <f>HYPERLINK("https://ceds.ed.gov/cedselementdetails.aspx?termid=22551")</f>
        <v>https://ceds.ed.gov/cedselementdetails.aspx?termid=22551</v>
      </c>
      <c r="Q3607" s="22">
        <v>63005</v>
      </c>
    </row>
    <row r="3608" spans="1:17" ht="100.8" x14ac:dyDescent="0.3">
      <c r="A3608" s="22" t="s">
        <v>4116</v>
      </c>
      <c r="B3608" s="22" t="s">
        <v>7879</v>
      </c>
      <c r="C3608" s="22" t="s">
        <v>7880</v>
      </c>
      <c r="D3608" s="22" t="s">
        <v>7710</v>
      </c>
      <c r="E3608" s="22" t="s">
        <v>7453</v>
      </c>
      <c r="F3608" s="24" t="s">
        <v>7454</v>
      </c>
      <c r="G3608" s="23" t="s">
        <v>32</v>
      </c>
      <c r="H3608" s="22"/>
      <c r="I3608" s="22"/>
      <c r="J3608" s="22" t="s">
        <v>1518</v>
      </c>
      <c r="K3608" s="24"/>
      <c r="L3608" s="24"/>
      <c r="M3608" s="25" t="s">
        <v>7455</v>
      </c>
      <c r="N3608" s="22"/>
      <c r="O3608" s="22" t="s">
        <v>7456</v>
      </c>
      <c r="P3608" s="22" t="str">
        <f>HYPERLINK("https://ceds.ed.gov/cedselementdetails.aspx?termid=22918")</f>
        <v>https://ceds.ed.gov/cedselementdetails.aspx?termid=22918</v>
      </c>
      <c r="Q3608" s="22">
        <v>63690</v>
      </c>
    </row>
    <row r="3609" spans="1:17" ht="28.8" x14ac:dyDescent="0.3">
      <c r="A3609" s="22" t="s">
        <v>7881</v>
      </c>
      <c r="B3609" s="22" t="s">
        <v>7882</v>
      </c>
      <c r="C3609" s="22"/>
      <c r="D3609" s="22" t="s">
        <v>7710</v>
      </c>
      <c r="E3609" s="22" t="s">
        <v>4129</v>
      </c>
      <c r="F3609" s="24" t="s">
        <v>4130</v>
      </c>
      <c r="G3609" s="23" t="s">
        <v>32</v>
      </c>
      <c r="H3609" s="22"/>
      <c r="I3609" s="22" t="s">
        <v>172</v>
      </c>
      <c r="J3609" s="22" t="s">
        <v>113</v>
      </c>
      <c r="K3609" s="24" t="s">
        <v>8050</v>
      </c>
      <c r="L3609" s="24"/>
      <c r="M3609" s="25" t="s">
        <v>4131</v>
      </c>
      <c r="N3609" s="22"/>
      <c r="O3609" s="22" t="s">
        <v>4132</v>
      </c>
      <c r="P3609" s="22" t="str">
        <f>HYPERLINK("https://ceds.ed.gov/cedselementdetails.aspx?termid=21903")</f>
        <v>https://ceds.ed.gov/cedselementdetails.aspx?termid=21903</v>
      </c>
      <c r="Q3609" s="22">
        <v>59363</v>
      </c>
    </row>
    <row r="3610" spans="1:17" ht="28.8" x14ac:dyDescent="0.3">
      <c r="A3610" s="22" t="s">
        <v>7881</v>
      </c>
      <c r="B3610" s="22" t="s">
        <v>7882</v>
      </c>
      <c r="C3610" s="22"/>
      <c r="D3610" s="22" t="s">
        <v>7710</v>
      </c>
      <c r="E3610" s="22" t="s">
        <v>4168</v>
      </c>
      <c r="F3610" s="24" t="s">
        <v>4169</v>
      </c>
      <c r="G3610" s="23" t="s">
        <v>32</v>
      </c>
      <c r="H3610" s="22"/>
      <c r="I3610" s="22"/>
      <c r="J3610" s="22" t="s">
        <v>118</v>
      </c>
      <c r="K3610" s="24"/>
      <c r="L3610" s="24"/>
      <c r="M3610" s="25" t="s">
        <v>4170</v>
      </c>
      <c r="N3610" s="22"/>
      <c r="O3610" s="22" t="s">
        <v>4171</v>
      </c>
      <c r="P3610" s="22" t="str">
        <f>HYPERLINK("https://ceds.ed.gov/cedselementdetails.aspx?termid=22169")</f>
        <v>https://ceds.ed.gov/cedselementdetails.aspx?termid=22169</v>
      </c>
      <c r="Q3610" s="22">
        <v>61887</v>
      </c>
    </row>
    <row r="3611" spans="1:17" ht="100.8" x14ac:dyDescent="0.3">
      <c r="A3611" s="22" t="s">
        <v>7881</v>
      </c>
      <c r="B3611" s="22" t="s">
        <v>7882</v>
      </c>
      <c r="C3611" s="22"/>
      <c r="D3611" s="22" t="s">
        <v>7710</v>
      </c>
      <c r="E3611" s="22" t="s">
        <v>4133</v>
      </c>
      <c r="F3611" s="24" t="s">
        <v>4134</v>
      </c>
      <c r="G3611" s="23" t="s">
        <v>32</v>
      </c>
      <c r="H3611" s="22"/>
      <c r="I3611" s="22"/>
      <c r="J3611" s="22" t="s">
        <v>118</v>
      </c>
      <c r="K3611" s="24"/>
      <c r="L3611" s="24" t="s">
        <v>4135</v>
      </c>
      <c r="M3611" s="25" t="s">
        <v>4136</v>
      </c>
      <c r="N3611" s="22"/>
      <c r="O3611" s="22" t="s">
        <v>4137</v>
      </c>
      <c r="P3611" s="22" t="str">
        <f>HYPERLINK("https://ceds.ed.gov/cedselementdetails.aspx?termid=22170")</f>
        <v>https://ceds.ed.gov/cedselementdetails.aspx?termid=22170</v>
      </c>
      <c r="Q3611" s="22">
        <v>61885</v>
      </c>
    </row>
    <row r="3612" spans="1:17" ht="43.2" x14ac:dyDescent="0.3">
      <c r="A3612" s="22" t="s">
        <v>7881</v>
      </c>
      <c r="B3612" s="22" t="s">
        <v>7882</v>
      </c>
      <c r="C3612" s="22"/>
      <c r="D3612" s="22" t="s">
        <v>7710</v>
      </c>
      <c r="E3612" s="22" t="s">
        <v>4181</v>
      </c>
      <c r="F3612" s="24" t="s">
        <v>4182</v>
      </c>
      <c r="G3612" s="23" t="s">
        <v>32</v>
      </c>
      <c r="H3612" s="22"/>
      <c r="I3612" s="22" t="s">
        <v>172</v>
      </c>
      <c r="J3612" s="22" t="s">
        <v>113</v>
      </c>
      <c r="K3612" s="24" t="s">
        <v>8050</v>
      </c>
      <c r="L3612" s="24"/>
      <c r="M3612" s="25" t="s">
        <v>4183</v>
      </c>
      <c r="N3612" s="22"/>
      <c r="O3612" s="22" t="s">
        <v>4184</v>
      </c>
      <c r="P3612" s="22" t="str">
        <f>HYPERLINK("https://ceds.ed.gov/cedselementdetails.aspx?termid=21902")</f>
        <v>https://ceds.ed.gov/cedselementdetails.aspx?termid=21902</v>
      </c>
      <c r="Q3612" s="22">
        <v>59362</v>
      </c>
    </row>
    <row r="3613" spans="1:17" ht="172.8" x14ac:dyDescent="0.3">
      <c r="A3613" s="22" t="s">
        <v>7881</v>
      </c>
      <c r="B3613" s="22" t="s">
        <v>7825</v>
      </c>
      <c r="C3613" s="22"/>
      <c r="D3613" s="22" t="s">
        <v>7710</v>
      </c>
      <c r="E3613" s="22" t="s">
        <v>4989</v>
      </c>
      <c r="F3613" s="24" t="s">
        <v>8236</v>
      </c>
      <c r="G3613" s="23" t="s">
        <v>32</v>
      </c>
      <c r="H3613" s="22"/>
      <c r="I3613" s="22"/>
      <c r="J3613" s="22" t="s">
        <v>132</v>
      </c>
      <c r="K3613" s="24"/>
      <c r="L3613" s="24" t="s">
        <v>7945</v>
      </c>
      <c r="M3613" s="25" t="s">
        <v>4991</v>
      </c>
      <c r="N3613" s="22"/>
      <c r="O3613" s="22" t="s">
        <v>4992</v>
      </c>
      <c r="P3613" s="22" t="str">
        <f>HYPERLINK("https://ceds.ed.gov/cedselementdetails.aspx?termid=22533")</f>
        <v>https://ceds.ed.gov/cedselementdetails.aspx?termid=22533</v>
      </c>
      <c r="Q3613" s="22">
        <v>61866</v>
      </c>
    </row>
    <row r="3614" spans="1:17" ht="72" x14ac:dyDescent="0.3">
      <c r="A3614" s="22" t="s">
        <v>7881</v>
      </c>
      <c r="B3614" s="22" t="s">
        <v>7825</v>
      </c>
      <c r="C3614" s="22"/>
      <c r="D3614" s="22" t="s">
        <v>7710</v>
      </c>
      <c r="E3614" s="22" t="s">
        <v>5013</v>
      </c>
      <c r="F3614" s="24" t="s">
        <v>5014</v>
      </c>
      <c r="G3614" s="23" t="s">
        <v>32</v>
      </c>
      <c r="H3614" s="22"/>
      <c r="I3614" s="22"/>
      <c r="J3614" s="22" t="s">
        <v>328</v>
      </c>
      <c r="K3614" s="24"/>
      <c r="L3614" s="24"/>
      <c r="M3614" s="25" t="s">
        <v>5015</v>
      </c>
      <c r="N3614" s="22"/>
      <c r="O3614" s="22" t="s">
        <v>5016</v>
      </c>
      <c r="P3614" s="22" t="str">
        <f>HYPERLINK("https://ceds.ed.gov/cedselementdetails.aspx?termid=21936")</f>
        <v>https://ceds.ed.gov/cedselementdetails.aspx?termid=21936</v>
      </c>
      <c r="Q3614" s="22">
        <v>59394</v>
      </c>
    </row>
    <row r="3615" spans="1:17" ht="409.6" x14ac:dyDescent="0.3">
      <c r="A3615" s="22" t="s">
        <v>7881</v>
      </c>
      <c r="B3615" s="22" t="s">
        <v>7825</v>
      </c>
      <c r="C3615" s="22"/>
      <c r="D3615" s="22" t="s">
        <v>7710</v>
      </c>
      <c r="E3615" s="22" t="s">
        <v>5009</v>
      </c>
      <c r="F3615" s="24" t="s">
        <v>5010</v>
      </c>
      <c r="G3615" s="26" t="s">
        <v>8996</v>
      </c>
      <c r="H3615" s="22"/>
      <c r="I3615" s="22"/>
      <c r="J3615" s="22"/>
      <c r="K3615" s="24"/>
      <c r="L3615" s="24" t="s">
        <v>8237</v>
      </c>
      <c r="M3615" s="25" t="s">
        <v>5011</v>
      </c>
      <c r="N3615" s="22"/>
      <c r="O3615" s="22" t="s">
        <v>5012</v>
      </c>
      <c r="P3615" s="22" t="str">
        <f>HYPERLINK("https://ceds.ed.gov/cedselementdetails.aspx?termid=21935")</f>
        <v>https://ceds.ed.gov/cedselementdetails.aspx?termid=21935</v>
      </c>
      <c r="Q3615" s="22">
        <v>59393</v>
      </c>
    </row>
    <row r="3616" spans="1:17" ht="28.8" x14ac:dyDescent="0.3">
      <c r="A3616" s="22" t="s">
        <v>7881</v>
      </c>
      <c r="B3616" s="22" t="s">
        <v>7825</v>
      </c>
      <c r="C3616" s="22"/>
      <c r="D3616" s="22" t="s">
        <v>7710</v>
      </c>
      <c r="E3616" s="22" t="s">
        <v>4993</v>
      </c>
      <c r="F3616" s="24" t="s">
        <v>4994</v>
      </c>
      <c r="G3616" s="23" t="s">
        <v>32</v>
      </c>
      <c r="H3616" s="22"/>
      <c r="I3616" s="22"/>
      <c r="J3616" s="22" t="s">
        <v>845</v>
      </c>
      <c r="K3616" s="24"/>
      <c r="L3616" s="24"/>
      <c r="M3616" s="25" t="s">
        <v>4995</v>
      </c>
      <c r="N3616" s="22"/>
      <c r="O3616" s="22" t="s">
        <v>4996</v>
      </c>
      <c r="P3616" s="22" t="str">
        <f>HYPERLINK("https://ceds.ed.gov/cedselementdetails.aspx?termid=21938")</f>
        <v>https://ceds.ed.gov/cedselementdetails.aspx?termid=21938</v>
      </c>
      <c r="Q3616" s="22">
        <v>59396</v>
      </c>
    </row>
    <row r="3617" spans="1:17" ht="172.8" x14ac:dyDescent="0.3">
      <c r="A3617" s="22" t="s">
        <v>7881</v>
      </c>
      <c r="B3617" s="22" t="s">
        <v>7825</v>
      </c>
      <c r="C3617" s="22"/>
      <c r="D3617" s="22" t="s">
        <v>7710</v>
      </c>
      <c r="E3617" s="22" t="s">
        <v>5001</v>
      </c>
      <c r="F3617" s="24" t="s">
        <v>5002</v>
      </c>
      <c r="G3617" s="23" t="s">
        <v>32</v>
      </c>
      <c r="H3617" s="22"/>
      <c r="I3617" s="22"/>
      <c r="J3617" s="22" t="s">
        <v>132</v>
      </c>
      <c r="K3617" s="24"/>
      <c r="L3617" s="24" t="s">
        <v>7945</v>
      </c>
      <c r="M3617" s="25" t="s">
        <v>5003</v>
      </c>
      <c r="N3617" s="22"/>
      <c r="O3617" s="22" t="s">
        <v>5004</v>
      </c>
      <c r="P3617" s="22" t="str">
        <f>HYPERLINK("https://ceds.ed.gov/cedselementdetails.aspx?termid=22535")</f>
        <v>https://ceds.ed.gov/cedselementdetails.aspx?termid=22535</v>
      </c>
      <c r="Q3617" s="22">
        <v>61875</v>
      </c>
    </row>
    <row r="3618" spans="1:17" ht="28.8" x14ac:dyDescent="0.3">
      <c r="A3618" s="22" t="s">
        <v>7881</v>
      </c>
      <c r="B3618" s="22" t="s">
        <v>7825</v>
      </c>
      <c r="C3618" s="22"/>
      <c r="D3618" s="22" t="s">
        <v>7710</v>
      </c>
      <c r="E3618" s="22" t="s">
        <v>4997</v>
      </c>
      <c r="F3618" s="24" t="s">
        <v>4998</v>
      </c>
      <c r="G3618" s="23" t="s">
        <v>32</v>
      </c>
      <c r="H3618" s="22"/>
      <c r="I3618" s="22"/>
      <c r="J3618" s="22" t="s">
        <v>113</v>
      </c>
      <c r="K3618" s="24"/>
      <c r="L3618" s="24"/>
      <c r="M3618" s="25" t="s">
        <v>4999</v>
      </c>
      <c r="N3618" s="22"/>
      <c r="O3618" s="22" t="s">
        <v>5000</v>
      </c>
      <c r="P3618" s="22" t="str">
        <f>HYPERLINK("https://ceds.ed.gov/cedselementdetails.aspx?termid=22534")</f>
        <v>https://ceds.ed.gov/cedselementdetails.aspx?termid=22534</v>
      </c>
      <c r="Q3618" s="22">
        <v>61872</v>
      </c>
    </row>
    <row r="3619" spans="1:17" ht="28.8" x14ac:dyDescent="0.3">
      <c r="A3619" s="22" t="s">
        <v>7881</v>
      </c>
      <c r="B3619" s="22" t="s">
        <v>7825</v>
      </c>
      <c r="C3619" s="22"/>
      <c r="D3619" s="22" t="s">
        <v>7710</v>
      </c>
      <c r="E3619" s="22" t="s">
        <v>5005</v>
      </c>
      <c r="F3619" s="24" t="s">
        <v>5006</v>
      </c>
      <c r="G3619" s="23" t="s">
        <v>32</v>
      </c>
      <c r="H3619" s="22"/>
      <c r="I3619" s="22"/>
      <c r="J3619" s="22" t="s">
        <v>157</v>
      </c>
      <c r="K3619" s="24"/>
      <c r="L3619" s="24"/>
      <c r="M3619" s="25" t="s">
        <v>5007</v>
      </c>
      <c r="N3619" s="22"/>
      <c r="O3619" s="22" t="s">
        <v>5008</v>
      </c>
      <c r="P3619" s="22" t="str">
        <f>HYPERLINK("https://ceds.ed.gov/cedselementdetails.aspx?termid=22536")</f>
        <v>https://ceds.ed.gov/cedselementdetails.aspx?termid=22536</v>
      </c>
      <c r="Q3619" s="22">
        <v>61878</v>
      </c>
    </row>
    <row r="3620" spans="1:17" ht="43.2" x14ac:dyDescent="0.3">
      <c r="A3620" s="22" t="s">
        <v>7881</v>
      </c>
      <c r="B3620" s="22" t="s">
        <v>7883</v>
      </c>
      <c r="C3620" s="22"/>
      <c r="D3620" s="22" t="s">
        <v>7710</v>
      </c>
      <c r="E3620" s="22" t="s">
        <v>5070</v>
      </c>
      <c r="F3620" s="24" t="s">
        <v>5071</v>
      </c>
      <c r="G3620" s="23" t="s">
        <v>32</v>
      </c>
      <c r="H3620" s="22"/>
      <c r="I3620" s="22"/>
      <c r="J3620" s="22" t="s">
        <v>85</v>
      </c>
      <c r="K3620" s="24"/>
      <c r="L3620" s="24"/>
      <c r="M3620" s="25" t="s">
        <v>5072</v>
      </c>
      <c r="N3620" s="22"/>
      <c r="O3620" s="22" t="s">
        <v>5073</v>
      </c>
      <c r="P3620" s="22" t="str">
        <f>HYPERLINK("https://ceds.ed.gov/cedselementdetails.aspx?termid=21940")</f>
        <v>https://ceds.ed.gov/cedselementdetails.aspx?termid=21940</v>
      </c>
      <c r="Q3620" s="22">
        <v>59398</v>
      </c>
    </row>
    <row r="3621" spans="1:17" ht="43.2" x14ac:dyDescent="0.3">
      <c r="A3621" s="22" t="s">
        <v>7881</v>
      </c>
      <c r="B3621" s="22" t="s">
        <v>7883</v>
      </c>
      <c r="C3621" s="22"/>
      <c r="D3621" s="22" t="s">
        <v>7710</v>
      </c>
      <c r="E3621" s="22" t="s">
        <v>5026</v>
      </c>
      <c r="F3621" s="24" t="s">
        <v>8238</v>
      </c>
      <c r="G3621" s="23" t="s">
        <v>32</v>
      </c>
      <c r="H3621" s="22"/>
      <c r="I3621" s="22"/>
      <c r="J3621" s="22" t="s">
        <v>113</v>
      </c>
      <c r="K3621" s="24"/>
      <c r="L3621" s="24"/>
      <c r="M3621" s="25" t="s">
        <v>5027</v>
      </c>
      <c r="N3621" s="22"/>
      <c r="O3621" s="22" t="s">
        <v>5028</v>
      </c>
      <c r="P3621" s="22" t="str">
        <f>HYPERLINK("https://ceds.ed.gov/cedselementdetails.aspx?termid=21941")</f>
        <v>https://ceds.ed.gov/cedselementdetails.aspx?termid=21941</v>
      </c>
      <c r="Q3621" s="22">
        <v>59399</v>
      </c>
    </row>
    <row r="3622" spans="1:17" x14ac:dyDescent="0.3">
      <c r="A3622" s="22" t="s">
        <v>7881</v>
      </c>
      <c r="B3622" s="22" t="s">
        <v>7883</v>
      </c>
      <c r="C3622" s="22"/>
      <c r="D3622" s="22" t="s">
        <v>7710</v>
      </c>
      <c r="E3622" s="22" t="s">
        <v>5022</v>
      </c>
      <c r="F3622" s="24" t="s">
        <v>5023</v>
      </c>
      <c r="G3622" s="23" t="s">
        <v>32</v>
      </c>
      <c r="H3622" s="22"/>
      <c r="I3622" s="22"/>
      <c r="J3622" s="22" t="s">
        <v>118</v>
      </c>
      <c r="K3622" s="24"/>
      <c r="L3622" s="24"/>
      <c r="M3622" s="25" t="s">
        <v>5024</v>
      </c>
      <c r="N3622" s="22"/>
      <c r="O3622" s="22" t="s">
        <v>5025</v>
      </c>
      <c r="P3622" s="22" t="str">
        <f>HYPERLINK("https://ceds.ed.gov/cedselementdetails.aspx?termid=21944")</f>
        <v>https://ceds.ed.gov/cedselementdetails.aspx?termid=21944</v>
      </c>
      <c r="Q3622" s="22">
        <v>59402</v>
      </c>
    </row>
    <row r="3623" spans="1:17" ht="43.2" x14ac:dyDescent="0.3">
      <c r="A3623" s="22" t="s">
        <v>7881</v>
      </c>
      <c r="B3623" s="22" t="s">
        <v>7883</v>
      </c>
      <c r="C3623" s="22"/>
      <c r="D3623" s="22" t="s">
        <v>7710</v>
      </c>
      <c r="E3623" s="22" t="s">
        <v>5062</v>
      </c>
      <c r="F3623" s="24" t="s">
        <v>5063</v>
      </c>
      <c r="G3623" s="23" t="s">
        <v>32</v>
      </c>
      <c r="H3623" s="22"/>
      <c r="I3623" s="22"/>
      <c r="J3623" s="22" t="s">
        <v>118</v>
      </c>
      <c r="K3623" s="24"/>
      <c r="L3623" s="24"/>
      <c r="M3623" s="25" t="s">
        <v>5064</v>
      </c>
      <c r="N3623" s="22"/>
      <c r="O3623" s="22" t="s">
        <v>5065</v>
      </c>
      <c r="P3623" s="22" t="str">
        <f>HYPERLINK("https://ceds.ed.gov/cedselementdetails.aspx?termid=21951")</f>
        <v>https://ceds.ed.gov/cedselementdetails.aspx?termid=21951</v>
      </c>
      <c r="Q3623" s="22">
        <v>59409</v>
      </c>
    </row>
    <row r="3624" spans="1:17" ht="72" x14ac:dyDescent="0.3">
      <c r="A3624" s="22" t="s">
        <v>7881</v>
      </c>
      <c r="B3624" s="22" t="s">
        <v>7883</v>
      </c>
      <c r="C3624" s="22"/>
      <c r="D3624" s="22" t="s">
        <v>7710</v>
      </c>
      <c r="E3624" s="22" t="s">
        <v>5074</v>
      </c>
      <c r="F3624" s="24" t="s">
        <v>5075</v>
      </c>
      <c r="G3624" s="26" t="s">
        <v>8998</v>
      </c>
      <c r="H3624" s="22"/>
      <c r="I3624" s="22"/>
      <c r="J3624" s="22"/>
      <c r="K3624" s="24"/>
      <c r="L3624" s="24"/>
      <c r="M3624" s="25" t="s">
        <v>5076</v>
      </c>
      <c r="N3624" s="22"/>
      <c r="O3624" s="22" t="s">
        <v>5077</v>
      </c>
      <c r="P3624" s="22" t="str">
        <f>HYPERLINK("https://ceds.ed.gov/cedselementdetails.aspx?termid=21943")</f>
        <v>https://ceds.ed.gov/cedselementdetails.aspx?termid=21943</v>
      </c>
      <c r="Q3624" s="22">
        <v>59401</v>
      </c>
    </row>
    <row r="3625" spans="1:17" ht="100.8" x14ac:dyDescent="0.3">
      <c r="A3625" s="22" t="s">
        <v>7881</v>
      </c>
      <c r="B3625" s="22" t="s">
        <v>7883</v>
      </c>
      <c r="C3625" s="22"/>
      <c r="D3625" s="22" t="s">
        <v>7710</v>
      </c>
      <c r="E3625" s="22" t="s">
        <v>5058</v>
      </c>
      <c r="F3625" s="24" t="s">
        <v>5059</v>
      </c>
      <c r="G3625" s="23" t="s">
        <v>32</v>
      </c>
      <c r="H3625" s="22"/>
      <c r="I3625" s="22"/>
      <c r="J3625" s="22" t="s">
        <v>113</v>
      </c>
      <c r="K3625" s="24"/>
      <c r="L3625" s="24" t="s">
        <v>8239</v>
      </c>
      <c r="M3625" s="25" t="s">
        <v>5060</v>
      </c>
      <c r="N3625" s="22"/>
      <c r="O3625" s="22" t="s">
        <v>5061</v>
      </c>
      <c r="P3625" s="22" t="str">
        <f>HYPERLINK("https://ceds.ed.gov/cedselementdetails.aspx?termid=21942")</f>
        <v>https://ceds.ed.gov/cedselementdetails.aspx?termid=21942</v>
      </c>
      <c r="Q3625" s="22">
        <v>59400</v>
      </c>
    </row>
    <row r="3626" spans="1:17" ht="115.2" x14ac:dyDescent="0.3">
      <c r="A3626" s="22" t="s">
        <v>7881</v>
      </c>
      <c r="B3626" s="22" t="s">
        <v>7883</v>
      </c>
      <c r="C3626" s="22"/>
      <c r="D3626" s="22" t="s">
        <v>7710</v>
      </c>
      <c r="E3626" s="22" t="s">
        <v>5037</v>
      </c>
      <c r="F3626" s="24" t="s">
        <v>5038</v>
      </c>
      <c r="G3626" s="23" t="s">
        <v>7423</v>
      </c>
      <c r="H3626" s="22"/>
      <c r="I3626" s="22"/>
      <c r="J3626" s="22"/>
      <c r="K3626" s="24"/>
      <c r="L3626" s="24" t="s">
        <v>7994</v>
      </c>
      <c r="M3626" s="25" t="s">
        <v>5039</v>
      </c>
      <c r="N3626" s="22"/>
      <c r="O3626" s="22" t="s">
        <v>5040</v>
      </c>
      <c r="P3626" s="22" t="str">
        <f>HYPERLINK("https://ceds.ed.gov/cedselementdetails.aspx?termid=21939")</f>
        <v>https://ceds.ed.gov/cedselementdetails.aspx?termid=21939</v>
      </c>
      <c r="Q3626" s="22">
        <v>59397</v>
      </c>
    </row>
    <row r="3627" spans="1:17" ht="86.4" x14ac:dyDescent="0.3">
      <c r="A3627" s="22" t="s">
        <v>7881</v>
      </c>
      <c r="B3627" s="22" t="s">
        <v>7883</v>
      </c>
      <c r="C3627" s="22"/>
      <c r="D3627" s="22" t="s">
        <v>7710</v>
      </c>
      <c r="E3627" s="22" t="s">
        <v>5050</v>
      </c>
      <c r="F3627" s="24" t="s">
        <v>5051</v>
      </c>
      <c r="G3627" s="26" t="s">
        <v>8997</v>
      </c>
      <c r="H3627" s="22"/>
      <c r="I3627" s="22"/>
      <c r="J3627" s="22"/>
      <c r="K3627" s="24"/>
      <c r="L3627" s="24"/>
      <c r="M3627" s="25" t="s">
        <v>5052</v>
      </c>
      <c r="N3627" s="22"/>
      <c r="O3627" s="22" t="s">
        <v>5053</v>
      </c>
      <c r="P3627" s="22" t="str">
        <f>HYPERLINK("https://ceds.ed.gov/cedselementdetails.aspx?termid=21946")</f>
        <v>https://ceds.ed.gov/cedselementdetails.aspx?termid=21946</v>
      </c>
      <c r="Q3627" s="22">
        <v>59404</v>
      </c>
    </row>
    <row r="3628" spans="1:17" ht="28.8" x14ac:dyDescent="0.3">
      <c r="A3628" s="22" t="s">
        <v>7881</v>
      </c>
      <c r="B3628" s="22" t="s">
        <v>7883</v>
      </c>
      <c r="C3628" s="22"/>
      <c r="D3628" s="22" t="s">
        <v>7710</v>
      </c>
      <c r="E3628" s="22" t="s">
        <v>5045</v>
      </c>
      <c r="F3628" s="24" t="s">
        <v>5046</v>
      </c>
      <c r="G3628" s="23" t="s">
        <v>32</v>
      </c>
      <c r="H3628" s="22"/>
      <c r="I3628" s="22"/>
      <c r="J3628" s="22" t="s">
        <v>317</v>
      </c>
      <c r="K3628" s="24"/>
      <c r="L3628" s="24" t="s">
        <v>5047</v>
      </c>
      <c r="M3628" s="25" t="s">
        <v>5048</v>
      </c>
      <c r="N3628" s="22"/>
      <c r="O3628" s="22" t="s">
        <v>5049</v>
      </c>
      <c r="P3628" s="22" t="str">
        <f>HYPERLINK("https://ceds.ed.gov/cedselementdetails.aspx?termid=21945")</f>
        <v>https://ceds.ed.gov/cedselementdetails.aspx?termid=21945</v>
      </c>
      <c r="Q3628" s="22">
        <v>59403</v>
      </c>
    </row>
    <row r="3629" spans="1:17" ht="43.2" x14ac:dyDescent="0.3">
      <c r="A3629" s="22" t="s">
        <v>7881</v>
      </c>
      <c r="B3629" s="22" t="s">
        <v>7883</v>
      </c>
      <c r="C3629" s="22"/>
      <c r="D3629" s="22" t="s">
        <v>7710</v>
      </c>
      <c r="E3629" s="22" t="s">
        <v>5041</v>
      </c>
      <c r="F3629" s="24" t="s">
        <v>5042</v>
      </c>
      <c r="G3629" s="23" t="s">
        <v>32</v>
      </c>
      <c r="H3629" s="22"/>
      <c r="I3629" s="22"/>
      <c r="J3629" s="22" t="s">
        <v>317</v>
      </c>
      <c r="K3629" s="24"/>
      <c r="L3629" s="24"/>
      <c r="M3629" s="25" t="s">
        <v>5043</v>
      </c>
      <c r="N3629" s="22"/>
      <c r="O3629" s="22" t="s">
        <v>5044</v>
      </c>
      <c r="P3629" s="22" t="str">
        <f>HYPERLINK("https://ceds.ed.gov/cedselementdetails.aspx?termid=21949")</f>
        <v>https://ceds.ed.gov/cedselementdetails.aspx?termid=21949</v>
      </c>
      <c r="Q3629" s="22">
        <v>59407</v>
      </c>
    </row>
    <row r="3630" spans="1:17" x14ac:dyDescent="0.3">
      <c r="A3630" s="22" t="s">
        <v>7881</v>
      </c>
      <c r="B3630" s="22" t="s">
        <v>7883</v>
      </c>
      <c r="C3630" s="22"/>
      <c r="D3630" s="22" t="s">
        <v>7710</v>
      </c>
      <c r="E3630" s="22" t="s">
        <v>5033</v>
      </c>
      <c r="F3630" s="24" t="s">
        <v>5034</v>
      </c>
      <c r="G3630" s="23" t="s">
        <v>32</v>
      </c>
      <c r="H3630" s="22"/>
      <c r="I3630" s="22"/>
      <c r="J3630" s="22" t="s">
        <v>430</v>
      </c>
      <c r="K3630" s="24"/>
      <c r="L3630" s="24"/>
      <c r="M3630" s="25" t="s">
        <v>5035</v>
      </c>
      <c r="N3630" s="22"/>
      <c r="O3630" s="22" t="s">
        <v>5036</v>
      </c>
      <c r="P3630" s="22" t="str">
        <f>HYPERLINK("https://ceds.ed.gov/cedselementdetails.aspx?termid=21948")</f>
        <v>https://ceds.ed.gov/cedselementdetails.aspx?termid=21948</v>
      </c>
      <c r="Q3630" s="22">
        <v>59406</v>
      </c>
    </row>
    <row r="3631" spans="1:17" x14ac:dyDescent="0.3">
      <c r="A3631" s="22" t="s">
        <v>7881</v>
      </c>
      <c r="B3631" s="22" t="s">
        <v>7883</v>
      </c>
      <c r="C3631" s="22"/>
      <c r="D3631" s="22" t="s">
        <v>7710</v>
      </c>
      <c r="E3631" s="22" t="s">
        <v>5029</v>
      </c>
      <c r="F3631" s="24" t="s">
        <v>5030</v>
      </c>
      <c r="G3631" s="23" t="s">
        <v>32</v>
      </c>
      <c r="H3631" s="22"/>
      <c r="I3631" s="22"/>
      <c r="J3631" s="22" t="s">
        <v>118</v>
      </c>
      <c r="K3631" s="24"/>
      <c r="L3631" s="24"/>
      <c r="M3631" s="25" t="s">
        <v>5031</v>
      </c>
      <c r="N3631" s="22"/>
      <c r="O3631" s="22" t="s">
        <v>5032</v>
      </c>
      <c r="P3631" s="22" t="str">
        <f>HYPERLINK("https://ceds.ed.gov/cedselementdetails.aspx?termid=21947")</f>
        <v>https://ceds.ed.gov/cedselementdetails.aspx?termid=21947</v>
      </c>
      <c r="Q3631" s="22">
        <v>59405</v>
      </c>
    </row>
    <row r="3632" spans="1:17" ht="28.8" x14ac:dyDescent="0.3">
      <c r="A3632" s="22" t="s">
        <v>7881</v>
      </c>
      <c r="B3632" s="22" t="s">
        <v>7883</v>
      </c>
      <c r="C3632" s="22"/>
      <c r="D3632" s="22" t="s">
        <v>7710</v>
      </c>
      <c r="E3632" s="22" t="s">
        <v>5054</v>
      </c>
      <c r="F3632" s="24" t="s">
        <v>5055</v>
      </c>
      <c r="G3632" s="23" t="s">
        <v>32</v>
      </c>
      <c r="H3632" s="22"/>
      <c r="I3632" s="22"/>
      <c r="J3632" s="22" t="s">
        <v>1518</v>
      </c>
      <c r="K3632" s="24"/>
      <c r="L3632" s="24"/>
      <c r="M3632" s="25" t="s">
        <v>5056</v>
      </c>
      <c r="N3632" s="22"/>
      <c r="O3632" s="22" t="s">
        <v>5057</v>
      </c>
      <c r="P3632" s="22" t="str">
        <f>HYPERLINK("https://ceds.ed.gov/cedselementdetails.aspx?termid=21953")</f>
        <v>https://ceds.ed.gov/cedselementdetails.aspx?termid=21953</v>
      </c>
      <c r="Q3632" s="22">
        <v>59411</v>
      </c>
    </row>
    <row r="3633" spans="1:17" ht="28.8" x14ac:dyDescent="0.3">
      <c r="A3633" s="22" t="s">
        <v>7881</v>
      </c>
      <c r="B3633" s="22" t="s">
        <v>7883</v>
      </c>
      <c r="C3633" s="22"/>
      <c r="D3633" s="22" t="s">
        <v>7710</v>
      </c>
      <c r="E3633" s="22" t="s">
        <v>5078</v>
      </c>
      <c r="F3633" s="24" t="s">
        <v>5079</v>
      </c>
      <c r="G3633" s="23" t="s">
        <v>32</v>
      </c>
      <c r="H3633" s="22"/>
      <c r="I3633" s="22"/>
      <c r="J3633" s="22" t="s">
        <v>775</v>
      </c>
      <c r="K3633" s="24"/>
      <c r="L3633" s="24"/>
      <c r="M3633" s="25" t="s">
        <v>5080</v>
      </c>
      <c r="N3633" s="22"/>
      <c r="O3633" s="22" t="s">
        <v>5081</v>
      </c>
      <c r="P3633" s="22" t="str">
        <f>HYPERLINK("https://ceds.ed.gov/cedselementdetails.aspx?termid=21952")</f>
        <v>https://ceds.ed.gov/cedselementdetails.aspx?termid=21952</v>
      </c>
      <c r="Q3633" s="22">
        <v>59410</v>
      </c>
    </row>
    <row r="3634" spans="1:17" ht="43.2" x14ac:dyDescent="0.3">
      <c r="A3634" s="22" t="s">
        <v>7881</v>
      </c>
      <c r="B3634" s="22" t="s">
        <v>7883</v>
      </c>
      <c r="C3634" s="22"/>
      <c r="D3634" s="22" t="s">
        <v>7710</v>
      </c>
      <c r="E3634" s="22" t="s">
        <v>5066</v>
      </c>
      <c r="F3634" s="24" t="s">
        <v>5067</v>
      </c>
      <c r="G3634" s="23" t="s">
        <v>32</v>
      </c>
      <c r="H3634" s="22"/>
      <c r="I3634" s="22"/>
      <c r="J3634" s="22" t="s">
        <v>50</v>
      </c>
      <c r="K3634" s="24"/>
      <c r="L3634" s="24"/>
      <c r="M3634" s="25" t="s">
        <v>5068</v>
      </c>
      <c r="N3634" s="22"/>
      <c r="O3634" s="22" t="s">
        <v>5069</v>
      </c>
      <c r="P3634" s="22" t="str">
        <f>HYPERLINK("https://ceds.ed.gov/cedselementdetails.aspx?termid=21954")</f>
        <v>https://ceds.ed.gov/cedselementdetails.aspx?termid=21954</v>
      </c>
      <c r="Q3634" s="22">
        <v>59412</v>
      </c>
    </row>
    <row r="3635" spans="1:17" ht="57.6" x14ac:dyDescent="0.3">
      <c r="A3635" s="22" t="s">
        <v>7881</v>
      </c>
      <c r="B3635" s="22" t="s">
        <v>7883</v>
      </c>
      <c r="C3635" s="22"/>
      <c r="D3635" s="22" t="s">
        <v>7710</v>
      </c>
      <c r="E3635" s="22" t="s">
        <v>5017</v>
      </c>
      <c r="F3635" s="24" t="s">
        <v>5018</v>
      </c>
      <c r="G3635" s="26" t="s">
        <v>8601</v>
      </c>
      <c r="H3635" s="22"/>
      <c r="I3635" s="22"/>
      <c r="J3635" s="22"/>
      <c r="K3635" s="24"/>
      <c r="L3635" s="24"/>
      <c r="M3635" s="25" t="s">
        <v>5020</v>
      </c>
      <c r="N3635" s="22"/>
      <c r="O3635" s="22" t="s">
        <v>5021</v>
      </c>
      <c r="P3635" s="22" t="str">
        <f>HYPERLINK("https://ceds.ed.gov/cedselementdetails.aspx?termid=21950")</f>
        <v>https://ceds.ed.gov/cedselementdetails.aspx?termid=21950</v>
      </c>
      <c r="Q3635" s="22">
        <v>59408</v>
      </c>
    </row>
    <row r="3636" spans="1:17" ht="172.8" x14ac:dyDescent="0.3">
      <c r="A3636" s="22" t="s">
        <v>7881</v>
      </c>
      <c r="B3636" s="22" t="s">
        <v>7861</v>
      </c>
      <c r="C3636" s="22"/>
      <c r="D3636" s="22" t="s">
        <v>7710</v>
      </c>
      <c r="E3636" s="22" t="s">
        <v>623</v>
      </c>
      <c r="F3636" s="24" t="s">
        <v>7972</v>
      </c>
      <c r="G3636" s="23" t="s">
        <v>32</v>
      </c>
      <c r="H3636" s="24" t="s">
        <v>627</v>
      </c>
      <c r="I3636" s="22" t="s">
        <v>172</v>
      </c>
      <c r="J3636" s="22" t="s">
        <v>780</v>
      </c>
      <c r="K3636" s="24" t="s">
        <v>7973</v>
      </c>
      <c r="L3636" s="24" t="s">
        <v>7945</v>
      </c>
      <c r="M3636" s="25" t="s">
        <v>625</v>
      </c>
      <c r="N3636" s="22"/>
      <c r="O3636" s="22" t="s">
        <v>626</v>
      </c>
      <c r="P3636" s="22" t="str">
        <f>HYPERLINK("https://ceds.ed.gov/cedselementdetails.aspx?termid=21152")</f>
        <v>https://ceds.ed.gov/cedselementdetails.aspx?termid=21152</v>
      </c>
      <c r="Q3636" s="22">
        <v>59178</v>
      </c>
    </row>
    <row r="3637" spans="1:17" ht="115.2" x14ac:dyDescent="0.3">
      <c r="A3637" s="22" t="s">
        <v>7881</v>
      </c>
      <c r="B3637" s="22" t="s">
        <v>7861</v>
      </c>
      <c r="C3637" s="22"/>
      <c r="D3637" s="22" t="s">
        <v>7710</v>
      </c>
      <c r="E3637" s="22" t="s">
        <v>617</v>
      </c>
      <c r="F3637" s="24" t="s">
        <v>618</v>
      </c>
      <c r="G3637" s="26" t="s">
        <v>8612</v>
      </c>
      <c r="H3637" s="24" t="s">
        <v>622</v>
      </c>
      <c r="I3637" s="22"/>
      <c r="J3637" s="22"/>
      <c r="K3637" s="24"/>
      <c r="L3637" s="24"/>
      <c r="M3637" s="25" t="s">
        <v>620</v>
      </c>
      <c r="N3637" s="22"/>
      <c r="O3637" s="22" t="s">
        <v>621</v>
      </c>
      <c r="P3637" s="22" t="str">
        <f>HYPERLINK("https://ceds.ed.gov/cedselementdetails.aspx?termid=21158")</f>
        <v>https://ceds.ed.gov/cedselementdetails.aspx?termid=21158</v>
      </c>
      <c r="Q3637" s="22">
        <v>59179</v>
      </c>
    </row>
    <row r="3638" spans="1:17" ht="115.2" x14ac:dyDescent="0.3">
      <c r="A3638" s="22" t="s">
        <v>7881</v>
      </c>
      <c r="B3638" s="22" t="s">
        <v>7861</v>
      </c>
      <c r="C3638" s="22"/>
      <c r="D3638" s="22" t="s">
        <v>7710</v>
      </c>
      <c r="E3638" s="22" t="s">
        <v>613</v>
      </c>
      <c r="F3638" s="24" t="s">
        <v>614</v>
      </c>
      <c r="G3638" s="23" t="s">
        <v>32</v>
      </c>
      <c r="H3638" s="22"/>
      <c r="I3638" s="22"/>
      <c r="J3638" s="22" t="s">
        <v>132</v>
      </c>
      <c r="K3638" s="24"/>
      <c r="L3638" s="24" t="s">
        <v>7970</v>
      </c>
      <c r="M3638" s="25" t="s">
        <v>615</v>
      </c>
      <c r="N3638" s="22"/>
      <c r="O3638" s="22" t="s">
        <v>616</v>
      </c>
      <c r="P3638" s="22" t="str">
        <f>HYPERLINK("https://ceds.ed.gov/cedselementdetails.aspx?termid=21982")</f>
        <v>https://ceds.ed.gov/cedselementdetails.aspx?termid=21982</v>
      </c>
      <c r="Q3638" s="22">
        <v>59433</v>
      </c>
    </row>
    <row r="3639" spans="1:17" ht="144" x14ac:dyDescent="0.3">
      <c r="A3639" s="22" t="s">
        <v>7881</v>
      </c>
      <c r="B3639" s="22" t="s">
        <v>7861</v>
      </c>
      <c r="C3639" s="22"/>
      <c r="D3639" s="22" t="s">
        <v>7710</v>
      </c>
      <c r="E3639" s="22" t="s">
        <v>1429</v>
      </c>
      <c r="F3639" s="24" t="s">
        <v>1430</v>
      </c>
      <c r="G3639" s="23" t="s">
        <v>32</v>
      </c>
      <c r="H3639" s="24" t="s">
        <v>1424</v>
      </c>
      <c r="I3639" s="22"/>
      <c r="J3639" s="22" t="s">
        <v>157</v>
      </c>
      <c r="K3639" s="24"/>
      <c r="L3639" s="24"/>
      <c r="M3639" s="25" t="s">
        <v>1432</v>
      </c>
      <c r="N3639" s="22"/>
      <c r="O3639" s="22" t="s">
        <v>1433</v>
      </c>
      <c r="P3639" s="22" t="str">
        <f>HYPERLINK("https://ceds.ed.gov/cedselementdetails.aspx?termid=21028")</f>
        <v>https://ceds.ed.gov/cedselementdetails.aspx?termid=21028</v>
      </c>
      <c r="Q3639" s="22">
        <v>59176</v>
      </c>
    </row>
    <row r="3640" spans="1:17" x14ac:dyDescent="0.3">
      <c r="A3640" s="22" t="s">
        <v>7881</v>
      </c>
      <c r="B3640" s="22" t="s">
        <v>7861</v>
      </c>
      <c r="C3640" s="22"/>
      <c r="D3640" s="22" t="s">
        <v>7710</v>
      </c>
      <c r="E3640" s="22" t="s">
        <v>1378</v>
      </c>
      <c r="F3640" s="24" t="s">
        <v>1379</v>
      </c>
      <c r="G3640" s="23" t="s">
        <v>32</v>
      </c>
      <c r="H3640" s="22"/>
      <c r="I3640" s="22"/>
      <c r="J3640" s="22" t="s">
        <v>85</v>
      </c>
      <c r="K3640" s="24"/>
      <c r="L3640" s="24"/>
      <c r="M3640" s="25" t="s">
        <v>1380</v>
      </c>
      <c r="N3640" s="22"/>
      <c r="O3640" s="22" t="s">
        <v>1381</v>
      </c>
      <c r="P3640" s="22" t="str">
        <f>HYPERLINK("https://ceds.ed.gov/cedselementdetails.aspx?termid=21932")</f>
        <v>https://ceds.ed.gov/cedselementdetails.aspx?termid=21932</v>
      </c>
      <c r="Q3640" s="22">
        <v>59390</v>
      </c>
    </row>
    <row r="3641" spans="1:17" ht="57.6" x14ac:dyDescent="0.3">
      <c r="A3641" s="22" t="s">
        <v>7881</v>
      </c>
      <c r="B3641" s="22" t="s">
        <v>7861</v>
      </c>
      <c r="C3641" s="22"/>
      <c r="D3641" s="22" t="s">
        <v>7710</v>
      </c>
      <c r="E3641" s="22" t="s">
        <v>504</v>
      </c>
      <c r="F3641" s="24" t="s">
        <v>505</v>
      </c>
      <c r="G3641" s="23" t="s">
        <v>32</v>
      </c>
      <c r="H3641" s="22"/>
      <c r="I3641" s="22"/>
      <c r="J3641" s="22" t="s">
        <v>85</v>
      </c>
      <c r="K3641" s="24"/>
      <c r="L3641" s="24" t="s">
        <v>507</v>
      </c>
      <c r="M3641" s="25" t="s">
        <v>508</v>
      </c>
      <c r="N3641" s="22"/>
      <c r="O3641" s="22" t="s">
        <v>509</v>
      </c>
      <c r="P3641" s="22" t="str">
        <f>HYPERLINK("https://ceds.ed.gov/cedselementdetails.aspx?termid=21934")</f>
        <v>https://ceds.ed.gov/cedselementdetails.aspx?termid=21934</v>
      </c>
      <c r="Q3641" s="22">
        <v>59392</v>
      </c>
    </row>
    <row r="3642" spans="1:17" ht="86.4" x14ac:dyDescent="0.3">
      <c r="A3642" s="22" t="s">
        <v>7881</v>
      </c>
      <c r="B3642" s="22" t="s">
        <v>7861</v>
      </c>
      <c r="C3642" s="22"/>
      <c r="D3642" s="22" t="s">
        <v>7710</v>
      </c>
      <c r="E3642" s="22" t="s">
        <v>510</v>
      </c>
      <c r="F3642" s="24" t="s">
        <v>511</v>
      </c>
      <c r="G3642" s="23" t="s">
        <v>32</v>
      </c>
      <c r="H3642" s="22"/>
      <c r="I3642" s="22"/>
      <c r="J3642" s="22" t="s">
        <v>157</v>
      </c>
      <c r="K3642" s="24"/>
      <c r="L3642" s="24"/>
      <c r="M3642" s="25" t="s">
        <v>512</v>
      </c>
      <c r="N3642" s="22"/>
      <c r="O3642" s="22" t="s">
        <v>513</v>
      </c>
      <c r="P3642" s="22" t="str">
        <f>HYPERLINK("https://ceds.ed.gov/cedselementdetails.aspx?termid=21933")</f>
        <v>https://ceds.ed.gov/cedselementdetails.aspx?termid=21933</v>
      </c>
      <c r="Q3642" s="22">
        <v>59391</v>
      </c>
    </row>
    <row r="3643" spans="1:17" ht="28.8" x14ac:dyDescent="0.3">
      <c r="A3643" s="22" t="s">
        <v>7881</v>
      </c>
      <c r="B3643" s="22" t="s">
        <v>7861</v>
      </c>
      <c r="C3643" s="22"/>
      <c r="D3643" s="22" t="s">
        <v>7710</v>
      </c>
      <c r="E3643" s="22" t="s">
        <v>1189</v>
      </c>
      <c r="F3643" s="24" t="s">
        <v>1190</v>
      </c>
      <c r="G3643" s="23" t="s">
        <v>32</v>
      </c>
      <c r="H3643" s="22"/>
      <c r="I3643" s="22"/>
      <c r="J3643" s="22" t="s">
        <v>85</v>
      </c>
      <c r="K3643" s="24"/>
      <c r="L3643" s="24" t="s">
        <v>1191</v>
      </c>
      <c r="M3643" s="25" t="s">
        <v>1192</v>
      </c>
      <c r="N3643" s="22"/>
      <c r="O3643" s="22" t="s">
        <v>1193</v>
      </c>
      <c r="P3643" s="22" t="str">
        <f>HYPERLINK("https://ceds.ed.gov/cedselementdetails.aspx?termid=22009")</f>
        <v>https://ceds.ed.gov/cedselementdetails.aspx?termid=22009</v>
      </c>
      <c r="Q3643" s="22">
        <v>59445</v>
      </c>
    </row>
    <row r="3644" spans="1:17" ht="43.2" x14ac:dyDescent="0.3">
      <c r="A3644" s="22" t="s">
        <v>7881</v>
      </c>
      <c r="B3644" s="22" t="s">
        <v>7861</v>
      </c>
      <c r="C3644" s="22"/>
      <c r="D3644" s="22" t="s">
        <v>7710</v>
      </c>
      <c r="E3644" s="22" t="s">
        <v>1305</v>
      </c>
      <c r="F3644" s="24" t="s">
        <v>1306</v>
      </c>
      <c r="G3644" s="23" t="s">
        <v>32</v>
      </c>
      <c r="H3644" s="22"/>
      <c r="I3644" s="22"/>
      <c r="J3644" s="22" t="s">
        <v>118</v>
      </c>
      <c r="K3644" s="24"/>
      <c r="L3644" s="24"/>
      <c r="M3644" s="25" t="s">
        <v>1307</v>
      </c>
      <c r="N3644" s="22"/>
      <c r="O3644" s="22" t="s">
        <v>1308</v>
      </c>
      <c r="P3644" s="22" t="str">
        <f>HYPERLINK("https://ceds.ed.gov/cedselementdetails.aspx?termid=22519")</f>
        <v>https://ceds.ed.gov/cedselementdetails.aspx?termid=22519</v>
      </c>
      <c r="Q3644" s="22">
        <v>61815</v>
      </c>
    </row>
    <row r="3645" spans="1:17" ht="409.6" x14ac:dyDescent="0.3">
      <c r="A3645" s="22" t="s">
        <v>7881</v>
      </c>
      <c r="B3645" s="22" t="s">
        <v>7861</v>
      </c>
      <c r="C3645" s="22"/>
      <c r="D3645" s="22" t="s">
        <v>7710</v>
      </c>
      <c r="E3645" s="22" t="s">
        <v>1434</v>
      </c>
      <c r="F3645" s="24" t="s">
        <v>1435</v>
      </c>
      <c r="G3645" s="26" t="s">
        <v>8648</v>
      </c>
      <c r="H3645" s="24" t="s">
        <v>498</v>
      </c>
      <c r="I3645" s="22"/>
      <c r="J3645" s="22"/>
      <c r="K3645" s="24"/>
      <c r="L3645" s="24"/>
      <c r="M3645" s="25" t="s">
        <v>1436</v>
      </c>
      <c r="N3645" s="22"/>
      <c r="O3645" s="22" t="s">
        <v>1437</v>
      </c>
      <c r="P3645" s="22" t="str">
        <f>HYPERLINK("https://ceds.ed.gov/cedselementdetails.aspx?termid=21029")</f>
        <v>https://ceds.ed.gov/cedselementdetails.aspx?termid=21029</v>
      </c>
      <c r="Q3645" s="22">
        <v>59177</v>
      </c>
    </row>
    <row r="3646" spans="1:17" ht="28.8" x14ac:dyDescent="0.3">
      <c r="A3646" s="22" t="s">
        <v>7881</v>
      </c>
      <c r="B3646" s="22" t="s">
        <v>7861</v>
      </c>
      <c r="C3646" s="22"/>
      <c r="D3646" s="22" t="s">
        <v>7710</v>
      </c>
      <c r="E3646" s="22" t="s">
        <v>1117</v>
      </c>
      <c r="F3646" s="24" t="s">
        <v>1118</v>
      </c>
      <c r="G3646" s="23" t="s">
        <v>32</v>
      </c>
      <c r="H3646" s="24" t="s">
        <v>638</v>
      </c>
      <c r="I3646" s="22"/>
      <c r="J3646" s="22" t="s">
        <v>780</v>
      </c>
      <c r="K3646" s="24"/>
      <c r="L3646" s="24"/>
      <c r="M3646" s="25" t="s">
        <v>1119</v>
      </c>
      <c r="N3646" s="22"/>
      <c r="O3646" s="22" t="s">
        <v>1120</v>
      </c>
      <c r="P3646" s="22" t="str">
        <f>HYPERLINK("https://ceds.ed.gov/cedselementdetails.aspx?termid=21373")</f>
        <v>https://ceds.ed.gov/cedselementdetails.aspx?termid=21373</v>
      </c>
      <c r="Q3646" s="22">
        <v>59182</v>
      </c>
    </row>
    <row r="3647" spans="1:17" ht="331.2" x14ac:dyDescent="0.3">
      <c r="A3647" s="22" t="s">
        <v>7881</v>
      </c>
      <c r="B3647" s="22" t="s">
        <v>7861</v>
      </c>
      <c r="C3647" s="22"/>
      <c r="D3647" s="22" t="s">
        <v>7710</v>
      </c>
      <c r="E3647" s="22" t="s">
        <v>1194</v>
      </c>
      <c r="F3647" s="24" t="s">
        <v>1195</v>
      </c>
      <c r="G3647" s="26" t="s">
        <v>8637</v>
      </c>
      <c r="H3647" s="24" t="s">
        <v>498</v>
      </c>
      <c r="I3647" s="22"/>
      <c r="J3647" s="22"/>
      <c r="K3647" s="24"/>
      <c r="L3647" s="24" t="s">
        <v>1197</v>
      </c>
      <c r="M3647" s="25" t="s">
        <v>1198</v>
      </c>
      <c r="N3647" s="22"/>
      <c r="O3647" s="22" t="s">
        <v>1199</v>
      </c>
      <c r="P3647" s="22" t="str">
        <f>HYPERLINK("https://ceds.ed.gov/cedselementdetails.aspx?termid=21026")</f>
        <v>https://ceds.ed.gov/cedselementdetails.aspx?termid=21026</v>
      </c>
      <c r="Q3647" s="22">
        <v>59175</v>
      </c>
    </row>
    <row r="3648" spans="1:17" ht="360" x14ac:dyDescent="0.3">
      <c r="A3648" s="22" t="s">
        <v>7881</v>
      </c>
      <c r="B3648" s="22" t="s">
        <v>7861</v>
      </c>
      <c r="C3648" s="22"/>
      <c r="D3648" s="22" t="s">
        <v>7710</v>
      </c>
      <c r="E3648" s="22" t="s">
        <v>971</v>
      </c>
      <c r="F3648" s="24" t="s">
        <v>972</v>
      </c>
      <c r="G3648" s="26" t="s">
        <v>8399</v>
      </c>
      <c r="H3648" s="24" t="s">
        <v>975</v>
      </c>
      <c r="I3648" s="22" t="s">
        <v>172</v>
      </c>
      <c r="J3648" s="22"/>
      <c r="K3648" s="24" t="s">
        <v>7995</v>
      </c>
      <c r="L3648" s="24"/>
      <c r="M3648" s="25" t="s">
        <v>973</v>
      </c>
      <c r="N3648" s="22"/>
      <c r="O3648" s="22" t="s">
        <v>974</v>
      </c>
      <c r="P3648" s="22" t="str">
        <f>HYPERLINK("https://ceds.ed.gov/cedselementdetails.aspx?termid=21177")</f>
        <v>https://ceds.ed.gov/cedselementdetails.aspx?termid=21177</v>
      </c>
      <c r="Q3648" s="22">
        <v>59180</v>
      </c>
    </row>
    <row r="3649" spans="1:17" ht="288" x14ac:dyDescent="0.3">
      <c r="A3649" s="22" t="s">
        <v>7881</v>
      </c>
      <c r="B3649" s="22" t="s">
        <v>7861</v>
      </c>
      <c r="C3649" s="22"/>
      <c r="D3649" s="22" t="s">
        <v>7710</v>
      </c>
      <c r="E3649" s="22" t="s">
        <v>404</v>
      </c>
      <c r="F3649" s="24" t="s">
        <v>405</v>
      </c>
      <c r="G3649" s="26" t="s">
        <v>8605</v>
      </c>
      <c r="H3649" s="24" t="s">
        <v>409</v>
      </c>
      <c r="I3649" s="22"/>
      <c r="J3649" s="22"/>
      <c r="K3649" s="24"/>
      <c r="L3649" s="24"/>
      <c r="M3649" s="25" t="s">
        <v>407</v>
      </c>
      <c r="N3649" s="22"/>
      <c r="O3649" s="22" t="s">
        <v>408</v>
      </c>
      <c r="P3649" s="22" t="str">
        <f>HYPERLINK("https://ceds.ed.gov/cedselementdetails.aspx?termid=21021")</f>
        <v>https://ceds.ed.gov/cedselementdetails.aspx?termid=21021</v>
      </c>
      <c r="Q3649" s="22">
        <v>59174</v>
      </c>
    </row>
    <row r="3650" spans="1:17" ht="273.60000000000002" x14ac:dyDescent="0.3">
      <c r="A3650" s="22" t="s">
        <v>7881</v>
      </c>
      <c r="B3650" s="22" t="s">
        <v>7861</v>
      </c>
      <c r="C3650" s="22"/>
      <c r="D3650" s="22" t="s">
        <v>7710</v>
      </c>
      <c r="E3650" s="22" t="s">
        <v>8019</v>
      </c>
      <c r="F3650" s="24" t="s">
        <v>8020</v>
      </c>
      <c r="G3650" s="26" t="s">
        <v>8403</v>
      </c>
      <c r="H3650" s="24" t="s">
        <v>1234</v>
      </c>
      <c r="I3650" s="22" t="s">
        <v>172</v>
      </c>
      <c r="J3650" s="22"/>
      <c r="K3650" s="24" t="s">
        <v>8021</v>
      </c>
      <c r="L3650" s="24"/>
      <c r="M3650" s="25" t="s">
        <v>1438</v>
      </c>
      <c r="N3650" s="22"/>
      <c r="O3650" s="22" t="s">
        <v>8022</v>
      </c>
      <c r="P3650" s="22" t="str">
        <f>HYPERLINK("https://ceds.ed.gov/cedselementdetails.aspx?termid=21405")</f>
        <v>https://ceds.ed.gov/cedselementdetails.aspx?termid=21405</v>
      </c>
      <c r="Q3650" s="22">
        <v>59184</v>
      </c>
    </row>
    <row r="3651" spans="1:17" ht="273.60000000000002" x14ac:dyDescent="0.3">
      <c r="A3651" s="22" t="s">
        <v>7881</v>
      </c>
      <c r="B3651" s="22" t="s">
        <v>7861</v>
      </c>
      <c r="C3651" s="22"/>
      <c r="D3651" s="22" t="s">
        <v>7710</v>
      </c>
      <c r="E3651" s="22" t="s">
        <v>499</v>
      </c>
      <c r="F3651" s="24" t="s">
        <v>500</v>
      </c>
      <c r="G3651" s="26" t="s">
        <v>8610</v>
      </c>
      <c r="H3651" s="24" t="s">
        <v>503</v>
      </c>
      <c r="I3651" s="22"/>
      <c r="J3651" s="22"/>
      <c r="K3651" s="24"/>
      <c r="L3651" s="24" t="s">
        <v>7968</v>
      </c>
      <c r="M3651" s="25" t="s">
        <v>501</v>
      </c>
      <c r="N3651" s="22"/>
      <c r="O3651" s="22" t="s">
        <v>502</v>
      </c>
      <c r="P3651" s="22" t="str">
        <f>HYPERLINK("https://ceds.ed.gov/cedselementdetails.aspx?termid=22003")</f>
        <v>https://ceds.ed.gov/cedselementdetails.aspx?termid=22003</v>
      </c>
      <c r="Q3651" s="22">
        <v>59509</v>
      </c>
    </row>
    <row r="3652" spans="1:17" ht="409.6" x14ac:dyDescent="0.3">
      <c r="A3652" s="22" t="s">
        <v>7881</v>
      </c>
      <c r="B3652" s="22" t="s">
        <v>7861</v>
      </c>
      <c r="C3652" s="22"/>
      <c r="D3652" s="22" t="s">
        <v>7710</v>
      </c>
      <c r="E3652" s="22" t="s">
        <v>1309</v>
      </c>
      <c r="F3652" s="24" t="s">
        <v>1310</v>
      </c>
      <c r="G3652" s="26" t="s">
        <v>8402</v>
      </c>
      <c r="H3652" s="24" t="s">
        <v>1314</v>
      </c>
      <c r="I3652" s="22" t="s">
        <v>172</v>
      </c>
      <c r="J3652" s="22"/>
      <c r="K3652" s="24" t="s">
        <v>7995</v>
      </c>
      <c r="L3652" s="24"/>
      <c r="M3652" s="25" t="s">
        <v>1312</v>
      </c>
      <c r="N3652" s="22"/>
      <c r="O3652" s="22" t="s">
        <v>1313</v>
      </c>
      <c r="P3652" s="22" t="str">
        <f>HYPERLINK("https://ceds.ed.gov/cedselementdetails.aspx?termid=21368")</f>
        <v>https://ceds.ed.gov/cedselementdetails.aspx?termid=21368</v>
      </c>
      <c r="Q3652" s="22">
        <v>59181</v>
      </c>
    </row>
    <row r="3653" spans="1:17" ht="115.2" x14ac:dyDescent="0.3">
      <c r="A3653" s="22" t="s">
        <v>7881</v>
      </c>
      <c r="B3653" s="22" t="s">
        <v>7861</v>
      </c>
      <c r="C3653" s="22"/>
      <c r="D3653" s="22" t="s">
        <v>7710</v>
      </c>
      <c r="E3653" s="22" t="s">
        <v>4923</v>
      </c>
      <c r="F3653" s="24" t="s">
        <v>4924</v>
      </c>
      <c r="G3653" s="23" t="s">
        <v>7423</v>
      </c>
      <c r="H3653" s="24" t="s">
        <v>4927</v>
      </c>
      <c r="I3653" s="22"/>
      <c r="J3653" s="22"/>
      <c r="K3653" s="24"/>
      <c r="L3653" s="24" t="s">
        <v>7994</v>
      </c>
      <c r="M3653" s="25" t="s">
        <v>4925</v>
      </c>
      <c r="N3653" s="22"/>
      <c r="O3653" s="22" t="s">
        <v>4926</v>
      </c>
      <c r="P3653" s="22" t="str">
        <f>HYPERLINK("https://ceds.ed.gov/cedselementdetails.aspx?termid=21317")</f>
        <v>https://ceds.ed.gov/cedselementdetails.aspx?termid=21317</v>
      </c>
      <c r="Q3653" s="22">
        <v>59597</v>
      </c>
    </row>
    <row r="3654" spans="1:17" ht="115.2" x14ac:dyDescent="0.3">
      <c r="A3654" s="22" t="s">
        <v>7881</v>
      </c>
      <c r="B3654" s="22" t="s">
        <v>7861</v>
      </c>
      <c r="C3654" s="22"/>
      <c r="D3654" s="22" t="s">
        <v>7710</v>
      </c>
      <c r="E3654" s="22" t="s">
        <v>4928</v>
      </c>
      <c r="F3654" s="24" t="s">
        <v>4924</v>
      </c>
      <c r="G3654" s="23" t="s">
        <v>7423</v>
      </c>
      <c r="H3654" s="22"/>
      <c r="I3654" s="22" t="s">
        <v>172</v>
      </c>
      <c r="J3654" s="22"/>
      <c r="K3654" s="24" t="s">
        <v>8231</v>
      </c>
      <c r="L3654" s="24" t="s">
        <v>8232</v>
      </c>
      <c r="M3654" s="25" t="s">
        <v>4929</v>
      </c>
      <c r="N3654" s="22"/>
      <c r="O3654" s="22" t="s">
        <v>4930</v>
      </c>
      <c r="P3654" s="22" t="str">
        <f>HYPERLINK("https://ceds.ed.gov/cedselementdetails.aspx?termid=22618")</f>
        <v>https://ceds.ed.gov/cedselementdetails.aspx?termid=22618</v>
      </c>
      <c r="Q3654" s="22">
        <v>62216</v>
      </c>
    </row>
    <row r="3655" spans="1:17" ht="409.6" x14ac:dyDescent="0.3">
      <c r="A3655" s="22" t="s">
        <v>7881</v>
      </c>
      <c r="B3655" s="22" t="s">
        <v>7861</v>
      </c>
      <c r="C3655" s="22"/>
      <c r="D3655" s="22" t="s">
        <v>7710</v>
      </c>
      <c r="E3655" s="22" t="s">
        <v>4931</v>
      </c>
      <c r="F3655" s="24" t="s">
        <v>4932</v>
      </c>
      <c r="G3655" s="26" t="s">
        <v>8988</v>
      </c>
      <c r="H3655" s="22"/>
      <c r="I3655" s="22"/>
      <c r="J3655" s="22"/>
      <c r="K3655" s="24"/>
      <c r="L3655" s="24" t="s">
        <v>8233</v>
      </c>
      <c r="M3655" s="25" t="s">
        <v>4933</v>
      </c>
      <c r="N3655" s="22"/>
      <c r="O3655" s="22" t="s">
        <v>4934</v>
      </c>
      <c r="P3655" s="22" t="str">
        <f>HYPERLINK("https://ceds.ed.gov/cedselementdetails.aspx?termid=22619")</f>
        <v>https://ceds.ed.gov/cedselementdetails.aspx?termid=22619</v>
      </c>
      <c r="Q3655" s="22">
        <v>62223</v>
      </c>
    </row>
    <row r="3656" spans="1:17" ht="72" x14ac:dyDescent="0.3">
      <c r="A3656" s="22" t="s">
        <v>7881</v>
      </c>
      <c r="B3656" s="22" t="s">
        <v>7861</v>
      </c>
      <c r="C3656" s="22"/>
      <c r="D3656" s="22" t="s">
        <v>7741</v>
      </c>
      <c r="E3656" s="22" t="s">
        <v>8023</v>
      </c>
      <c r="F3656" s="24" t="s">
        <v>8024</v>
      </c>
      <c r="G3656" s="26" t="s">
        <v>8377</v>
      </c>
      <c r="H3656" s="22"/>
      <c r="I3656" s="22" t="s">
        <v>167</v>
      </c>
      <c r="J3656" s="22" t="s">
        <v>2</v>
      </c>
      <c r="K3656" s="24" t="s">
        <v>7949</v>
      </c>
      <c r="L3656" s="24"/>
      <c r="M3656" s="25" t="s">
        <v>8353</v>
      </c>
      <c r="N3656" s="22"/>
      <c r="O3656" s="22" t="s">
        <v>8025</v>
      </c>
      <c r="P3656" s="22" t="str">
        <f>HYPERLINK("https://ceds.ed.gov/cedselementdetails.aspx?termid=22974")</f>
        <v>https://ceds.ed.gov/cedselementdetails.aspx?termid=22974</v>
      </c>
      <c r="Q3656" s="22">
        <v>63696</v>
      </c>
    </row>
    <row r="3657" spans="1:17" ht="115.2" x14ac:dyDescent="0.3">
      <c r="A3657" s="22" t="s">
        <v>7881</v>
      </c>
      <c r="B3657" s="22" t="s">
        <v>7884</v>
      </c>
      <c r="C3657" s="22"/>
      <c r="D3657" s="22" t="s">
        <v>7710</v>
      </c>
      <c r="E3657" s="22" t="s">
        <v>533</v>
      </c>
      <c r="F3657" s="24" t="s">
        <v>534</v>
      </c>
      <c r="G3657" s="23" t="s">
        <v>32</v>
      </c>
      <c r="H3657" s="22"/>
      <c r="I3657" s="22"/>
      <c r="J3657" s="22" t="s">
        <v>132</v>
      </c>
      <c r="K3657" s="24"/>
      <c r="L3657" s="24" t="s">
        <v>7970</v>
      </c>
      <c r="M3657" s="25" t="s">
        <v>535</v>
      </c>
      <c r="N3657" s="22"/>
      <c r="O3657" s="22" t="s">
        <v>536</v>
      </c>
      <c r="P3657" s="22" t="str">
        <f>HYPERLINK("https://ceds.ed.gov/cedselementdetails.aspx?termid=22510")</f>
        <v>https://ceds.ed.gov/cedselementdetails.aspx?termid=22510</v>
      </c>
      <c r="Q3657" s="22">
        <v>61779</v>
      </c>
    </row>
    <row r="3658" spans="1:17" ht="129.6" x14ac:dyDescent="0.3">
      <c r="A3658" s="22" t="s">
        <v>7881</v>
      </c>
      <c r="B3658" s="22" t="s">
        <v>7884</v>
      </c>
      <c r="C3658" s="22"/>
      <c r="D3658" s="22" t="s">
        <v>7710</v>
      </c>
      <c r="E3658" s="22" t="s">
        <v>541</v>
      </c>
      <c r="F3658" s="24" t="s">
        <v>542</v>
      </c>
      <c r="G3658" s="23" t="s">
        <v>32</v>
      </c>
      <c r="H3658" s="24" t="s">
        <v>545</v>
      </c>
      <c r="I3658" s="22"/>
      <c r="J3658" s="22" t="s">
        <v>132</v>
      </c>
      <c r="K3658" s="24"/>
      <c r="L3658" s="24"/>
      <c r="M3658" s="25" t="s">
        <v>543</v>
      </c>
      <c r="N3658" s="22"/>
      <c r="O3658" s="22" t="s">
        <v>544</v>
      </c>
      <c r="P3658" s="22" t="str">
        <f>HYPERLINK("https://ceds.ed.gov/cedselementdetails.aspx?termid=21024")</f>
        <v>https://ceds.ed.gov/cedselementdetails.aspx?termid=21024</v>
      </c>
      <c r="Q3658" s="22">
        <v>59191</v>
      </c>
    </row>
    <row r="3659" spans="1:17" ht="43.2" x14ac:dyDescent="0.3">
      <c r="A3659" s="22" t="s">
        <v>7881</v>
      </c>
      <c r="B3659" s="22" t="s">
        <v>7884</v>
      </c>
      <c r="C3659" s="22"/>
      <c r="D3659" s="22" t="s">
        <v>7710</v>
      </c>
      <c r="E3659" s="22" t="s">
        <v>546</v>
      </c>
      <c r="F3659" s="24" t="s">
        <v>547</v>
      </c>
      <c r="G3659" s="23" t="s">
        <v>32</v>
      </c>
      <c r="H3659" s="24" t="s">
        <v>93</v>
      </c>
      <c r="I3659" s="22"/>
      <c r="J3659" s="22" t="s">
        <v>85</v>
      </c>
      <c r="K3659" s="24"/>
      <c r="L3659" s="24"/>
      <c r="M3659" s="25" t="s">
        <v>549</v>
      </c>
      <c r="N3659" s="22"/>
      <c r="O3659" s="22" t="s">
        <v>550</v>
      </c>
      <c r="P3659" s="22" t="str">
        <f>HYPERLINK("https://ceds.ed.gov/cedselementdetails.aspx?termid=21365")</f>
        <v>https://ceds.ed.gov/cedselementdetails.aspx?termid=21365</v>
      </c>
      <c r="Q3659" s="22">
        <v>59192</v>
      </c>
    </row>
    <row r="3660" spans="1:17" ht="43.2" x14ac:dyDescent="0.3">
      <c r="A3660" s="22" t="s">
        <v>7881</v>
      </c>
      <c r="B3660" s="22" t="s">
        <v>7884</v>
      </c>
      <c r="C3660" s="22"/>
      <c r="D3660" s="22" t="s">
        <v>7710</v>
      </c>
      <c r="E3660" s="22" t="s">
        <v>519</v>
      </c>
      <c r="F3660" s="24" t="s">
        <v>520</v>
      </c>
      <c r="G3660" s="26" t="s">
        <v>22</v>
      </c>
      <c r="H3660" s="22"/>
      <c r="I3660" s="22"/>
      <c r="J3660" s="22"/>
      <c r="K3660" s="24"/>
      <c r="L3660" s="24"/>
      <c r="M3660" s="25" t="s">
        <v>521</v>
      </c>
      <c r="N3660" s="22"/>
      <c r="O3660" s="22" t="s">
        <v>522</v>
      </c>
      <c r="P3660" s="22" t="str">
        <f>HYPERLINK("https://ceds.ed.gov/cedselementdetails.aspx?termid=22507")</f>
        <v>https://ceds.ed.gov/cedselementdetails.aspx?termid=22507</v>
      </c>
      <c r="Q3660" s="22">
        <v>61771</v>
      </c>
    </row>
    <row r="3661" spans="1:17" ht="244.8" x14ac:dyDescent="0.3">
      <c r="A3661" s="22" t="s">
        <v>7881</v>
      </c>
      <c r="B3661" s="22" t="s">
        <v>7884</v>
      </c>
      <c r="C3661" s="22"/>
      <c r="D3661" s="22" t="s">
        <v>7710</v>
      </c>
      <c r="E3661" s="22" t="s">
        <v>523</v>
      </c>
      <c r="F3661" s="24" t="s">
        <v>524</v>
      </c>
      <c r="G3661" s="23" t="s">
        <v>32</v>
      </c>
      <c r="H3661" s="22"/>
      <c r="I3661" s="22"/>
      <c r="J3661" s="22" t="s">
        <v>132</v>
      </c>
      <c r="K3661" s="24"/>
      <c r="L3661" s="24" t="s">
        <v>7969</v>
      </c>
      <c r="M3661" s="25" t="s">
        <v>527</v>
      </c>
      <c r="N3661" s="22"/>
      <c r="O3661" s="22" t="s">
        <v>528</v>
      </c>
      <c r="P3661" s="22" t="str">
        <f>HYPERLINK("https://ceds.ed.gov/cedselementdetails.aspx?termid=22508")</f>
        <v>https://ceds.ed.gov/cedselementdetails.aspx?termid=22508</v>
      </c>
      <c r="Q3661" s="22">
        <v>61772</v>
      </c>
    </row>
    <row r="3662" spans="1:17" ht="57.6" x14ac:dyDescent="0.3">
      <c r="A3662" s="22" t="s">
        <v>7881</v>
      </c>
      <c r="B3662" s="22" t="s">
        <v>7884</v>
      </c>
      <c r="C3662" s="22"/>
      <c r="D3662" s="22" t="s">
        <v>7710</v>
      </c>
      <c r="E3662" s="22" t="s">
        <v>529</v>
      </c>
      <c r="F3662" s="24" t="s">
        <v>530</v>
      </c>
      <c r="G3662" s="23" t="s">
        <v>32</v>
      </c>
      <c r="H3662" s="22"/>
      <c r="I3662" s="22"/>
      <c r="J3662" s="22" t="s">
        <v>132</v>
      </c>
      <c r="K3662" s="24"/>
      <c r="L3662" s="24" t="s">
        <v>526</v>
      </c>
      <c r="M3662" s="25" t="s">
        <v>531</v>
      </c>
      <c r="N3662" s="22"/>
      <c r="O3662" s="22" t="s">
        <v>532</v>
      </c>
      <c r="P3662" s="22" t="str">
        <f>HYPERLINK("https://ceds.ed.gov/cedselementdetails.aspx?termid=22509")</f>
        <v>https://ceds.ed.gov/cedselementdetails.aspx?termid=22509</v>
      </c>
      <c r="Q3662" s="22">
        <v>61777</v>
      </c>
    </row>
    <row r="3663" spans="1:17" ht="288" x14ac:dyDescent="0.3">
      <c r="A3663" s="22" t="s">
        <v>7881</v>
      </c>
      <c r="B3663" s="22" t="s">
        <v>7884</v>
      </c>
      <c r="C3663" s="22"/>
      <c r="D3663" s="22" t="s">
        <v>7710</v>
      </c>
      <c r="E3663" s="22" t="s">
        <v>404</v>
      </c>
      <c r="F3663" s="24" t="s">
        <v>405</v>
      </c>
      <c r="G3663" s="26" t="s">
        <v>8605</v>
      </c>
      <c r="H3663" s="24" t="s">
        <v>409</v>
      </c>
      <c r="I3663" s="22"/>
      <c r="J3663" s="22"/>
      <c r="K3663" s="24"/>
      <c r="L3663" s="24"/>
      <c r="M3663" s="25" t="s">
        <v>407</v>
      </c>
      <c r="N3663" s="22"/>
      <c r="O3663" s="22" t="s">
        <v>408</v>
      </c>
      <c r="P3663" s="22" t="str">
        <f>HYPERLINK("https://ceds.ed.gov/cedselementdetails.aspx?termid=21021")</f>
        <v>https://ceds.ed.gov/cedselementdetails.aspx?termid=21021</v>
      </c>
      <c r="Q3663" s="22">
        <v>59772</v>
      </c>
    </row>
    <row r="3664" spans="1:17" ht="57.6" x14ac:dyDescent="0.3">
      <c r="A3664" s="22" t="s">
        <v>7881</v>
      </c>
      <c r="B3664" s="22" t="s">
        <v>7884</v>
      </c>
      <c r="C3664" s="22"/>
      <c r="D3664" s="22" t="s">
        <v>7710</v>
      </c>
      <c r="E3664" s="22" t="s">
        <v>514</v>
      </c>
      <c r="F3664" s="24" t="s">
        <v>515</v>
      </c>
      <c r="G3664" s="23" t="s">
        <v>32</v>
      </c>
      <c r="H3664" s="22"/>
      <c r="I3664" s="22"/>
      <c r="J3664" s="22" t="s">
        <v>328</v>
      </c>
      <c r="K3664" s="24"/>
      <c r="L3664" s="24"/>
      <c r="M3664" s="25" t="s">
        <v>517</v>
      </c>
      <c r="N3664" s="22"/>
      <c r="O3664" s="22" t="s">
        <v>518</v>
      </c>
      <c r="P3664" s="22" t="str">
        <f>HYPERLINK("https://ceds.ed.gov/cedselementdetails.aspx?termid=22136")</f>
        <v>https://ceds.ed.gov/cedselementdetails.aspx?termid=22136</v>
      </c>
      <c r="Q3664" s="22">
        <v>60487</v>
      </c>
    </row>
    <row r="3665" spans="1:17" ht="57.6" x14ac:dyDescent="0.3">
      <c r="A3665" s="22" t="s">
        <v>7881</v>
      </c>
      <c r="B3665" s="22" t="s">
        <v>7884</v>
      </c>
      <c r="C3665" s="22"/>
      <c r="D3665" s="22" t="s">
        <v>7710</v>
      </c>
      <c r="E3665" s="22" t="s">
        <v>537</v>
      </c>
      <c r="F3665" s="24" t="s">
        <v>538</v>
      </c>
      <c r="G3665" s="23" t="s">
        <v>32</v>
      </c>
      <c r="H3665" s="22"/>
      <c r="I3665" s="22"/>
      <c r="J3665" s="22" t="s">
        <v>118</v>
      </c>
      <c r="K3665" s="24"/>
      <c r="L3665" s="24" t="s">
        <v>143</v>
      </c>
      <c r="M3665" s="25" t="s">
        <v>539</v>
      </c>
      <c r="N3665" s="22"/>
      <c r="O3665" s="22" t="s">
        <v>540</v>
      </c>
      <c r="P3665" s="22" t="str">
        <f>HYPERLINK("https://ceds.ed.gov/cedselementdetails.aspx?termid=22138")</f>
        <v>https://ceds.ed.gov/cedselementdetails.aspx?termid=22138</v>
      </c>
      <c r="Q3665" s="22">
        <v>59555</v>
      </c>
    </row>
    <row r="3666" spans="1:17" ht="28.8" x14ac:dyDescent="0.3">
      <c r="A3666" s="22" t="s">
        <v>7881</v>
      </c>
      <c r="B3666" s="22" t="s">
        <v>7884</v>
      </c>
      <c r="C3666" s="22"/>
      <c r="D3666" s="22" t="s">
        <v>7710</v>
      </c>
      <c r="E3666" s="22" t="s">
        <v>551</v>
      </c>
      <c r="F3666" s="24" t="s">
        <v>552</v>
      </c>
      <c r="G3666" s="23" t="s">
        <v>32</v>
      </c>
      <c r="H3666" s="22"/>
      <c r="I3666" s="22"/>
      <c r="J3666" s="22" t="s">
        <v>328</v>
      </c>
      <c r="K3666" s="24"/>
      <c r="L3666" s="24"/>
      <c r="M3666" s="25" t="s">
        <v>553</v>
      </c>
      <c r="N3666" s="22"/>
      <c r="O3666" s="22" t="s">
        <v>554</v>
      </c>
      <c r="P3666" s="22" t="str">
        <f>HYPERLINK("https://ceds.ed.gov/cedselementdetails.aspx?termid=22139")</f>
        <v>https://ceds.ed.gov/cedselementdetails.aspx?termid=22139</v>
      </c>
      <c r="Q3666" s="22">
        <v>59556</v>
      </c>
    </row>
    <row r="3667" spans="1:17" ht="28.8" x14ac:dyDescent="0.3">
      <c r="A3667" s="22" t="s">
        <v>7881</v>
      </c>
      <c r="B3667" s="22" t="s">
        <v>7884</v>
      </c>
      <c r="C3667" s="22"/>
      <c r="D3667" s="22" t="s">
        <v>7710</v>
      </c>
      <c r="E3667" s="22" t="s">
        <v>609</v>
      </c>
      <c r="F3667" s="24" t="s">
        <v>610</v>
      </c>
      <c r="G3667" s="23" t="s">
        <v>32</v>
      </c>
      <c r="H3667" s="22"/>
      <c r="I3667" s="22"/>
      <c r="J3667" s="22" t="s">
        <v>85</v>
      </c>
      <c r="K3667" s="24"/>
      <c r="L3667" s="24"/>
      <c r="M3667" s="25" t="s">
        <v>611</v>
      </c>
      <c r="N3667" s="22"/>
      <c r="O3667" s="22" t="s">
        <v>612</v>
      </c>
      <c r="P3667" s="22" t="str">
        <f>HYPERLINK("https://ceds.ed.gov/cedselementdetails.aspx?termid=22134")</f>
        <v>https://ceds.ed.gov/cedselementdetails.aspx?termid=22134</v>
      </c>
      <c r="Q3667" s="22">
        <v>60484</v>
      </c>
    </row>
    <row r="3668" spans="1:17" ht="115.2" x14ac:dyDescent="0.3">
      <c r="A3668" s="22" t="s">
        <v>7881</v>
      </c>
      <c r="B3668" s="22" t="s">
        <v>7884</v>
      </c>
      <c r="C3668" s="22"/>
      <c r="D3668" s="22" t="s">
        <v>7710</v>
      </c>
      <c r="E3668" s="22" t="s">
        <v>967</v>
      </c>
      <c r="F3668" s="24" t="s">
        <v>968</v>
      </c>
      <c r="G3668" s="23" t="s">
        <v>7423</v>
      </c>
      <c r="H3668" s="22"/>
      <c r="I3668" s="22"/>
      <c r="J3668" s="22"/>
      <c r="K3668" s="24"/>
      <c r="L3668" s="24" t="s">
        <v>7994</v>
      </c>
      <c r="M3668" s="25" t="s">
        <v>969</v>
      </c>
      <c r="N3668" s="22"/>
      <c r="O3668" s="22" t="s">
        <v>970</v>
      </c>
      <c r="P3668" s="22" t="str">
        <f>HYPERLINK("https://ceds.ed.gov/cedselementdetails.aspx?termid=22073")</f>
        <v>https://ceds.ed.gov/cedselementdetails.aspx?termid=22073</v>
      </c>
      <c r="Q3668" s="22">
        <v>59512</v>
      </c>
    </row>
    <row r="3669" spans="1:17" ht="360" x14ac:dyDescent="0.3">
      <c r="A3669" s="22" t="s">
        <v>7881</v>
      </c>
      <c r="B3669" s="22" t="s">
        <v>7884</v>
      </c>
      <c r="C3669" s="22"/>
      <c r="D3669" s="22" t="s">
        <v>7710</v>
      </c>
      <c r="E3669" s="22" t="s">
        <v>971</v>
      </c>
      <c r="F3669" s="24" t="s">
        <v>972</v>
      </c>
      <c r="G3669" s="26" t="s">
        <v>8399</v>
      </c>
      <c r="H3669" s="24" t="s">
        <v>975</v>
      </c>
      <c r="I3669" s="22" t="s">
        <v>172</v>
      </c>
      <c r="J3669" s="22"/>
      <c r="K3669" s="24" t="s">
        <v>7995</v>
      </c>
      <c r="L3669" s="24"/>
      <c r="M3669" s="25" t="s">
        <v>973</v>
      </c>
      <c r="N3669" s="22"/>
      <c r="O3669" s="22" t="s">
        <v>974</v>
      </c>
      <c r="P3669" s="22" t="str">
        <f>HYPERLINK("https://ceds.ed.gov/cedselementdetails.aspx?termid=21177")</f>
        <v>https://ceds.ed.gov/cedselementdetails.aspx?termid=21177</v>
      </c>
      <c r="Q3669" s="22">
        <v>61793</v>
      </c>
    </row>
    <row r="3670" spans="1:17" ht="43.2" x14ac:dyDescent="0.3">
      <c r="A3670" s="22" t="s">
        <v>7881</v>
      </c>
      <c r="B3670" s="22" t="s">
        <v>7884</v>
      </c>
      <c r="C3670" s="22"/>
      <c r="D3670" s="22" t="s">
        <v>7710</v>
      </c>
      <c r="E3670" s="22" t="s">
        <v>1315</v>
      </c>
      <c r="F3670" s="24" t="s">
        <v>1316</v>
      </c>
      <c r="G3670" s="26" t="s">
        <v>22</v>
      </c>
      <c r="H3670" s="24" t="s">
        <v>93</v>
      </c>
      <c r="I3670" s="22"/>
      <c r="J3670" s="22"/>
      <c r="K3670" s="24"/>
      <c r="L3670" s="24"/>
      <c r="M3670" s="25" t="s">
        <v>1318</v>
      </c>
      <c r="N3670" s="22"/>
      <c r="O3670" s="22" t="s">
        <v>1319</v>
      </c>
      <c r="P3670" s="22" t="str">
        <f>HYPERLINK("https://ceds.ed.gov/cedselementdetails.aspx?termid=21375")</f>
        <v>https://ceds.ed.gov/cedselementdetails.aspx?termid=21375</v>
      </c>
      <c r="Q3670" s="22">
        <v>61743</v>
      </c>
    </row>
    <row r="3671" spans="1:17" ht="43.2" x14ac:dyDescent="0.3">
      <c r="A3671" s="22" t="s">
        <v>7881</v>
      </c>
      <c r="B3671" s="22" t="s">
        <v>7884</v>
      </c>
      <c r="C3671" s="22"/>
      <c r="D3671" s="22" t="s">
        <v>7710</v>
      </c>
      <c r="E3671" s="22" t="s">
        <v>4838</v>
      </c>
      <c r="F3671" s="24" t="s">
        <v>4839</v>
      </c>
      <c r="G3671" s="23" t="s">
        <v>32</v>
      </c>
      <c r="H3671" s="22"/>
      <c r="I3671" s="22"/>
      <c r="J3671" s="22" t="s">
        <v>118</v>
      </c>
      <c r="K3671" s="24"/>
      <c r="L3671" s="24"/>
      <c r="M3671" s="25" t="s">
        <v>4840</v>
      </c>
      <c r="N3671" s="22"/>
      <c r="O3671" s="22" t="s">
        <v>4841</v>
      </c>
      <c r="P3671" s="22" t="str">
        <f>HYPERLINK("https://ceds.ed.gov/cedselementdetails.aspx?termid=22137")</f>
        <v>https://ceds.ed.gov/cedselementdetails.aspx?termid=22137</v>
      </c>
      <c r="Q3671" s="22">
        <v>59554</v>
      </c>
    </row>
    <row r="3672" spans="1:17" ht="57.6" x14ac:dyDescent="0.3">
      <c r="A3672" s="22" t="s">
        <v>7881</v>
      </c>
      <c r="B3672" s="22" t="s">
        <v>7884</v>
      </c>
      <c r="C3672" s="22"/>
      <c r="D3672" s="22" t="s">
        <v>7710</v>
      </c>
      <c r="E3672" s="22" t="s">
        <v>5225</v>
      </c>
      <c r="F3672" s="24" t="s">
        <v>5226</v>
      </c>
      <c r="G3672" s="23" t="s">
        <v>32</v>
      </c>
      <c r="H3672" s="22"/>
      <c r="I3672" s="22"/>
      <c r="J3672" s="22" t="s">
        <v>118</v>
      </c>
      <c r="K3672" s="24"/>
      <c r="L3672" s="24"/>
      <c r="M3672" s="25" t="s">
        <v>5227</v>
      </c>
      <c r="N3672" s="22"/>
      <c r="O3672" s="22" t="s">
        <v>5228</v>
      </c>
      <c r="P3672" s="22" t="str">
        <f>HYPERLINK("https://ceds.ed.gov/cedselementdetails.aspx?termid=22135")</f>
        <v>https://ceds.ed.gov/cedselementdetails.aspx?termid=22135</v>
      </c>
      <c r="Q3672" s="22">
        <v>60485</v>
      </c>
    </row>
    <row r="3673" spans="1:17" ht="172.8" x14ac:dyDescent="0.3">
      <c r="A3673" s="22" t="s">
        <v>7881</v>
      </c>
      <c r="B3673" s="22" t="s">
        <v>7884</v>
      </c>
      <c r="C3673" s="22" t="s">
        <v>7885</v>
      </c>
      <c r="D3673" s="22" t="s">
        <v>7710</v>
      </c>
      <c r="E3673" s="22" t="s">
        <v>560</v>
      </c>
      <c r="F3673" s="24" t="s">
        <v>561</v>
      </c>
      <c r="G3673" s="23" t="s">
        <v>32</v>
      </c>
      <c r="H3673" s="22"/>
      <c r="I3673" s="22"/>
      <c r="J3673" s="22" t="s">
        <v>132</v>
      </c>
      <c r="K3673" s="24"/>
      <c r="L3673" s="24" t="s">
        <v>7945</v>
      </c>
      <c r="M3673" s="25" t="s">
        <v>562</v>
      </c>
      <c r="N3673" s="22"/>
      <c r="O3673" s="22" t="s">
        <v>563</v>
      </c>
      <c r="P3673" s="22" t="str">
        <f>HYPERLINK("https://ceds.ed.gov/cedselementdetails.aspx?termid=22142")</f>
        <v>https://ceds.ed.gov/cedselementdetails.aspx?termid=22142</v>
      </c>
      <c r="Q3673" s="22">
        <v>59559</v>
      </c>
    </row>
    <row r="3674" spans="1:17" ht="72" x14ac:dyDescent="0.3">
      <c r="A3674" s="22" t="s">
        <v>7881</v>
      </c>
      <c r="B3674" s="22" t="s">
        <v>7884</v>
      </c>
      <c r="C3674" s="22" t="s">
        <v>7885</v>
      </c>
      <c r="D3674" s="22" t="s">
        <v>7710</v>
      </c>
      <c r="E3674" s="22" t="s">
        <v>4449</v>
      </c>
      <c r="F3674" s="24" t="s">
        <v>4450</v>
      </c>
      <c r="G3674" s="26" t="s">
        <v>8647</v>
      </c>
      <c r="H3674" s="22"/>
      <c r="I3674" s="22"/>
      <c r="J3674" s="22"/>
      <c r="K3674" s="24"/>
      <c r="L3674" s="24"/>
      <c r="M3674" s="25" t="s">
        <v>4451</v>
      </c>
      <c r="N3674" s="22"/>
      <c r="O3674" s="22" t="s">
        <v>4452</v>
      </c>
      <c r="P3674" s="22" t="str">
        <f>HYPERLINK("https://ceds.ed.gov/cedselementdetails.aspx?termid=22141")</f>
        <v>https://ceds.ed.gov/cedselementdetails.aspx?termid=22141</v>
      </c>
      <c r="Q3674" s="22">
        <v>59558</v>
      </c>
    </row>
    <row r="3675" spans="1:17" ht="115.2" x14ac:dyDescent="0.3">
      <c r="A3675" s="22" t="s">
        <v>7881</v>
      </c>
      <c r="B3675" s="22" t="s">
        <v>7884</v>
      </c>
      <c r="C3675" s="22" t="s">
        <v>7885</v>
      </c>
      <c r="D3675" s="22" t="s">
        <v>7710</v>
      </c>
      <c r="E3675" s="22" t="s">
        <v>555</v>
      </c>
      <c r="F3675" s="24" t="s">
        <v>556</v>
      </c>
      <c r="G3675" s="23" t="s">
        <v>32</v>
      </c>
      <c r="H3675" s="22"/>
      <c r="I3675" s="22"/>
      <c r="J3675" s="22" t="s">
        <v>132</v>
      </c>
      <c r="K3675" s="24"/>
      <c r="L3675" s="24" t="s">
        <v>7970</v>
      </c>
      <c r="M3675" s="25" t="s">
        <v>558</v>
      </c>
      <c r="N3675" s="22"/>
      <c r="O3675" s="22" t="s">
        <v>559</v>
      </c>
      <c r="P3675" s="22" t="str">
        <f>HYPERLINK("https://ceds.ed.gov/cedselementdetails.aspx?termid=21981")</f>
        <v>https://ceds.ed.gov/cedselementdetails.aspx?termid=21981</v>
      </c>
      <c r="Q3675" s="22">
        <v>59432</v>
      </c>
    </row>
    <row r="3676" spans="1:17" ht="244.8" x14ac:dyDescent="0.3">
      <c r="A3676" s="22" t="s">
        <v>7881</v>
      </c>
      <c r="B3676" s="22" t="s">
        <v>7884</v>
      </c>
      <c r="C3676" s="22" t="s">
        <v>7885</v>
      </c>
      <c r="D3676" s="22" t="s">
        <v>7710</v>
      </c>
      <c r="E3676" s="22" t="s">
        <v>523</v>
      </c>
      <c r="F3676" s="24" t="s">
        <v>524</v>
      </c>
      <c r="G3676" s="23" t="s">
        <v>32</v>
      </c>
      <c r="H3676" s="22"/>
      <c r="I3676" s="22"/>
      <c r="J3676" s="22" t="s">
        <v>132</v>
      </c>
      <c r="K3676" s="24"/>
      <c r="L3676" s="24" t="s">
        <v>7969</v>
      </c>
      <c r="M3676" s="25" t="s">
        <v>527</v>
      </c>
      <c r="N3676" s="22"/>
      <c r="O3676" s="22" t="s">
        <v>528</v>
      </c>
      <c r="P3676" s="22" t="str">
        <f>HYPERLINK("https://ceds.ed.gov/cedselementdetails.aspx?termid=22508")</f>
        <v>https://ceds.ed.gov/cedselementdetails.aspx?termid=22508</v>
      </c>
      <c r="Q3676" s="22">
        <v>61775</v>
      </c>
    </row>
    <row r="3677" spans="1:17" ht="288" x14ac:dyDescent="0.3">
      <c r="A3677" s="22" t="s">
        <v>7881</v>
      </c>
      <c r="B3677" s="22" t="s">
        <v>7884</v>
      </c>
      <c r="C3677" s="22" t="s">
        <v>7885</v>
      </c>
      <c r="D3677" s="22" t="s">
        <v>7710</v>
      </c>
      <c r="E3677" s="22" t="s">
        <v>404</v>
      </c>
      <c r="F3677" s="24" t="s">
        <v>405</v>
      </c>
      <c r="G3677" s="26" t="s">
        <v>8605</v>
      </c>
      <c r="H3677" s="24" t="s">
        <v>409</v>
      </c>
      <c r="I3677" s="22"/>
      <c r="J3677" s="22"/>
      <c r="K3677" s="24"/>
      <c r="L3677" s="24"/>
      <c r="M3677" s="25" t="s">
        <v>407</v>
      </c>
      <c r="N3677" s="22"/>
      <c r="O3677" s="22" t="s">
        <v>408</v>
      </c>
      <c r="P3677" s="22" t="str">
        <f>HYPERLINK("https://ceds.ed.gov/cedselementdetails.aspx?termid=21021")</f>
        <v>https://ceds.ed.gov/cedselementdetails.aspx?termid=21021</v>
      </c>
      <c r="Q3677" s="22">
        <v>59776</v>
      </c>
    </row>
    <row r="3678" spans="1:17" ht="43.2" x14ac:dyDescent="0.3">
      <c r="A3678" s="22" t="s">
        <v>7881</v>
      </c>
      <c r="B3678" s="22" t="s">
        <v>7884</v>
      </c>
      <c r="C3678" s="22" t="s">
        <v>7885</v>
      </c>
      <c r="D3678" s="22" t="s">
        <v>7710</v>
      </c>
      <c r="E3678" s="22" t="s">
        <v>577</v>
      </c>
      <c r="F3678" s="24" t="s">
        <v>578</v>
      </c>
      <c r="G3678" s="23" t="s">
        <v>32</v>
      </c>
      <c r="H3678" s="22"/>
      <c r="I3678" s="22"/>
      <c r="J3678" s="22" t="s">
        <v>148</v>
      </c>
      <c r="K3678" s="24"/>
      <c r="L3678" s="24"/>
      <c r="M3678" s="25" t="s">
        <v>579</v>
      </c>
      <c r="N3678" s="22"/>
      <c r="O3678" s="22" t="s">
        <v>580</v>
      </c>
      <c r="P3678" s="22" t="str">
        <f>HYPERLINK("https://ceds.ed.gov/cedselementdetails.aspx?termid=21980")</f>
        <v>https://ceds.ed.gov/cedselementdetails.aspx?termid=21980</v>
      </c>
      <c r="Q3678" s="22">
        <v>59431</v>
      </c>
    </row>
    <row r="3679" spans="1:17" ht="28.8" x14ac:dyDescent="0.3">
      <c r="A3679" s="22" t="s">
        <v>7881</v>
      </c>
      <c r="B3679" s="22" t="s">
        <v>7884</v>
      </c>
      <c r="C3679" s="22" t="s">
        <v>7885</v>
      </c>
      <c r="D3679" s="22" t="s">
        <v>7710</v>
      </c>
      <c r="E3679" s="22" t="s">
        <v>585</v>
      </c>
      <c r="F3679" s="24" t="s">
        <v>586</v>
      </c>
      <c r="G3679" s="23" t="s">
        <v>32</v>
      </c>
      <c r="H3679" s="22"/>
      <c r="I3679" s="22"/>
      <c r="J3679" s="22" t="s">
        <v>85</v>
      </c>
      <c r="K3679" s="24"/>
      <c r="L3679" s="24"/>
      <c r="M3679" s="25" t="s">
        <v>587</v>
      </c>
      <c r="N3679" s="22"/>
      <c r="O3679" s="22" t="s">
        <v>588</v>
      </c>
      <c r="P3679" s="22" t="str">
        <f>HYPERLINK("https://ceds.ed.gov/cedselementdetails.aspx?termid=22140")</f>
        <v>https://ceds.ed.gov/cedselementdetails.aspx?termid=22140</v>
      </c>
      <c r="Q3679" s="22">
        <v>59557</v>
      </c>
    </row>
    <row r="3680" spans="1:17" ht="43.2" x14ac:dyDescent="0.3">
      <c r="A3680" s="22" t="s">
        <v>7881</v>
      </c>
      <c r="B3680" s="22" t="s">
        <v>7884</v>
      </c>
      <c r="C3680" s="22" t="s">
        <v>7885</v>
      </c>
      <c r="D3680" s="22" t="s">
        <v>7710</v>
      </c>
      <c r="E3680" s="22" t="s">
        <v>581</v>
      </c>
      <c r="F3680" s="24" t="s">
        <v>582</v>
      </c>
      <c r="G3680" s="23" t="s">
        <v>32</v>
      </c>
      <c r="H3680" s="22"/>
      <c r="I3680" s="22"/>
      <c r="J3680" s="22" t="s">
        <v>430</v>
      </c>
      <c r="K3680" s="24"/>
      <c r="L3680" s="24"/>
      <c r="M3680" s="25" t="s">
        <v>583</v>
      </c>
      <c r="N3680" s="22"/>
      <c r="O3680" s="22" t="s">
        <v>584</v>
      </c>
      <c r="P3680" s="22" t="str">
        <f>HYPERLINK("https://ceds.ed.gov/cedselementdetails.aspx?termid=22143")</f>
        <v>https://ceds.ed.gov/cedselementdetails.aspx?termid=22143</v>
      </c>
      <c r="Q3680" s="22">
        <v>59560</v>
      </c>
    </row>
    <row r="3681" spans="1:17" ht="43.2" x14ac:dyDescent="0.3">
      <c r="A3681" s="22" t="s">
        <v>7881</v>
      </c>
      <c r="B3681" s="22" t="s">
        <v>7884</v>
      </c>
      <c r="C3681" s="22" t="s">
        <v>7885</v>
      </c>
      <c r="D3681" s="22" t="s">
        <v>7710</v>
      </c>
      <c r="E3681" s="22" t="s">
        <v>573</v>
      </c>
      <c r="F3681" s="24" t="s">
        <v>574</v>
      </c>
      <c r="G3681" s="26" t="s">
        <v>22</v>
      </c>
      <c r="H3681" s="22"/>
      <c r="I3681" s="22"/>
      <c r="J3681" s="22"/>
      <c r="K3681" s="24"/>
      <c r="L3681" s="24"/>
      <c r="M3681" s="25" t="s">
        <v>575</v>
      </c>
      <c r="N3681" s="22"/>
      <c r="O3681" s="22" t="s">
        <v>576</v>
      </c>
      <c r="P3681" s="22" t="str">
        <f>HYPERLINK("https://ceds.ed.gov/cedselementdetails.aspx?termid=22144")</f>
        <v>https://ceds.ed.gov/cedselementdetails.aspx?termid=22144</v>
      </c>
      <c r="Q3681" s="22">
        <v>59561</v>
      </c>
    </row>
    <row r="3682" spans="1:17" ht="129.6" x14ac:dyDescent="0.3">
      <c r="A3682" s="22" t="s">
        <v>7881</v>
      </c>
      <c r="B3682" s="22" t="s">
        <v>7884</v>
      </c>
      <c r="C3682" s="22" t="s">
        <v>7885</v>
      </c>
      <c r="D3682" s="22" t="s">
        <v>7710</v>
      </c>
      <c r="E3682" s="22" t="s">
        <v>569</v>
      </c>
      <c r="F3682" s="24" t="s">
        <v>570</v>
      </c>
      <c r="G3682" s="26" t="s">
        <v>22</v>
      </c>
      <c r="H3682" s="22"/>
      <c r="I3682" s="22"/>
      <c r="J3682" s="22"/>
      <c r="K3682" s="24"/>
      <c r="L3682" s="24"/>
      <c r="M3682" s="25" t="s">
        <v>571</v>
      </c>
      <c r="N3682" s="22"/>
      <c r="O3682" s="22" t="s">
        <v>572</v>
      </c>
      <c r="P3682" s="22" t="str">
        <f>HYPERLINK("https://ceds.ed.gov/cedselementdetails.aspx?termid=22145")</f>
        <v>https://ceds.ed.gov/cedselementdetails.aspx?termid=22145</v>
      </c>
      <c r="Q3682" s="22">
        <v>59562</v>
      </c>
    </row>
    <row r="3683" spans="1:17" ht="57.6" x14ac:dyDescent="0.3">
      <c r="A3683" s="22" t="s">
        <v>7881</v>
      </c>
      <c r="B3683" s="22" t="s">
        <v>7884</v>
      </c>
      <c r="C3683" s="22" t="s">
        <v>7885</v>
      </c>
      <c r="D3683" s="22" t="s">
        <v>7710</v>
      </c>
      <c r="E3683" s="22" t="s">
        <v>5225</v>
      </c>
      <c r="F3683" s="24" t="s">
        <v>5226</v>
      </c>
      <c r="G3683" s="23" t="s">
        <v>32</v>
      </c>
      <c r="H3683" s="22"/>
      <c r="I3683" s="22"/>
      <c r="J3683" s="22" t="s">
        <v>118</v>
      </c>
      <c r="K3683" s="24"/>
      <c r="L3683" s="24"/>
      <c r="M3683" s="25" t="s">
        <v>5227</v>
      </c>
      <c r="N3683" s="22"/>
      <c r="O3683" s="22" t="s">
        <v>5228</v>
      </c>
      <c r="P3683" s="22" t="str">
        <f>HYPERLINK("https://ceds.ed.gov/cedselementdetails.aspx?termid=22135")</f>
        <v>https://ceds.ed.gov/cedselementdetails.aspx?termid=22135</v>
      </c>
      <c r="Q3683" s="22">
        <v>60486</v>
      </c>
    </row>
    <row r="3684" spans="1:17" ht="43.2" x14ac:dyDescent="0.3">
      <c r="A3684" s="22" t="s">
        <v>7881</v>
      </c>
      <c r="B3684" s="22" t="s">
        <v>7884</v>
      </c>
      <c r="C3684" s="22" t="s">
        <v>7886</v>
      </c>
      <c r="D3684" s="22" t="s">
        <v>7710</v>
      </c>
      <c r="E3684" s="22" t="s">
        <v>564</v>
      </c>
      <c r="F3684" s="24" t="s">
        <v>565</v>
      </c>
      <c r="G3684" s="26" t="s">
        <v>22</v>
      </c>
      <c r="H3684" s="22"/>
      <c r="I3684" s="22"/>
      <c r="J3684" s="22"/>
      <c r="K3684" s="24"/>
      <c r="L3684" s="24"/>
      <c r="M3684" s="25" t="s">
        <v>567</v>
      </c>
      <c r="N3684" s="22"/>
      <c r="O3684" s="22" t="s">
        <v>568</v>
      </c>
      <c r="P3684" s="22" t="str">
        <f>HYPERLINK("https://ceds.ed.gov/cedselementdetails.aspx?termid=22511")</f>
        <v>https://ceds.ed.gov/cedselementdetails.aspx?termid=22511</v>
      </c>
      <c r="Q3684" s="22">
        <v>62116</v>
      </c>
    </row>
    <row r="3685" spans="1:17" ht="129.6" x14ac:dyDescent="0.3">
      <c r="A3685" s="22" t="s">
        <v>7881</v>
      </c>
      <c r="B3685" s="22" t="s">
        <v>7884</v>
      </c>
      <c r="C3685" s="22" t="s">
        <v>7887</v>
      </c>
      <c r="D3685" s="22" t="s">
        <v>7710</v>
      </c>
      <c r="E3685" s="22" t="s">
        <v>593</v>
      </c>
      <c r="F3685" s="24" t="s">
        <v>594</v>
      </c>
      <c r="G3685" s="23" t="s">
        <v>32</v>
      </c>
      <c r="H3685" s="22"/>
      <c r="I3685" s="22"/>
      <c r="J3685" s="22" t="s">
        <v>148</v>
      </c>
      <c r="K3685" s="24"/>
      <c r="L3685" s="24"/>
      <c r="M3685" s="25" t="s">
        <v>596</v>
      </c>
      <c r="N3685" s="22"/>
      <c r="O3685" s="22" t="s">
        <v>597</v>
      </c>
      <c r="P3685" s="22" t="str">
        <f>HYPERLINK("https://ceds.ed.gov/cedselementdetails.aspx?termid=22013")</f>
        <v>https://ceds.ed.gov/cedselementdetails.aspx?termid=22013</v>
      </c>
      <c r="Q3685" s="22">
        <v>59449</v>
      </c>
    </row>
    <row r="3686" spans="1:17" ht="72" x14ac:dyDescent="0.3">
      <c r="A3686" s="22" t="s">
        <v>7881</v>
      </c>
      <c r="B3686" s="22" t="s">
        <v>7884</v>
      </c>
      <c r="C3686" s="22" t="s">
        <v>7887</v>
      </c>
      <c r="D3686" s="22" t="s">
        <v>7710</v>
      </c>
      <c r="E3686" s="22" t="s">
        <v>598</v>
      </c>
      <c r="F3686" s="24" t="s">
        <v>599</v>
      </c>
      <c r="G3686" s="23" t="s">
        <v>32</v>
      </c>
      <c r="H3686" s="22"/>
      <c r="I3686" s="22"/>
      <c r="J3686" s="22" t="s">
        <v>148</v>
      </c>
      <c r="K3686" s="24"/>
      <c r="L3686" s="24"/>
      <c r="M3686" s="25" t="s">
        <v>600</v>
      </c>
      <c r="N3686" s="22"/>
      <c r="O3686" s="22" t="s">
        <v>601</v>
      </c>
      <c r="P3686" s="22" t="str">
        <f>HYPERLINK("https://ceds.ed.gov/cedselementdetails.aspx?termid=22014")</f>
        <v>https://ceds.ed.gov/cedselementdetails.aspx?termid=22014</v>
      </c>
      <c r="Q3686" s="22">
        <v>59450</v>
      </c>
    </row>
    <row r="3687" spans="1:17" ht="86.4" x14ac:dyDescent="0.3">
      <c r="A3687" s="22" t="s">
        <v>7881</v>
      </c>
      <c r="B3687" s="22" t="s">
        <v>7884</v>
      </c>
      <c r="C3687" s="22" t="s">
        <v>7887</v>
      </c>
      <c r="D3687" s="22" t="s">
        <v>7710</v>
      </c>
      <c r="E3687" s="22" t="s">
        <v>602</v>
      </c>
      <c r="F3687" s="24" t="s">
        <v>603</v>
      </c>
      <c r="G3687" s="23" t="s">
        <v>32</v>
      </c>
      <c r="H3687" s="22"/>
      <c r="I3687" s="22"/>
      <c r="J3687" s="22" t="s">
        <v>148</v>
      </c>
      <c r="K3687" s="24"/>
      <c r="L3687" s="24"/>
      <c r="M3687" s="25" t="s">
        <v>604</v>
      </c>
      <c r="N3687" s="22"/>
      <c r="O3687" s="22" t="s">
        <v>605</v>
      </c>
      <c r="P3687" s="22" t="str">
        <f>HYPERLINK("https://ceds.ed.gov/cedselementdetails.aspx?termid=22015")</f>
        <v>https://ceds.ed.gov/cedselementdetails.aspx?termid=22015</v>
      </c>
      <c r="Q3687" s="22">
        <v>59451</v>
      </c>
    </row>
    <row r="3688" spans="1:17" ht="172.8" x14ac:dyDescent="0.3">
      <c r="A3688" s="22" t="s">
        <v>7881</v>
      </c>
      <c r="B3688" s="22" t="s">
        <v>7888</v>
      </c>
      <c r="C3688" s="22"/>
      <c r="D3688" s="22" t="s">
        <v>7710</v>
      </c>
      <c r="E3688" s="22" t="s">
        <v>783</v>
      </c>
      <c r="F3688" s="24" t="s">
        <v>784</v>
      </c>
      <c r="G3688" s="23" t="s">
        <v>32</v>
      </c>
      <c r="H3688" s="24" t="s">
        <v>638</v>
      </c>
      <c r="I3688" s="22"/>
      <c r="J3688" s="22" t="s">
        <v>132</v>
      </c>
      <c r="K3688" s="24"/>
      <c r="L3688" s="24" t="s">
        <v>7945</v>
      </c>
      <c r="M3688" s="25" t="s">
        <v>785</v>
      </c>
      <c r="N3688" s="22"/>
      <c r="O3688" s="22" t="s">
        <v>786</v>
      </c>
      <c r="P3688" s="22" t="str">
        <f>HYPERLINK("https://ceds.ed.gov/cedselementdetails.aspx?termid=21623")</f>
        <v>https://ceds.ed.gov/cedselementdetails.aspx?termid=21623</v>
      </c>
      <c r="Q3688" s="22">
        <v>59202</v>
      </c>
    </row>
    <row r="3689" spans="1:17" ht="259.2" x14ac:dyDescent="0.3">
      <c r="A3689" s="22" t="s">
        <v>7881</v>
      </c>
      <c r="B3689" s="22" t="s">
        <v>7888</v>
      </c>
      <c r="C3689" s="22"/>
      <c r="D3689" s="22" t="s">
        <v>7710</v>
      </c>
      <c r="E3689" s="22" t="s">
        <v>963</v>
      </c>
      <c r="F3689" s="24" t="s">
        <v>964</v>
      </c>
      <c r="G3689" s="26" t="s">
        <v>8620</v>
      </c>
      <c r="H3689" s="24" t="s">
        <v>638</v>
      </c>
      <c r="I3689" s="22"/>
      <c r="J3689" s="22"/>
      <c r="K3689" s="24"/>
      <c r="L3689" s="24"/>
      <c r="M3689" s="25" t="s">
        <v>965</v>
      </c>
      <c r="N3689" s="22"/>
      <c r="O3689" s="22" t="s">
        <v>966</v>
      </c>
      <c r="P3689" s="22" t="str">
        <f>HYPERLINK("https://ceds.ed.gov/cedselementdetails.aspx?termid=21382")</f>
        <v>https://ceds.ed.gov/cedselementdetails.aspx?termid=21382</v>
      </c>
      <c r="Q3689" s="22">
        <v>59193</v>
      </c>
    </row>
    <row r="3690" spans="1:17" ht="172.8" x14ac:dyDescent="0.3">
      <c r="A3690" s="22" t="s">
        <v>7881</v>
      </c>
      <c r="B3690" s="22" t="s">
        <v>7888</v>
      </c>
      <c r="C3690" s="22"/>
      <c r="D3690" s="22" t="s">
        <v>7710</v>
      </c>
      <c r="E3690" s="22" t="s">
        <v>668</v>
      </c>
      <c r="F3690" s="24" t="s">
        <v>669</v>
      </c>
      <c r="G3690" s="23" t="s">
        <v>32</v>
      </c>
      <c r="H3690" s="22"/>
      <c r="I3690" s="22"/>
      <c r="J3690" s="22" t="s">
        <v>132</v>
      </c>
      <c r="K3690" s="24"/>
      <c r="L3690" s="24" t="s">
        <v>7945</v>
      </c>
      <c r="M3690" s="25" t="s">
        <v>670</v>
      </c>
      <c r="N3690" s="22"/>
      <c r="O3690" s="22" t="s">
        <v>671</v>
      </c>
      <c r="P3690" s="22" t="str">
        <f>HYPERLINK("https://ceds.ed.gov/cedselementdetails.aspx?termid=22132")</f>
        <v>https://ceds.ed.gov/cedselementdetails.aspx?termid=22132</v>
      </c>
      <c r="Q3690" s="22">
        <v>60480</v>
      </c>
    </row>
    <row r="3691" spans="1:17" ht="43.2" x14ac:dyDescent="0.3">
      <c r="A3691" s="22" t="s">
        <v>7881</v>
      </c>
      <c r="B3691" s="22" t="s">
        <v>7888</v>
      </c>
      <c r="C3691" s="22"/>
      <c r="D3691" s="22" t="s">
        <v>7710</v>
      </c>
      <c r="E3691" s="22" t="s">
        <v>672</v>
      </c>
      <c r="F3691" s="24" t="s">
        <v>673</v>
      </c>
      <c r="G3691" s="23" t="s">
        <v>32</v>
      </c>
      <c r="H3691" s="22"/>
      <c r="I3691" s="22"/>
      <c r="J3691" s="22" t="s">
        <v>157</v>
      </c>
      <c r="K3691" s="24"/>
      <c r="L3691" s="24"/>
      <c r="M3691" s="25" t="s">
        <v>674</v>
      </c>
      <c r="N3691" s="22"/>
      <c r="O3691" s="22" t="s">
        <v>675</v>
      </c>
      <c r="P3691" s="22" t="str">
        <f>HYPERLINK("https://ceds.ed.gov/cedselementdetails.aspx?termid=22133")</f>
        <v>https://ceds.ed.gov/cedselementdetails.aspx?termid=22133</v>
      </c>
      <c r="Q3691" s="22">
        <v>60482</v>
      </c>
    </row>
    <row r="3692" spans="1:17" ht="43.2" x14ac:dyDescent="0.3">
      <c r="A3692" s="22" t="s">
        <v>7881</v>
      </c>
      <c r="B3692" s="22" t="s">
        <v>7888</v>
      </c>
      <c r="C3692" s="22"/>
      <c r="D3692" s="22" t="s">
        <v>7710</v>
      </c>
      <c r="E3692" s="22" t="s">
        <v>825</v>
      </c>
      <c r="F3692" s="24" t="s">
        <v>826</v>
      </c>
      <c r="G3692" s="26" t="s">
        <v>22</v>
      </c>
      <c r="H3692" s="22"/>
      <c r="I3692" s="22"/>
      <c r="J3692" s="22"/>
      <c r="K3692" s="24"/>
      <c r="L3692" s="24"/>
      <c r="M3692" s="25" t="s">
        <v>827</v>
      </c>
      <c r="N3692" s="22"/>
      <c r="O3692" s="22" t="s">
        <v>828</v>
      </c>
      <c r="P3692" s="22" t="str">
        <f>HYPERLINK("https://ceds.ed.gov/cedselementdetails.aspx?termid=22229")</f>
        <v>https://ceds.ed.gov/cedselementdetails.aspx?termid=22229</v>
      </c>
      <c r="Q3692" s="22">
        <v>60116</v>
      </c>
    </row>
    <row r="3693" spans="1:17" ht="288" x14ac:dyDescent="0.3">
      <c r="A3693" s="22" t="s">
        <v>7881</v>
      </c>
      <c r="B3693" s="22" t="s">
        <v>7888</v>
      </c>
      <c r="C3693" s="22"/>
      <c r="D3693" s="22" t="s">
        <v>7710</v>
      </c>
      <c r="E3693" s="22" t="s">
        <v>404</v>
      </c>
      <c r="F3693" s="24" t="s">
        <v>405</v>
      </c>
      <c r="G3693" s="26" t="s">
        <v>8605</v>
      </c>
      <c r="H3693" s="24" t="s">
        <v>409</v>
      </c>
      <c r="I3693" s="22"/>
      <c r="J3693" s="22"/>
      <c r="K3693" s="24"/>
      <c r="L3693" s="24"/>
      <c r="M3693" s="25" t="s">
        <v>407</v>
      </c>
      <c r="N3693" s="22"/>
      <c r="O3693" s="22" t="s">
        <v>408</v>
      </c>
      <c r="P3693" s="22" t="str">
        <f>HYPERLINK("https://ceds.ed.gov/cedselementdetails.aspx?termid=21021")</f>
        <v>https://ceds.ed.gov/cedselementdetails.aspx?termid=21021</v>
      </c>
      <c r="Q3693" s="22">
        <v>60114</v>
      </c>
    </row>
    <row r="3694" spans="1:17" ht="57.6" x14ac:dyDescent="0.3">
      <c r="A3694" s="22" t="s">
        <v>7881</v>
      </c>
      <c r="B3694" s="22" t="s">
        <v>7888</v>
      </c>
      <c r="C3694" s="22"/>
      <c r="D3694" s="22" t="s">
        <v>7710</v>
      </c>
      <c r="E3694" s="22" t="s">
        <v>5517</v>
      </c>
      <c r="F3694" s="24" t="s">
        <v>5518</v>
      </c>
      <c r="G3694" s="26" t="s">
        <v>9039</v>
      </c>
      <c r="H3694" s="22"/>
      <c r="I3694" s="22"/>
      <c r="J3694" s="22"/>
      <c r="K3694" s="24"/>
      <c r="L3694" s="24"/>
      <c r="M3694" s="25" t="s">
        <v>5519</v>
      </c>
      <c r="N3694" s="22"/>
      <c r="O3694" s="22" t="s">
        <v>5520</v>
      </c>
      <c r="P3694" s="22" t="str">
        <f>HYPERLINK("https://ceds.ed.gov/cedselementdetails.aspx?termid=22166")</f>
        <v>https://ceds.ed.gov/cedselementdetails.aspx?termid=22166</v>
      </c>
      <c r="Q3694" s="22">
        <v>59782</v>
      </c>
    </row>
    <row r="3695" spans="1:17" ht="57.6" x14ac:dyDescent="0.3">
      <c r="A3695" s="22" t="s">
        <v>7881</v>
      </c>
      <c r="B3695" s="22" t="s">
        <v>7888</v>
      </c>
      <c r="C3695" s="22"/>
      <c r="D3695" s="22" t="s">
        <v>7710</v>
      </c>
      <c r="E3695" s="22" t="s">
        <v>5521</v>
      </c>
      <c r="F3695" s="24" t="s">
        <v>5522</v>
      </c>
      <c r="G3695" s="26" t="s">
        <v>9040</v>
      </c>
      <c r="H3695" s="22"/>
      <c r="I3695" s="22"/>
      <c r="J3695" s="22"/>
      <c r="K3695" s="24"/>
      <c r="L3695" s="24"/>
      <c r="M3695" s="25" t="s">
        <v>5523</v>
      </c>
      <c r="N3695" s="22"/>
      <c r="O3695" s="22" t="s">
        <v>5524</v>
      </c>
      <c r="P3695" s="22" t="str">
        <f>HYPERLINK("https://ceds.ed.gov/cedselementdetails.aspx?termid=22072")</f>
        <v>https://ceds.ed.gov/cedselementdetails.aspx?termid=22072</v>
      </c>
      <c r="Q3695" s="22">
        <v>59511</v>
      </c>
    </row>
    <row r="3696" spans="1:17" ht="360" x14ac:dyDescent="0.3">
      <c r="A3696" s="22" t="s">
        <v>7881</v>
      </c>
      <c r="B3696" s="22" t="s">
        <v>7888</v>
      </c>
      <c r="C3696" s="22"/>
      <c r="D3696" s="22" t="s">
        <v>7710</v>
      </c>
      <c r="E3696" s="22" t="s">
        <v>971</v>
      </c>
      <c r="F3696" s="24" t="s">
        <v>972</v>
      </c>
      <c r="G3696" s="26" t="s">
        <v>8399</v>
      </c>
      <c r="H3696" s="24" t="s">
        <v>975</v>
      </c>
      <c r="I3696" s="22" t="s">
        <v>172</v>
      </c>
      <c r="J3696" s="22"/>
      <c r="K3696" s="24" t="s">
        <v>7995</v>
      </c>
      <c r="L3696" s="24"/>
      <c r="M3696" s="25" t="s">
        <v>973</v>
      </c>
      <c r="N3696" s="22"/>
      <c r="O3696" s="22" t="s">
        <v>974</v>
      </c>
      <c r="P3696" s="22" t="str">
        <f>HYPERLINK("https://ceds.ed.gov/cedselementdetails.aspx?termid=21177")</f>
        <v>https://ceds.ed.gov/cedselementdetails.aspx?termid=21177</v>
      </c>
      <c r="Q3696" s="22">
        <v>61795</v>
      </c>
    </row>
    <row r="3697" spans="1:17" ht="57.6" x14ac:dyDescent="0.3">
      <c r="A3697" s="22" t="s">
        <v>7881</v>
      </c>
      <c r="B3697" s="22" t="s">
        <v>7888</v>
      </c>
      <c r="C3697" s="22"/>
      <c r="D3697" s="22" t="s">
        <v>7710</v>
      </c>
      <c r="E3697" s="22" t="s">
        <v>791</v>
      </c>
      <c r="F3697" s="24" t="s">
        <v>792</v>
      </c>
      <c r="G3697" s="26" t="s">
        <v>22</v>
      </c>
      <c r="H3697" s="22"/>
      <c r="I3697" s="22"/>
      <c r="J3697" s="22"/>
      <c r="K3697" s="24"/>
      <c r="L3697" s="24"/>
      <c r="M3697" s="25" t="s">
        <v>793</v>
      </c>
      <c r="N3697" s="22"/>
      <c r="O3697" s="22" t="s">
        <v>794</v>
      </c>
      <c r="P3697" s="22" t="str">
        <f>HYPERLINK("https://ceds.ed.gov/cedselementdetails.aspx?termid=22227")</f>
        <v>https://ceds.ed.gov/cedselementdetails.aspx?termid=22227</v>
      </c>
      <c r="Q3697" s="22">
        <v>60111</v>
      </c>
    </row>
    <row r="3698" spans="1:17" ht="57.6" x14ac:dyDescent="0.3">
      <c r="A3698" s="22" t="s">
        <v>7881</v>
      </c>
      <c r="B3698" s="22" t="s">
        <v>7888</v>
      </c>
      <c r="C3698" s="22"/>
      <c r="D3698" s="22" t="s">
        <v>7710</v>
      </c>
      <c r="E3698" s="22" t="s">
        <v>752</v>
      </c>
      <c r="F3698" s="24" t="s">
        <v>753</v>
      </c>
      <c r="G3698" s="23" t="s">
        <v>32</v>
      </c>
      <c r="H3698" s="22"/>
      <c r="I3698" s="22"/>
      <c r="J3698" s="22" t="s">
        <v>328</v>
      </c>
      <c r="K3698" s="24"/>
      <c r="L3698" s="24"/>
      <c r="M3698" s="25" t="s">
        <v>754</v>
      </c>
      <c r="N3698" s="22"/>
      <c r="O3698" s="22" t="s">
        <v>755</v>
      </c>
      <c r="P3698" s="22" t="str">
        <f>HYPERLINK("https://ceds.ed.gov/cedselementdetails.aspx?termid=22233")</f>
        <v>https://ceds.ed.gov/cedselementdetails.aspx?termid=22233</v>
      </c>
      <c r="Q3698" s="22">
        <v>60124</v>
      </c>
    </row>
    <row r="3699" spans="1:17" ht="72" x14ac:dyDescent="0.3">
      <c r="A3699" s="22" t="s">
        <v>7881</v>
      </c>
      <c r="B3699" s="22" t="s">
        <v>7888</v>
      </c>
      <c r="C3699" s="22"/>
      <c r="D3699" s="22" t="s">
        <v>7710</v>
      </c>
      <c r="E3699" s="22" t="s">
        <v>952</v>
      </c>
      <c r="F3699" s="24" t="s">
        <v>7993</v>
      </c>
      <c r="G3699" s="23" t="s">
        <v>32</v>
      </c>
      <c r="H3699" s="22"/>
      <c r="I3699" s="22"/>
      <c r="J3699" s="22" t="s">
        <v>328</v>
      </c>
      <c r="K3699" s="24"/>
      <c r="L3699" s="24"/>
      <c r="M3699" s="25" t="s">
        <v>953</v>
      </c>
      <c r="N3699" s="22"/>
      <c r="O3699" s="22" t="s">
        <v>954</v>
      </c>
      <c r="P3699" s="22" t="str">
        <f>HYPERLINK("https://ceds.ed.gov/cedselementdetails.aspx?termid=22234")</f>
        <v>https://ceds.ed.gov/cedselementdetails.aspx?termid=22234</v>
      </c>
      <c r="Q3699" s="22">
        <v>60126</v>
      </c>
    </row>
    <row r="3700" spans="1:17" ht="43.2" x14ac:dyDescent="0.3">
      <c r="A3700" s="22" t="s">
        <v>7881</v>
      </c>
      <c r="B3700" s="22" t="s">
        <v>7888</v>
      </c>
      <c r="C3700" s="22"/>
      <c r="D3700" s="22" t="s">
        <v>7710</v>
      </c>
      <c r="E3700" s="22" t="s">
        <v>773</v>
      </c>
      <c r="F3700" s="24" t="s">
        <v>774</v>
      </c>
      <c r="G3700" s="23" t="s">
        <v>32</v>
      </c>
      <c r="H3700" s="24" t="s">
        <v>638</v>
      </c>
      <c r="I3700" s="22"/>
      <c r="J3700" s="22" t="s">
        <v>775</v>
      </c>
      <c r="K3700" s="24"/>
      <c r="L3700" s="24"/>
      <c r="M3700" s="25" t="s">
        <v>776</v>
      </c>
      <c r="N3700" s="22"/>
      <c r="O3700" s="22" t="s">
        <v>777</v>
      </c>
      <c r="P3700" s="22" t="str">
        <f>HYPERLINK("https://ceds.ed.gov/cedselementdetails.aspx?termid=21383")</f>
        <v>https://ceds.ed.gov/cedselementdetails.aspx?termid=21383</v>
      </c>
      <c r="Q3700" s="22">
        <v>59194</v>
      </c>
    </row>
    <row r="3701" spans="1:17" ht="28.8" x14ac:dyDescent="0.3">
      <c r="A3701" s="22" t="s">
        <v>7881</v>
      </c>
      <c r="B3701" s="22" t="s">
        <v>7888</v>
      </c>
      <c r="C3701" s="22"/>
      <c r="D3701" s="22" t="s">
        <v>7710</v>
      </c>
      <c r="E3701" s="22" t="s">
        <v>778</v>
      </c>
      <c r="F3701" s="24" t="s">
        <v>779</v>
      </c>
      <c r="G3701" s="23" t="s">
        <v>32</v>
      </c>
      <c r="H3701" s="24" t="s">
        <v>638</v>
      </c>
      <c r="I3701" s="22"/>
      <c r="J3701" s="22" t="s">
        <v>780</v>
      </c>
      <c r="K3701" s="24"/>
      <c r="L3701" s="24"/>
      <c r="M3701" s="25" t="s">
        <v>781</v>
      </c>
      <c r="N3701" s="22"/>
      <c r="O3701" s="22" t="s">
        <v>782</v>
      </c>
      <c r="P3701" s="22" t="str">
        <f>HYPERLINK("https://ceds.ed.gov/cedselementdetails.aspx?termid=21390")</f>
        <v>https://ceds.ed.gov/cedselementdetails.aspx?termid=21390</v>
      </c>
      <c r="Q3701" s="22">
        <v>59196</v>
      </c>
    </row>
    <row r="3702" spans="1:17" ht="43.2" x14ac:dyDescent="0.3">
      <c r="A3702" s="22" t="s">
        <v>7881</v>
      </c>
      <c r="B3702" s="22" t="s">
        <v>7888</v>
      </c>
      <c r="C3702" s="22"/>
      <c r="D3702" s="22" t="s">
        <v>7710</v>
      </c>
      <c r="E3702" s="22" t="s">
        <v>948</v>
      </c>
      <c r="F3702" s="24" t="s">
        <v>949</v>
      </c>
      <c r="G3702" s="23" t="s">
        <v>32</v>
      </c>
      <c r="H3702" s="24" t="s">
        <v>638</v>
      </c>
      <c r="I3702" s="22"/>
      <c r="J3702" s="22" t="s">
        <v>328</v>
      </c>
      <c r="K3702" s="24"/>
      <c r="L3702" s="24"/>
      <c r="M3702" s="25" t="s">
        <v>950</v>
      </c>
      <c r="N3702" s="22"/>
      <c r="O3702" s="22" t="s">
        <v>951</v>
      </c>
      <c r="P3702" s="22" t="str">
        <f>HYPERLINK("https://ceds.ed.gov/cedselementdetails.aspx?termid=21392")</f>
        <v>https://ceds.ed.gov/cedselementdetails.aspx?termid=21392</v>
      </c>
      <c r="Q3702" s="22">
        <v>59197</v>
      </c>
    </row>
    <row r="3703" spans="1:17" ht="28.8" x14ac:dyDescent="0.3">
      <c r="A3703" s="22" t="s">
        <v>7881</v>
      </c>
      <c r="B3703" s="22" t="s">
        <v>7888</v>
      </c>
      <c r="C3703" s="22"/>
      <c r="D3703" s="22" t="s">
        <v>7710</v>
      </c>
      <c r="E3703" s="22" t="s">
        <v>633</v>
      </c>
      <c r="F3703" s="24" t="s">
        <v>634</v>
      </c>
      <c r="G3703" s="23" t="s">
        <v>32</v>
      </c>
      <c r="H3703" s="24" t="s">
        <v>638</v>
      </c>
      <c r="I3703" s="22"/>
      <c r="J3703" s="22" t="s">
        <v>430</v>
      </c>
      <c r="K3703" s="24"/>
      <c r="L3703" s="24"/>
      <c r="M3703" s="25" t="s">
        <v>636</v>
      </c>
      <c r="N3703" s="22"/>
      <c r="O3703" s="22" t="s">
        <v>637</v>
      </c>
      <c r="P3703" s="22" t="str">
        <f>HYPERLINK("https://ceds.ed.gov/cedselementdetails.aspx?termid=21395")</f>
        <v>https://ceds.ed.gov/cedselementdetails.aspx?termid=21395</v>
      </c>
      <c r="Q3703" s="22">
        <v>59198</v>
      </c>
    </row>
    <row r="3704" spans="1:17" ht="57.6" x14ac:dyDescent="0.3">
      <c r="A3704" s="22" t="s">
        <v>7881</v>
      </c>
      <c r="B3704" s="22" t="s">
        <v>7888</v>
      </c>
      <c r="C3704" s="22"/>
      <c r="D3704" s="22" t="s">
        <v>7710</v>
      </c>
      <c r="E3704" s="22" t="s">
        <v>959</v>
      </c>
      <c r="F3704" s="24" t="s">
        <v>960</v>
      </c>
      <c r="G3704" s="23" t="s">
        <v>32</v>
      </c>
      <c r="H3704" s="22"/>
      <c r="I3704" s="22"/>
      <c r="J3704" s="22" t="s">
        <v>85</v>
      </c>
      <c r="K3704" s="24"/>
      <c r="L3704" s="24"/>
      <c r="M3704" s="25" t="s">
        <v>961</v>
      </c>
      <c r="N3704" s="22"/>
      <c r="O3704" s="22" t="s">
        <v>962</v>
      </c>
      <c r="P3704" s="22" t="str">
        <f>HYPERLINK("https://ceds.ed.gov/cedselementdetails.aspx?termid=21906")</f>
        <v>https://ceds.ed.gov/cedselementdetails.aspx?termid=21906</v>
      </c>
      <c r="Q3704" s="22">
        <v>59366</v>
      </c>
    </row>
    <row r="3705" spans="1:17" ht="288" x14ac:dyDescent="0.3">
      <c r="A3705" s="22" t="s">
        <v>7881</v>
      </c>
      <c r="B3705" s="22" t="s">
        <v>7888</v>
      </c>
      <c r="C3705" s="22"/>
      <c r="D3705" s="22" t="s">
        <v>7710</v>
      </c>
      <c r="E3705" s="22" t="s">
        <v>955</v>
      </c>
      <c r="F3705" s="24" t="s">
        <v>956</v>
      </c>
      <c r="G3705" s="26" t="s">
        <v>8619</v>
      </c>
      <c r="H3705" s="22"/>
      <c r="I3705" s="22"/>
      <c r="J3705" s="22"/>
      <c r="K3705" s="24"/>
      <c r="L3705" s="24"/>
      <c r="M3705" s="25" t="s">
        <v>957</v>
      </c>
      <c r="N3705" s="22"/>
      <c r="O3705" s="22" t="s">
        <v>958</v>
      </c>
      <c r="P3705" s="22" t="str">
        <f>HYPERLINK("https://ceds.ed.gov/cedselementdetails.aspx?termid=21907")</f>
        <v>https://ceds.ed.gov/cedselementdetails.aspx?termid=21907</v>
      </c>
      <c r="Q3705" s="22">
        <v>59367</v>
      </c>
    </row>
    <row r="3706" spans="1:17" ht="28.8" x14ac:dyDescent="0.3">
      <c r="A3706" s="22" t="s">
        <v>7881</v>
      </c>
      <c r="B3706" s="22" t="s">
        <v>7888</v>
      </c>
      <c r="C3706" s="22"/>
      <c r="D3706" s="22" t="s">
        <v>7710</v>
      </c>
      <c r="E3706" s="22" t="s">
        <v>799</v>
      </c>
      <c r="F3706" s="24" t="s">
        <v>800</v>
      </c>
      <c r="G3706" s="23" t="s">
        <v>32</v>
      </c>
      <c r="H3706" s="22"/>
      <c r="I3706" s="22"/>
      <c r="J3706" s="22" t="s">
        <v>148</v>
      </c>
      <c r="K3706" s="24"/>
      <c r="L3706" s="24"/>
      <c r="M3706" s="25" t="s">
        <v>801</v>
      </c>
      <c r="N3706" s="22"/>
      <c r="O3706" s="22" t="s">
        <v>802</v>
      </c>
      <c r="P3706" s="22" t="str">
        <f>HYPERLINK("https://ceds.ed.gov/cedselementdetails.aspx?termid=21684")</f>
        <v>https://ceds.ed.gov/cedselementdetails.aspx?termid=21684</v>
      </c>
      <c r="Q3706" s="22">
        <v>59204</v>
      </c>
    </row>
    <row r="3707" spans="1:17" ht="28.8" x14ac:dyDescent="0.3">
      <c r="A3707" s="22" t="s">
        <v>7881</v>
      </c>
      <c r="B3707" s="22" t="s">
        <v>7888</v>
      </c>
      <c r="C3707" s="22"/>
      <c r="D3707" s="22" t="s">
        <v>7710</v>
      </c>
      <c r="E3707" s="22" t="s">
        <v>795</v>
      </c>
      <c r="F3707" s="24" t="s">
        <v>796</v>
      </c>
      <c r="G3707" s="23" t="s">
        <v>32</v>
      </c>
      <c r="H3707" s="22"/>
      <c r="I3707" s="22"/>
      <c r="J3707" s="22" t="s">
        <v>148</v>
      </c>
      <c r="K3707" s="24"/>
      <c r="L3707" s="24"/>
      <c r="M3707" s="25" t="s">
        <v>797</v>
      </c>
      <c r="N3707" s="22"/>
      <c r="O3707" s="22" t="s">
        <v>798</v>
      </c>
      <c r="P3707" s="22" t="str">
        <f>HYPERLINK("https://ceds.ed.gov/cedselementdetails.aspx?termid=21683")</f>
        <v>https://ceds.ed.gov/cedselementdetails.aspx?termid=21683</v>
      </c>
      <c r="Q3707" s="22">
        <v>59203</v>
      </c>
    </row>
    <row r="3708" spans="1:17" ht="129.6" x14ac:dyDescent="0.3">
      <c r="A3708" s="22" t="s">
        <v>7881</v>
      </c>
      <c r="B3708" s="22" t="s">
        <v>7888</v>
      </c>
      <c r="C3708" s="22"/>
      <c r="D3708" s="22" t="s">
        <v>7710</v>
      </c>
      <c r="E3708" s="22" t="s">
        <v>874</v>
      </c>
      <c r="F3708" s="24" t="s">
        <v>875</v>
      </c>
      <c r="G3708" s="23" t="s">
        <v>32</v>
      </c>
      <c r="H3708" s="22"/>
      <c r="I3708" s="22"/>
      <c r="J3708" s="22" t="s">
        <v>113</v>
      </c>
      <c r="K3708" s="24"/>
      <c r="L3708" s="24" t="s">
        <v>876</v>
      </c>
      <c r="M3708" s="25" t="s">
        <v>877</v>
      </c>
      <c r="N3708" s="22"/>
      <c r="O3708" s="22" t="s">
        <v>878</v>
      </c>
      <c r="P3708" s="22" t="str">
        <f>HYPERLINK("https://ceds.ed.gov/cedselementdetails.aspx?termid=21970")</f>
        <v>https://ceds.ed.gov/cedselementdetails.aspx?termid=21970</v>
      </c>
      <c r="Q3708" s="22">
        <v>60855</v>
      </c>
    </row>
    <row r="3709" spans="1:17" ht="43.2" x14ac:dyDescent="0.3">
      <c r="A3709" s="22" t="s">
        <v>7881</v>
      </c>
      <c r="B3709" s="22" t="s">
        <v>7888</v>
      </c>
      <c r="C3709" s="22" t="s">
        <v>7889</v>
      </c>
      <c r="D3709" s="22" t="s">
        <v>7710</v>
      </c>
      <c r="E3709" s="22" t="s">
        <v>817</v>
      </c>
      <c r="F3709" s="24" t="s">
        <v>818</v>
      </c>
      <c r="G3709" s="23" t="s">
        <v>32</v>
      </c>
      <c r="H3709" s="22"/>
      <c r="I3709" s="22"/>
      <c r="J3709" s="22" t="s">
        <v>317</v>
      </c>
      <c r="K3709" s="24"/>
      <c r="L3709" s="24"/>
      <c r="M3709" s="25" t="s">
        <v>819</v>
      </c>
      <c r="N3709" s="22"/>
      <c r="O3709" s="22" t="s">
        <v>820</v>
      </c>
      <c r="P3709" s="22" t="str">
        <f>HYPERLINK("https://ceds.ed.gov/cedselementdetails.aspx?termid=21905")</f>
        <v>https://ceds.ed.gov/cedselementdetails.aspx?termid=21905</v>
      </c>
      <c r="Q3709" s="22">
        <v>59365</v>
      </c>
    </row>
    <row r="3710" spans="1:17" ht="43.2" x14ac:dyDescent="0.3">
      <c r="A3710" s="22" t="s">
        <v>7881</v>
      </c>
      <c r="B3710" s="22" t="s">
        <v>7888</v>
      </c>
      <c r="C3710" s="22" t="s">
        <v>7889</v>
      </c>
      <c r="D3710" s="22" t="s">
        <v>7710</v>
      </c>
      <c r="E3710" s="22" t="s">
        <v>821</v>
      </c>
      <c r="F3710" s="24" t="s">
        <v>822</v>
      </c>
      <c r="G3710" s="23" t="s">
        <v>32</v>
      </c>
      <c r="H3710" s="22"/>
      <c r="I3710" s="22"/>
      <c r="J3710" s="22" t="s">
        <v>113</v>
      </c>
      <c r="K3710" s="24"/>
      <c r="L3710" s="24"/>
      <c r="M3710" s="25" t="s">
        <v>823</v>
      </c>
      <c r="N3710" s="22"/>
      <c r="O3710" s="22" t="s">
        <v>824</v>
      </c>
      <c r="P3710" s="22" t="str">
        <f>HYPERLINK("https://ceds.ed.gov/cedselementdetails.aspx?termid=21908")</f>
        <v>https://ceds.ed.gov/cedselementdetails.aspx?termid=21908</v>
      </c>
      <c r="Q3710" s="22">
        <v>59368</v>
      </c>
    </row>
    <row r="3711" spans="1:17" ht="57.6" x14ac:dyDescent="0.3">
      <c r="A3711" s="22" t="s">
        <v>7881</v>
      </c>
      <c r="B3711" s="22" t="s">
        <v>7888</v>
      </c>
      <c r="C3711" s="22" t="s">
        <v>7889</v>
      </c>
      <c r="D3711" s="22" t="s">
        <v>7710</v>
      </c>
      <c r="E3711" s="22" t="s">
        <v>813</v>
      </c>
      <c r="F3711" s="24" t="s">
        <v>814</v>
      </c>
      <c r="G3711" s="23" t="s">
        <v>32</v>
      </c>
      <c r="H3711" s="22"/>
      <c r="I3711" s="22"/>
      <c r="J3711" s="22" t="s">
        <v>328</v>
      </c>
      <c r="K3711" s="24"/>
      <c r="L3711" s="24"/>
      <c r="M3711" s="25" t="s">
        <v>815</v>
      </c>
      <c r="N3711" s="22"/>
      <c r="O3711" s="22" t="s">
        <v>816</v>
      </c>
      <c r="P3711" s="22" t="str">
        <f>HYPERLINK("https://ceds.ed.gov/cedselementdetails.aspx?termid=22235")</f>
        <v>https://ceds.ed.gov/cedselementdetails.aspx?termid=22235</v>
      </c>
      <c r="Q3711" s="22">
        <v>60128</v>
      </c>
    </row>
    <row r="3712" spans="1:17" ht="43.2" x14ac:dyDescent="0.3">
      <c r="A3712" s="22" t="s">
        <v>7881</v>
      </c>
      <c r="B3712" s="22" t="s">
        <v>7888</v>
      </c>
      <c r="C3712" s="22" t="s">
        <v>7889</v>
      </c>
      <c r="D3712" s="22" t="s">
        <v>7710</v>
      </c>
      <c r="E3712" s="22" t="s">
        <v>803</v>
      </c>
      <c r="F3712" s="24" t="s">
        <v>804</v>
      </c>
      <c r="G3712" s="26" t="s">
        <v>22</v>
      </c>
      <c r="H3712" s="22"/>
      <c r="I3712" s="22"/>
      <c r="J3712" s="22"/>
      <c r="K3712" s="24"/>
      <c r="L3712" s="24"/>
      <c r="M3712" s="25" t="s">
        <v>806</v>
      </c>
      <c r="N3712" s="22"/>
      <c r="O3712" s="22" t="s">
        <v>807</v>
      </c>
      <c r="P3712" s="22" t="str">
        <f>HYPERLINK("https://ceds.ed.gov/cedselementdetails.aspx?termid=22183")</f>
        <v>https://ceds.ed.gov/cedselementdetails.aspx?termid=22183</v>
      </c>
      <c r="Q3712" s="22">
        <v>59628</v>
      </c>
    </row>
    <row r="3713" spans="1:17" ht="100.8" x14ac:dyDescent="0.3">
      <c r="A3713" s="22" t="s">
        <v>7881</v>
      </c>
      <c r="B3713" s="22" t="s">
        <v>7888</v>
      </c>
      <c r="C3713" s="22" t="s">
        <v>7889</v>
      </c>
      <c r="D3713" s="22" t="s">
        <v>7710</v>
      </c>
      <c r="E3713" s="22" t="s">
        <v>808</v>
      </c>
      <c r="F3713" s="24" t="s">
        <v>809</v>
      </c>
      <c r="G3713" s="23" t="s">
        <v>32</v>
      </c>
      <c r="H3713" s="22" t="s">
        <v>812</v>
      </c>
      <c r="I3713" s="22"/>
      <c r="J3713" s="22" t="s">
        <v>113</v>
      </c>
      <c r="K3713" s="24"/>
      <c r="L3713" s="24" t="s">
        <v>7978</v>
      </c>
      <c r="M3713" s="25" t="s">
        <v>810</v>
      </c>
      <c r="N3713" s="22"/>
      <c r="O3713" s="22" t="s">
        <v>811</v>
      </c>
      <c r="P3713" s="22" t="str">
        <f>HYPERLINK("https://ceds.ed.gov/cedselementdetails.aspx?termid=21904")</f>
        <v>https://ceds.ed.gov/cedselementdetails.aspx?termid=21904</v>
      </c>
      <c r="Q3713" s="22">
        <v>59364</v>
      </c>
    </row>
    <row r="3714" spans="1:17" ht="28.8" x14ac:dyDescent="0.3">
      <c r="A3714" s="22" t="s">
        <v>7881</v>
      </c>
      <c r="B3714" s="22" t="s">
        <v>7888</v>
      </c>
      <c r="C3714" s="22" t="s">
        <v>7890</v>
      </c>
      <c r="D3714" s="22" t="s">
        <v>7710</v>
      </c>
      <c r="E3714" s="22" t="s">
        <v>879</v>
      </c>
      <c r="F3714" s="24" t="s">
        <v>880</v>
      </c>
      <c r="G3714" s="23" t="s">
        <v>32</v>
      </c>
      <c r="H3714" s="22"/>
      <c r="I3714" s="22"/>
      <c r="J3714" s="22" t="s">
        <v>118</v>
      </c>
      <c r="K3714" s="24"/>
      <c r="L3714" s="24"/>
      <c r="M3714" s="25" t="s">
        <v>881</v>
      </c>
      <c r="N3714" s="22"/>
      <c r="O3714" s="22" t="s">
        <v>882</v>
      </c>
      <c r="P3714" s="22" t="str">
        <f>HYPERLINK("https://ceds.ed.gov/cedselementdetails.aspx?termid=21960")</f>
        <v>https://ceds.ed.gov/cedselementdetails.aspx?termid=21960</v>
      </c>
      <c r="Q3714" s="22">
        <v>59418</v>
      </c>
    </row>
    <row r="3715" spans="1:17" ht="28.8" x14ac:dyDescent="0.3">
      <c r="A3715" s="22" t="s">
        <v>7881</v>
      </c>
      <c r="B3715" s="22" t="s">
        <v>7888</v>
      </c>
      <c r="C3715" s="22" t="s">
        <v>7890</v>
      </c>
      <c r="D3715" s="22" t="s">
        <v>7710</v>
      </c>
      <c r="E3715" s="22" t="s">
        <v>883</v>
      </c>
      <c r="F3715" s="24" t="s">
        <v>884</v>
      </c>
      <c r="G3715" s="23" t="s">
        <v>32</v>
      </c>
      <c r="H3715" s="22"/>
      <c r="I3715" s="22"/>
      <c r="J3715" s="22" t="s">
        <v>849</v>
      </c>
      <c r="K3715" s="24"/>
      <c r="L3715" s="24"/>
      <c r="M3715" s="25" t="s">
        <v>885</v>
      </c>
      <c r="N3715" s="22"/>
      <c r="O3715" s="22" t="s">
        <v>886</v>
      </c>
      <c r="P3715" s="22" t="str">
        <f>HYPERLINK("https://ceds.ed.gov/cedselementdetails.aspx?termid=21959")</f>
        <v>https://ceds.ed.gov/cedselementdetails.aspx?termid=21959</v>
      </c>
      <c r="Q3715" s="22">
        <v>59417</v>
      </c>
    </row>
    <row r="3716" spans="1:17" ht="100.8" x14ac:dyDescent="0.3">
      <c r="A3716" s="22" t="s">
        <v>7881</v>
      </c>
      <c r="B3716" s="22" t="s">
        <v>7888</v>
      </c>
      <c r="C3716" s="22" t="s">
        <v>7890</v>
      </c>
      <c r="D3716" s="22" t="s">
        <v>7710</v>
      </c>
      <c r="E3716" s="22" t="s">
        <v>852</v>
      </c>
      <c r="F3716" s="24" t="s">
        <v>853</v>
      </c>
      <c r="G3716" s="23" t="s">
        <v>32</v>
      </c>
      <c r="H3716" s="22"/>
      <c r="I3716" s="22"/>
      <c r="J3716" s="22" t="s">
        <v>849</v>
      </c>
      <c r="K3716" s="24"/>
      <c r="L3716" s="24" t="s">
        <v>7980</v>
      </c>
      <c r="M3716" s="25" t="s">
        <v>854</v>
      </c>
      <c r="N3716" s="22"/>
      <c r="O3716" s="22" t="s">
        <v>855</v>
      </c>
      <c r="P3716" s="22" t="str">
        <f>HYPERLINK("https://ceds.ed.gov/cedselementdetails.aspx?termid=21958")</f>
        <v>https://ceds.ed.gov/cedselementdetails.aspx?termid=21958</v>
      </c>
      <c r="Q3716" s="22">
        <v>59416</v>
      </c>
    </row>
    <row r="3717" spans="1:17" ht="43.2" x14ac:dyDescent="0.3">
      <c r="A3717" s="22" t="s">
        <v>7881</v>
      </c>
      <c r="B3717" s="22" t="s">
        <v>7888</v>
      </c>
      <c r="C3717" s="22" t="s">
        <v>7890</v>
      </c>
      <c r="D3717" s="22" t="s">
        <v>7710</v>
      </c>
      <c r="E3717" s="22" t="s">
        <v>848</v>
      </c>
      <c r="F3717" s="24" t="s">
        <v>7979</v>
      </c>
      <c r="G3717" s="23" t="s">
        <v>32</v>
      </c>
      <c r="H3717" s="24" t="s">
        <v>638</v>
      </c>
      <c r="I3717" s="22"/>
      <c r="J3717" s="22" t="s">
        <v>849</v>
      </c>
      <c r="K3717" s="24"/>
      <c r="L3717" s="24"/>
      <c r="M3717" s="25" t="s">
        <v>850</v>
      </c>
      <c r="N3717" s="22"/>
      <c r="O3717" s="22" t="s">
        <v>851</v>
      </c>
      <c r="P3717" s="22" t="str">
        <f>HYPERLINK("https://ceds.ed.gov/cedselementdetails.aspx?termid=21394")</f>
        <v>https://ceds.ed.gov/cedselementdetails.aspx?termid=21394</v>
      </c>
      <c r="Q3717" s="22">
        <v>59920</v>
      </c>
    </row>
    <row r="3718" spans="1:17" ht="43.2" x14ac:dyDescent="0.3">
      <c r="A3718" s="22" t="s">
        <v>7881</v>
      </c>
      <c r="B3718" s="22" t="s">
        <v>7888</v>
      </c>
      <c r="C3718" s="22" t="s">
        <v>7890</v>
      </c>
      <c r="D3718" s="22" t="s">
        <v>7710</v>
      </c>
      <c r="E3718" s="22" t="s">
        <v>829</v>
      </c>
      <c r="F3718" s="24" t="s">
        <v>830</v>
      </c>
      <c r="G3718" s="23" t="s">
        <v>32</v>
      </c>
      <c r="H3718" s="24" t="s">
        <v>638</v>
      </c>
      <c r="I3718" s="22"/>
      <c r="J3718" s="22" t="s">
        <v>85</v>
      </c>
      <c r="K3718" s="24"/>
      <c r="L3718" s="24" t="s">
        <v>832</v>
      </c>
      <c r="M3718" s="25" t="s">
        <v>833</v>
      </c>
      <c r="N3718" s="22"/>
      <c r="O3718" s="22" t="s">
        <v>834</v>
      </c>
      <c r="P3718" s="22" t="str">
        <f>HYPERLINK("https://ceds.ed.gov/cedselementdetails.aspx?termid=21397")</f>
        <v>https://ceds.ed.gov/cedselementdetails.aspx?termid=21397</v>
      </c>
      <c r="Q3718" s="22">
        <v>59223</v>
      </c>
    </row>
    <row r="3719" spans="1:17" ht="28.8" x14ac:dyDescent="0.3">
      <c r="A3719" s="22" t="s">
        <v>7881</v>
      </c>
      <c r="B3719" s="22" t="s">
        <v>7888</v>
      </c>
      <c r="C3719" s="22" t="s">
        <v>7890</v>
      </c>
      <c r="D3719" s="22" t="s">
        <v>7710</v>
      </c>
      <c r="E3719" s="22" t="s">
        <v>835</v>
      </c>
      <c r="F3719" s="24" t="s">
        <v>836</v>
      </c>
      <c r="G3719" s="23" t="s">
        <v>32</v>
      </c>
      <c r="H3719" s="24" t="s">
        <v>638</v>
      </c>
      <c r="I3719" s="22"/>
      <c r="J3719" s="22" t="s">
        <v>780</v>
      </c>
      <c r="K3719" s="24"/>
      <c r="L3719" s="24"/>
      <c r="M3719" s="25" t="s">
        <v>837</v>
      </c>
      <c r="N3719" s="22"/>
      <c r="O3719" s="22" t="s">
        <v>838</v>
      </c>
      <c r="P3719" s="22" t="str">
        <f>HYPERLINK("https://ceds.ed.gov/cedselementdetails.aspx?termid=21385")</f>
        <v>https://ceds.ed.gov/cedselementdetails.aspx?termid=21385</v>
      </c>
      <c r="Q3719" s="22">
        <v>59919</v>
      </c>
    </row>
    <row r="3720" spans="1:17" ht="115.2" x14ac:dyDescent="0.3">
      <c r="A3720" s="22" t="s">
        <v>7881</v>
      </c>
      <c r="B3720" s="22" t="s">
        <v>7888</v>
      </c>
      <c r="C3720" s="22" t="s">
        <v>7890</v>
      </c>
      <c r="D3720" s="22" t="s">
        <v>7710</v>
      </c>
      <c r="E3720" s="22" t="s">
        <v>856</v>
      </c>
      <c r="F3720" s="24" t="s">
        <v>7981</v>
      </c>
      <c r="G3720" s="23" t="s">
        <v>32</v>
      </c>
      <c r="H3720" s="22"/>
      <c r="I3720" s="22"/>
      <c r="J3720" s="22" t="s">
        <v>317</v>
      </c>
      <c r="K3720" s="24"/>
      <c r="L3720" s="24"/>
      <c r="M3720" s="25" t="s">
        <v>857</v>
      </c>
      <c r="N3720" s="22"/>
      <c r="O3720" s="22" t="s">
        <v>858</v>
      </c>
      <c r="P3720" s="22" t="str">
        <f>HYPERLINK("https://ceds.ed.gov/cedselementdetails.aspx?termid=21956")</f>
        <v>https://ceds.ed.gov/cedselementdetails.aspx?termid=21956</v>
      </c>
      <c r="Q3720" s="22">
        <v>59414</v>
      </c>
    </row>
    <row r="3721" spans="1:17" ht="129.6" x14ac:dyDescent="0.3">
      <c r="A3721" s="22" t="s">
        <v>7881</v>
      </c>
      <c r="B3721" s="22" t="s">
        <v>7888</v>
      </c>
      <c r="C3721" s="22" t="s">
        <v>7890</v>
      </c>
      <c r="D3721" s="22" t="s">
        <v>7710</v>
      </c>
      <c r="E3721" s="22" t="s">
        <v>859</v>
      </c>
      <c r="F3721" s="24" t="s">
        <v>860</v>
      </c>
      <c r="G3721" s="26" t="s">
        <v>22</v>
      </c>
      <c r="H3721" s="22"/>
      <c r="I3721" s="22"/>
      <c r="J3721" s="22"/>
      <c r="K3721" s="24"/>
      <c r="L3721" s="24" t="s">
        <v>7982</v>
      </c>
      <c r="M3721" s="25" t="s">
        <v>861</v>
      </c>
      <c r="N3721" s="22"/>
      <c r="O3721" s="22" t="s">
        <v>862</v>
      </c>
      <c r="P3721" s="22" t="str">
        <f>HYPERLINK("https://ceds.ed.gov/cedselementdetails.aspx?termid=21957")</f>
        <v>https://ceds.ed.gov/cedselementdetails.aspx?termid=21957</v>
      </c>
      <c r="Q3721" s="22">
        <v>59415</v>
      </c>
    </row>
    <row r="3722" spans="1:17" ht="172.8" x14ac:dyDescent="0.3">
      <c r="A3722" s="22" t="s">
        <v>7881</v>
      </c>
      <c r="B3722" s="22" t="s">
        <v>7888</v>
      </c>
      <c r="C3722" s="22" t="s">
        <v>7890</v>
      </c>
      <c r="D3722" s="22" t="s">
        <v>7710</v>
      </c>
      <c r="E3722" s="22" t="s">
        <v>887</v>
      </c>
      <c r="F3722" s="24" t="s">
        <v>888</v>
      </c>
      <c r="G3722" s="26" t="s">
        <v>8616</v>
      </c>
      <c r="H3722" s="24" t="s">
        <v>638</v>
      </c>
      <c r="I3722" s="22"/>
      <c r="J3722" s="22"/>
      <c r="K3722" s="24"/>
      <c r="L3722" s="24"/>
      <c r="M3722" s="25" t="s">
        <v>889</v>
      </c>
      <c r="N3722" s="22"/>
      <c r="O3722" s="22" t="s">
        <v>890</v>
      </c>
      <c r="P3722" s="22" t="str">
        <f>HYPERLINK("https://ceds.ed.gov/cedselementdetails.aspx?termid=21396")</f>
        <v>https://ceds.ed.gov/cedselementdetails.aspx?termid=21396</v>
      </c>
      <c r="Q3722" s="22">
        <v>59222</v>
      </c>
    </row>
    <row r="3723" spans="1:17" ht="28.8" x14ac:dyDescent="0.3">
      <c r="A3723" s="22" t="s">
        <v>7881</v>
      </c>
      <c r="B3723" s="22" t="s">
        <v>7888</v>
      </c>
      <c r="C3723" s="22" t="s">
        <v>7890</v>
      </c>
      <c r="D3723" s="22" t="s">
        <v>7710</v>
      </c>
      <c r="E3723" s="22" t="s">
        <v>940</v>
      </c>
      <c r="F3723" s="24" t="s">
        <v>941</v>
      </c>
      <c r="G3723" s="23" t="s">
        <v>32</v>
      </c>
      <c r="H3723" s="22" t="s">
        <v>812</v>
      </c>
      <c r="I3723" s="22"/>
      <c r="J3723" s="22" t="s">
        <v>113</v>
      </c>
      <c r="K3723" s="24"/>
      <c r="L3723" s="24"/>
      <c r="M3723" s="25" t="s">
        <v>942</v>
      </c>
      <c r="N3723" s="22"/>
      <c r="O3723" s="22" t="s">
        <v>943</v>
      </c>
      <c r="P3723" s="22" t="str">
        <f>HYPERLINK("https://ceds.ed.gov/cedselementdetails.aspx?termid=22069")</f>
        <v>https://ceds.ed.gov/cedselementdetails.aspx?termid=22069</v>
      </c>
      <c r="Q3723" s="22">
        <v>59504</v>
      </c>
    </row>
    <row r="3724" spans="1:17" ht="72" x14ac:dyDescent="0.3">
      <c r="A3724" s="22" t="s">
        <v>7881</v>
      </c>
      <c r="B3724" s="22" t="s">
        <v>7888</v>
      </c>
      <c r="C3724" s="22" t="s">
        <v>7890</v>
      </c>
      <c r="D3724" s="22" t="s">
        <v>7710</v>
      </c>
      <c r="E3724" s="22" t="s">
        <v>866</v>
      </c>
      <c r="F3724" s="24" t="s">
        <v>867</v>
      </c>
      <c r="G3724" s="26" t="s">
        <v>8615</v>
      </c>
      <c r="H3724" s="22"/>
      <c r="I3724" s="22"/>
      <c r="J3724" s="22"/>
      <c r="K3724" s="24"/>
      <c r="L3724" s="24"/>
      <c r="M3724" s="25" t="s">
        <v>868</v>
      </c>
      <c r="N3724" s="22"/>
      <c r="O3724" s="22" t="s">
        <v>869</v>
      </c>
      <c r="P3724" s="22" t="str">
        <f>HYPERLINK("https://ceds.ed.gov/cedselementdetails.aspx?termid=22513")</f>
        <v>https://ceds.ed.gov/cedselementdetails.aspx?termid=22513</v>
      </c>
      <c r="Q3724" s="22">
        <v>61790</v>
      </c>
    </row>
    <row r="3725" spans="1:17" ht="28.8" x14ac:dyDescent="0.3">
      <c r="A3725" s="22" t="s">
        <v>7881</v>
      </c>
      <c r="B3725" s="22" t="s">
        <v>7888</v>
      </c>
      <c r="C3725" s="22" t="s">
        <v>7890</v>
      </c>
      <c r="D3725" s="22" t="s">
        <v>7710</v>
      </c>
      <c r="E3725" s="22" t="s">
        <v>870</v>
      </c>
      <c r="F3725" s="24" t="s">
        <v>871</v>
      </c>
      <c r="G3725" s="23" t="s">
        <v>32</v>
      </c>
      <c r="H3725" s="22" t="s">
        <v>812</v>
      </c>
      <c r="I3725" s="22"/>
      <c r="J3725" s="22" t="s">
        <v>157</v>
      </c>
      <c r="K3725" s="24"/>
      <c r="L3725" s="24"/>
      <c r="M3725" s="25" t="s">
        <v>872</v>
      </c>
      <c r="N3725" s="22"/>
      <c r="O3725" s="22" t="s">
        <v>873</v>
      </c>
      <c r="P3725" s="22" t="str">
        <f>HYPERLINK("https://ceds.ed.gov/cedselementdetails.aspx?termid=21700")</f>
        <v>https://ceds.ed.gov/cedselementdetails.aspx?termid=21700</v>
      </c>
      <c r="Q3725" s="22">
        <v>59226</v>
      </c>
    </row>
    <row r="3726" spans="1:17" ht="43.2" x14ac:dyDescent="0.3">
      <c r="A3726" s="22" t="s">
        <v>7881</v>
      </c>
      <c r="B3726" s="22" t="s">
        <v>7888</v>
      </c>
      <c r="C3726" s="22" t="s">
        <v>7890</v>
      </c>
      <c r="D3726" s="22" t="s">
        <v>7710</v>
      </c>
      <c r="E3726" s="22" t="s">
        <v>6139</v>
      </c>
      <c r="F3726" s="24" t="s">
        <v>6140</v>
      </c>
      <c r="G3726" s="26" t="s">
        <v>9104</v>
      </c>
      <c r="H3726" s="22" t="s">
        <v>226</v>
      </c>
      <c r="I3726" s="22"/>
      <c r="J3726" s="22"/>
      <c r="K3726" s="24"/>
      <c r="L3726" s="24"/>
      <c r="M3726" s="25" t="s">
        <v>6142</v>
      </c>
      <c r="N3726" s="22"/>
      <c r="O3726" s="22" t="s">
        <v>6143</v>
      </c>
      <c r="P3726" s="22" t="str">
        <f>HYPERLINK("https://ceds.ed.gov/cedselementdetails.aspx?termid=21565")</f>
        <v>https://ceds.ed.gov/cedselementdetails.aspx?termid=21565</v>
      </c>
      <c r="Q3726" s="22">
        <v>59225</v>
      </c>
    </row>
    <row r="3727" spans="1:17" ht="115.2" x14ac:dyDescent="0.3">
      <c r="A3727" s="22" t="s">
        <v>7881</v>
      </c>
      <c r="B3727" s="22" t="s">
        <v>7888</v>
      </c>
      <c r="C3727" s="22" t="s">
        <v>7890</v>
      </c>
      <c r="D3727" s="22" t="s">
        <v>7710</v>
      </c>
      <c r="E3727" s="22" t="s">
        <v>863</v>
      </c>
      <c r="F3727" s="24" t="s">
        <v>7983</v>
      </c>
      <c r="G3727" s="26" t="s">
        <v>22</v>
      </c>
      <c r="H3727" s="22"/>
      <c r="I3727" s="22"/>
      <c r="J3727" s="22"/>
      <c r="K3727" s="24"/>
      <c r="L3727" s="24"/>
      <c r="M3727" s="25" t="s">
        <v>864</v>
      </c>
      <c r="N3727" s="22"/>
      <c r="O3727" s="22" t="s">
        <v>865</v>
      </c>
      <c r="P3727" s="22" t="str">
        <f>HYPERLINK("https://ceds.ed.gov/cedselementdetails.aspx?termid=21955")</f>
        <v>https://ceds.ed.gov/cedselementdetails.aspx?termid=21955</v>
      </c>
      <c r="Q3727" s="22">
        <v>59413</v>
      </c>
    </row>
    <row r="3728" spans="1:17" ht="57.6" x14ac:dyDescent="0.3">
      <c r="A3728" s="22" t="s">
        <v>7881</v>
      </c>
      <c r="B3728" s="22" t="s">
        <v>7888</v>
      </c>
      <c r="C3728" s="22" t="s">
        <v>7890</v>
      </c>
      <c r="D3728" s="22" t="s">
        <v>7710</v>
      </c>
      <c r="E3728" s="22" t="s">
        <v>839</v>
      </c>
      <c r="F3728" s="24" t="s">
        <v>840</v>
      </c>
      <c r="G3728" s="23" t="s">
        <v>32</v>
      </c>
      <c r="H3728" s="22" t="s">
        <v>812</v>
      </c>
      <c r="I3728" s="22"/>
      <c r="J3728" s="22" t="s">
        <v>113</v>
      </c>
      <c r="K3728" s="24"/>
      <c r="L3728" s="24"/>
      <c r="M3728" s="25" t="s">
        <v>841</v>
      </c>
      <c r="N3728" s="22"/>
      <c r="O3728" s="22" t="s">
        <v>842</v>
      </c>
      <c r="P3728" s="22" t="str">
        <f>HYPERLINK("https://ceds.ed.gov/cedselementdetails.aspx?termid=21891")</f>
        <v>https://ceds.ed.gov/cedselementdetails.aspx?termid=21891</v>
      </c>
      <c r="Q3728" s="22">
        <v>60342</v>
      </c>
    </row>
    <row r="3729" spans="1:17" ht="43.2" x14ac:dyDescent="0.3">
      <c r="A3729" s="22" t="s">
        <v>7881</v>
      </c>
      <c r="B3729" s="22" t="s">
        <v>7888</v>
      </c>
      <c r="C3729" s="22" t="s">
        <v>7890</v>
      </c>
      <c r="D3729" s="22" t="s">
        <v>7710</v>
      </c>
      <c r="E3729" s="22" t="s">
        <v>843</v>
      </c>
      <c r="F3729" s="24" t="s">
        <v>844</v>
      </c>
      <c r="G3729" s="23" t="s">
        <v>32</v>
      </c>
      <c r="H3729" s="22"/>
      <c r="I3729" s="22"/>
      <c r="J3729" s="22" t="s">
        <v>845</v>
      </c>
      <c r="K3729" s="24"/>
      <c r="L3729" s="24"/>
      <c r="M3729" s="25" t="s">
        <v>846</v>
      </c>
      <c r="N3729" s="22"/>
      <c r="O3729" s="22" t="s">
        <v>847</v>
      </c>
      <c r="P3729" s="22" t="str">
        <f>HYPERLINK("https://ceds.ed.gov/cedselementdetails.aspx?termid=22512")</f>
        <v>https://ceds.ed.gov/cedselementdetails.aspx?termid=22512</v>
      </c>
      <c r="Q3729" s="22">
        <v>61786</v>
      </c>
    </row>
    <row r="3730" spans="1:17" ht="43.2" x14ac:dyDescent="0.3">
      <c r="A3730" s="22" t="s">
        <v>7881</v>
      </c>
      <c r="B3730" s="22" t="s">
        <v>7888</v>
      </c>
      <c r="C3730" s="22" t="s">
        <v>7890</v>
      </c>
      <c r="D3730" s="22" t="s">
        <v>7710</v>
      </c>
      <c r="E3730" s="22" t="s">
        <v>1266</v>
      </c>
      <c r="F3730" s="24" t="s">
        <v>1267</v>
      </c>
      <c r="G3730" s="23" t="s">
        <v>32</v>
      </c>
      <c r="H3730" s="22"/>
      <c r="I3730" s="22"/>
      <c r="J3730" s="22" t="s">
        <v>845</v>
      </c>
      <c r="K3730" s="24"/>
      <c r="L3730" s="24"/>
      <c r="M3730" s="25" t="s">
        <v>1269</v>
      </c>
      <c r="N3730" s="22"/>
      <c r="O3730" s="22" t="s">
        <v>1270</v>
      </c>
      <c r="P3730" s="22" t="str">
        <f>HYPERLINK("https://ceds.ed.gov/cedselementdetails.aspx?termid=22520")</f>
        <v>https://ceds.ed.gov/cedselementdetails.aspx?termid=22520</v>
      </c>
      <c r="Q3730" s="22">
        <v>61817</v>
      </c>
    </row>
    <row r="3731" spans="1:17" ht="100.8" x14ac:dyDescent="0.3">
      <c r="A3731" s="22" t="s">
        <v>7881</v>
      </c>
      <c r="B3731" s="22" t="s">
        <v>7888</v>
      </c>
      <c r="C3731" s="22" t="s">
        <v>7891</v>
      </c>
      <c r="D3731" s="22" t="s">
        <v>7710</v>
      </c>
      <c r="E3731" s="22" t="s">
        <v>903</v>
      </c>
      <c r="F3731" s="24" t="s">
        <v>904</v>
      </c>
      <c r="G3731" s="23" t="s">
        <v>32</v>
      </c>
      <c r="H3731" s="22"/>
      <c r="I3731" s="22"/>
      <c r="J3731" s="22" t="s">
        <v>148</v>
      </c>
      <c r="K3731" s="24"/>
      <c r="L3731" s="24"/>
      <c r="M3731" s="25" t="s">
        <v>905</v>
      </c>
      <c r="N3731" s="22"/>
      <c r="O3731" s="22" t="s">
        <v>906</v>
      </c>
      <c r="P3731" s="22" t="str">
        <f>HYPERLINK("https://ceds.ed.gov/cedselementdetails.aspx?termid=22217")</f>
        <v>https://ceds.ed.gov/cedselementdetails.aspx?termid=22217</v>
      </c>
      <c r="Q3731" s="22">
        <v>60092</v>
      </c>
    </row>
    <row r="3732" spans="1:17" ht="72" x14ac:dyDescent="0.3">
      <c r="A3732" s="22" t="s">
        <v>7881</v>
      </c>
      <c r="B3732" s="22" t="s">
        <v>7888</v>
      </c>
      <c r="C3732" s="22" t="s">
        <v>7891</v>
      </c>
      <c r="D3732" s="22" t="s">
        <v>7710</v>
      </c>
      <c r="E3732" s="22" t="s">
        <v>907</v>
      </c>
      <c r="F3732" s="24" t="s">
        <v>7985</v>
      </c>
      <c r="G3732" s="23" t="s">
        <v>32</v>
      </c>
      <c r="H3732" s="22"/>
      <c r="I3732" s="22"/>
      <c r="J3732" s="22" t="s">
        <v>148</v>
      </c>
      <c r="K3732" s="24"/>
      <c r="L3732" s="24"/>
      <c r="M3732" s="25" t="s">
        <v>908</v>
      </c>
      <c r="N3732" s="22"/>
      <c r="O3732" s="22" t="s">
        <v>909</v>
      </c>
      <c r="P3732" s="22" t="str">
        <f>HYPERLINK("https://ceds.ed.gov/cedselementdetails.aspx?termid=22218")</f>
        <v>https://ceds.ed.gov/cedselementdetails.aspx?termid=22218</v>
      </c>
      <c r="Q3732" s="22">
        <v>60094</v>
      </c>
    </row>
    <row r="3733" spans="1:17" ht="115.2" x14ac:dyDescent="0.3">
      <c r="A3733" s="22" t="s">
        <v>7881</v>
      </c>
      <c r="B3733" s="22" t="s">
        <v>7888</v>
      </c>
      <c r="C3733" s="22" t="s">
        <v>7891</v>
      </c>
      <c r="D3733" s="22" t="s">
        <v>7710</v>
      </c>
      <c r="E3733" s="22" t="s">
        <v>932</v>
      </c>
      <c r="F3733" s="24" t="s">
        <v>933</v>
      </c>
      <c r="G3733" s="26" t="s">
        <v>8618</v>
      </c>
      <c r="H3733" s="22"/>
      <c r="I3733" s="22"/>
      <c r="J3733" s="22"/>
      <c r="K3733" s="24"/>
      <c r="L3733" s="24"/>
      <c r="M3733" s="25" t="s">
        <v>934</v>
      </c>
      <c r="N3733" s="22"/>
      <c r="O3733" s="22" t="s">
        <v>935</v>
      </c>
      <c r="P3733" s="22" t="str">
        <f>HYPERLINK("https://ceds.ed.gov/cedselementdetails.aspx?termid=22219")</f>
        <v>https://ceds.ed.gov/cedselementdetails.aspx?termid=22219</v>
      </c>
      <c r="Q3733" s="22">
        <v>60096</v>
      </c>
    </row>
    <row r="3734" spans="1:17" ht="115.2" x14ac:dyDescent="0.3">
      <c r="A3734" s="22" t="s">
        <v>7881</v>
      </c>
      <c r="B3734" s="22" t="s">
        <v>7888</v>
      </c>
      <c r="C3734" s="22" t="s">
        <v>7891</v>
      </c>
      <c r="D3734" s="22" t="s">
        <v>7710</v>
      </c>
      <c r="E3734" s="22" t="s">
        <v>910</v>
      </c>
      <c r="F3734" s="24" t="s">
        <v>911</v>
      </c>
      <c r="G3734" s="23" t="s">
        <v>32</v>
      </c>
      <c r="H3734" s="22"/>
      <c r="I3734" s="22"/>
      <c r="J3734" s="22" t="s">
        <v>148</v>
      </c>
      <c r="K3734" s="24"/>
      <c r="L3734" s="24"/>
      <c r="M3734" s="25" t="s">
        <v>912</v>
      </c>
      <c r="N3734" s="22"/>
      <c r="O3734" s="22" t="s">
        <v>913</v>
      </c>
      <c r="P3734" s="22" t="str">
        <f>HYPERLINK("https://ceds.ed.gov/cedselementdetails.aspx?termid=22220")</f>
        <v>https://ceds.ed.gov/cedselementdetails.aspx?termid=22220</v>
      </c>
      <c r="Q3734" s="22">
        <v>60098</v>
      </c>
    </row>
    <row r="3735" spans="1:17" ht="86.4" x14ac:dyDescent="0.3">
      <c r="A3735" s="22" t="s">
        <v>7881</v>
      </c>
      <c r="B3735" s="22" t="s">
        <v>7888</v>
      </c>
      <c r="C3735" s="22" t="s">
        <v>7891</v>
      </c>
      <c r="D3735" s="22" t="s">
        <v>7710</v>
      </c>
      <c r="E3735" s="22" t="s">
        <v>914</v>
      </c>
      <c r="F3735" s="24" t="s">
        <v>7986</v>
      </c>
      <c r="G3735" s="23" t="s">
        <v>32</v>
      </c>
      <c r="H3735" s="22"/>
      <c r="I3735" s="22"/>
      <c r="J3735" s="22" t="s">
        <v>148</v>
      </c>
      <c r="K3735" s="24"/>
      <c r="L3735" s="24"/>
      <c r="M3735" s="25" t="s">
        <v>915</v>
      </c>
      <c r="N3735" s="22"/>
      <c r="O3735" s="22" t="s">
        <v>916</v>
      </c>
      <c r="P3735" s="22" t="str">
        <f>HYPERLINK("https://ceds.ed.gov/cedselementdetails.aspx?termid=22221")</f>
        <v>https://ceds.ed.gov/cedselementdetails.aspx?termid=22221</v>
      </c>
      <c r="Q3735" s="22">
        <v>60100</v>
      </c>
    </row>
    <row r="3736" spans="1:17" ht="86.4" x14ac:dyDescent="0.3">
      <c r="A3736" s="22" t="s">
        <v>7881</v>
      </c>
      <c r="B3736" s="22" t="s">
        <v>7888</v>
      </c>
      <c r="C3736" s="22" t="s">
        <v>7891</v>
      </c>
      <c r="D3736" s="22" t="s">
        <v>7710</v>
      </c>
      <c r="E3736" s="22" t="s">
        <v>917</v>
      </c>
      <c r="F3736" s="24" t="s">
        <v>7987</v>
      </c>
      <c r="G3736" s="23" t="s">
        <v>32</v>
      </c>
      <c r="H3736" s="22"/>
      <c r="I3736" s="22"/>
      <c r="J3736" s="22" t="s">
        <v>148</v>
      </c>
      <c r="K3736" s="24"/>
      <c r="L3736" s="24"/>
      <c r="M3736" s="25" t="s">
        <v>918</v>
      </c>
      <c r="N3736" s="22"/>
      <c r="O3736" s="22" t="s">
        <v>919</v>
      </c>
      <c r="P3736" s="22" t="str">
        <f>HYPERLINK("https://ceds.ed.gov/cedselementdetails.aspx?termid=22222")</f>
        <v>https://ceds.ed.gov/cedselementdetails.aspx?termid=22222</v>
      </c>
      <c r="Q3736" s="22">
        <v>60102</v>
      </c>
    </row>
    <row r="3737" spans="1:17" ht="86.4" x14ac:dyDescent="0.3">
      <c r="A3737" s="22" t="s">
        <v>7881</v>
      </c>
      <c r="B3737" s="22" t="s">
        <v>7888</v>
      </c>
      <c r="C3737" s="22" t="s">
        <v>7891</v>
      </c>
      <c r="D3737" s="22" t="s">
        <v>7710</v>
      </c>
      <c r="E3737" s="22" t="s">
        <v>920</v>
      </c>
      <c r="F3737" s="24" t="s">
        <v>7988</v>
      </c>
      <c r="G3737" s="23" t="s">
        <v>32</v>
      </c>
      <c r="H3737" s="22"/>
      <c r="I3737" s="22"/>
      <c r="J3737" s="22" t="s">
        <v>148</v>
      </c>
      <c r="K3737" s="24"/>
      <c r="L3737" s="24"/>
      <c r="M3737" s="25" t="s">
        <v>921</v>
      </c>
      <c r="N3737" s="22"/>
      <c r="O3737" s="22" t="s">
        <v>922</v>
      </c>
      <c r="P3737" s="22" t="str">
        <f>HYPERLINK("https://ceds.ed.gov/cedselementdetails.aspx?termid=22223")</f>
        <v>https://ceds.ed.gov/cedselementdetails.aspx?termid=22223</v>
      </c>
      <c r="Q3737" s="22">
        <v>60104</v>
      </c>
    </row>
    <row r="3738" spans="1:17" ht="86.4" x14ac:dyDescent="0.3">
      <c r="A3738" s="22" t="s">
        <v>7881</v>
      </c>
      <c r="B3738" s="22" t="s">
        <v>7888</v>
      </c>
      <c r="C3738" s="22" t="s">
        <v>7891</v>
      </c>
      <c r="D3738" s="22" t="s">
        <v>7710</v>
      </c>
      <c r="E3738" s="22" t="s">
        <v>923</v>
      </c>
      <c r="F3738" s="24" t="s">
        <v>7989</v>
      </c>
      <c r="G3738" s="23" t="s">
        <v>32</v>
      </c>
      <c r="H3738" s="22"/>
      <c r="I3738" s="22"/>
      <c r="J3738" s="22" t="s">
        <v>148</v>
      </c>
      <c r="K3738" s="24"/>
      <c r="L3738" s="24"/>
      <c r="M3738" s="25" t="s">
        <v>924</v>
      </c>
      <c r="N3738" s="22"/>
      <c r="O3738" s="22" t="s">
        <v>925</v>
      </c>
      <c r="P3738" s="22" t="str">
        <f>HYPERLINK("https://ceds.ed.gov/cedselementdetails.aspx?termid=22224")</f>
        <v>https://ceds.ed.gov/cedselementdetails.aspx?termid=22224</v>
      </c>
      <c r="Q3738" s="22">
        <v>60106</v>
      </c>
    </row>
    <row r="3739" spans="1:17" ht="86.4" x14ac:dyDescent="0.3">
      <c r="A3739" s="22" t="s">
        <v>7881</v>
      </c>
      <c r="B3739" s="22" t="s">
        <v>7888</v>
      </c>
      <c r="C3739" s="22" t="s">
        <v>7891</v>
      </c>
      <c r="D3739" s="22" t="s">
        <v>7710</v>
      </c>
      <c r="E3739" s="22" t="s">
        <v>926</v>
      </c>
      <c r="F3739" s="24" t="s">
        <v>7990</v>
      </c>
      <c r="G3739" s="23" t="s">
        <v>32</v>
      </c>
      <c r="H3739" s="22"/>
      <c r="I3739" s="22"/>
      <c r="J3739" s="22" t="s">
        <v>148</v>
      </c>
      <c r="K3739" s="24"/>
      <c r="L3739" s="24"/>
      <c r="M3739" s="25" t="s">
        <v>927</v>
      </c>
      <c r="N3739" s="22"/>
      <c r="O3739" s="22" t="s">
        <v>928</v>
      </c>
      <c r="P3739" s="22" t="str">
        <f>HYPERLINK("https://ceds.ed.gov/cedselementdetails.aspx?termid=22225")</f>
        <v>https://ceds.ed.gov/cedselementdetails.aspx?termid=22225</v>
      </c>
      <c r="Q3739" s="22">
        <v>60108</v>
      </c>
    </row>
    <row r="3740" spans="1:17" ht="86.4" x14ac:dyDescent="0.3">
      <c r="A3740" s="22" t="s">
        <v>7881</v>
      </c>
      <c r="B3740" s="22" t="s">
        <v>7888</v>
      </c>
      <c r="C3740" s="22" t="s">
        <v>7891</v>
      </c>
      <c r="D3740" s="22" t="s">
        <v>7710</v>
      </c>
      <c r="E3740" s="22" t="s">
        <v>929</v>
      </c>
      <c r="F3740" s="24" t="s">
        <v>7991</v>
      </c>
      <c r="G3740" s="23" t="s">
        <v>32</v>
      </c>
      <c r="H3740" s="22"/>
      <c r="I3740" s="22"/>
      <c r="J3740" s="22" t="s">
        <v>148</v>
      </c>
      <c r="K3740" s="24"/>
      <c r="L3740" s="24"/>
      <c r="M3740" s="25" t="s">
        <v>930</v>
      </c>
      <c r="N3740" s="22"/>
      <c r="O3740" s="22" t="s">
        <v>931</v>
      </c>
      <c r="P3740" s="22" t="str">
        <f>HYPERLINK("https://ceds.ed.gov/cedselementdetails.aspx?termid=22226")</f>
        <v>https://ceds.ed.gov/cedselementdetails.aspx?termid=22226</v>
      </c>
      <c r="Q3740" s="22">
        <v>60110</v>
      </c>
    </row>
    <row r="3741" spans="1:17" ht="43.2" x14ac:dyDescent="0.3">
      <c r="A3741" s="22" t="s">
        <v>7881</v>
      </c>
      <c r="B3741" s="22" t="s">
        <v>7888</v>
      </c>
      <c r="C3741" s="22" t="s">
        <v>7891</v>
      </c>
      <c r="D3741" s="22" t="s">
        <v>7710</v>
      </c>
      <c r="E3741" s="22" t="s">
        <v>936</v>
      </c>
      <c r="F3741" s="24" t="s">
        <v>937</v>
      </c>
      <c r="G3741" s="23" t="s">
        <v>32</v>
      </c>
      <c r="H3741" s="22"/>
      <c r="I3741" s="22"/>
      <c r="J3741" s="22" t="s">
        <v>148</v>
      </c>
      <c r="K3741" s="24"/>
      <c r="L3741" s="24"/>
      <c r="M3741" s="25" t="s">
        <v>938</v>
      </c>
      <c r="N3741" s="22"/>
      <c r="O3741" s="22" t="s">
        <v>939</v>
      </c>
      <c r="P3741" s="22" t="str">
        <f>HYPERLINK("https://ceds.ed.gov/cedselementdetails.aspx?termid=22228")</f>
        <v>https://ceds.ed.gov/cedselementdetails.aspx?termid=22228</v>
      </c>
      <c r="Q3741" s="22">
        <v>61026</v>
      </c>
    </row>
    <row r="3742" spans="1:17" ht="144" x14ac:dyDescent="0.3">
      <c r="A3742" s="22" t="s">
        <v>7881</v>
      </c>
      <c r="B3742" s="22" t="s">
        <v>7888</v>
      </c>
      <c r="C3742" s="22" t="s">
        <v>7891</v>
      </c>
      <c r="D3742" s="22" t="s">
        <v>7710</v>
      </c>
      <c r="E3742" s="22" t="s">
        <v>891</v>
      </c>
      <c r="F3742" s="24" t="s">
        <v>7984</v>
      </c>
      <c r="G3742" s="23" t="s">
        <v>32</v>
      </c>
      <c r="H3742" s="22"/>
      <c r="I3742" s="22"/>
      <c r="J3742" s="22" t="s">
        <v>148</v>
      </c>
      <c r="K3742" s="24"/>
      <c r="L3742" s="24"/>
      <c r="M3742" s="25" t="s">
        <v>893</v>
      </c>
      <c r="N3742" s="22"/>
      <c r="O3742" s="22" t="s">
        <v>894</v>
      </c>
      <c r="P3742" s="22" t="str">
        <f>HYPERLINK("https://ceds.ed.gov/cedselementdetails.aspx?termid=22230")</f>
        <v>https://ceds.ed.gov/cedselementdetails.aspx?termid=22230</v>
      </c>
      <c r="Q3742" s="22">
        <v>60118</v>
      </c>
    </row>
    <row r="3743" spans="1:17" ht="28.8" x14ac:dyDescent="0.3">
      <c r="A3743" s="22" t="s">
        <v>7881</v>
      </c>
      <c r="B3743" s="22" t="s">
        <v>7888</v>
      </c>
      <c r="C3743" s="22" t="s">
        <v>7891</v>
      </c>
      <c r="D3743" s="22" t="s">
        <v>7710</v>
      </c>
      <c r="E3743" s="22" t="s">
        <v>899</v>
      </c>
      <c r="F3743" s="24" t="s">
        <v>900</v>
      </c>
      <c r="G3743" s="23" t="s">
        <v>32</v>
      </c>
      <c r="H3743" s="22"/>
      <c r="I3743" s="22"/>
      <c r="J3743" s="22" t="s">
        <v>148</v>
      </c>
      <c r="K3743" s="24"/>
      <c r="L3743" s="24"/>
      <c r="M3743" s="25" t="s">
        <v>901</v>
      </c>
      <c r="N3743" s="22"/>
      <c r="O3743" s="22" t="s">
        <v>902</v>
      </c>
      <c r="P3743" s="22" t="str">
        <f>HYPERLINK("https://ceds.ed.gov/cedselementdetails.aspx?termid=22231")</f>
        <v>https://ceds.ed.gov/cedselementdetails.aspx?termid=22231</v>
      </c>
      <c r="Q3743" s="22">
        <v>60120</v>
      </c>
    </row>
    <row r="3744" spans="1:17" ht="57.6" x14ac:dyDescent="0.3">
      <c r="A3744" s="22" t="s">
        <v>7881</v>
      </c>
      <c r="B3744" s="22" t="s">
        <v>7888</v>
      </c>
      <c r="C3744" s="22" t="s">
        <v>7891</v>
      </c>
      <c r="D3744" s="22" t="s">
        <v>7710</v>
      </c>
      <c r="E3744" s="22" t="s">
        <v>895</v>
      </c>
      <c r="F3744" s="24" t="s">
        <v>896</v>
      </c>
      <c r="G3744" s="26" t="s">
        <v>8617</v>
      </c>
      <c r="H3744" s="22"/>
      <c r="I3744" s="22"/>
      <c r="J3744" s="22"/>
      <c r="K3744" s="24"/>
      <c r="L3744" s="24"/>
      <c r="M3744" s="25" t="s">
        <v>897</v>
      </c>
      <c r="N3744" s="22"/>
      <c r="O3744" s="22" t="s">
        <v>898</v>
      </c>
      <c r="P3744" s="22" t="str">
        <f>HYPERLINK("https://ceds.ed.gov/cedselementdetails.aspx?termid=22232")</f>
        <v>https://ceds.ed.gov/cedselementdetails.aspx?termid=22232</v>
      </c>
      <c r="Q3744" s="22">
        <v>60122</v>
      </c>
    </row>
    <row r="3745" spans="1:17" ht="86.4" x14ac:dyDescent="0.3">
      <c r="A3745" s="22" t="s">
        <v>7881</v>
      </c>
      <c r="B3745" s="22" t="s">
        <v>7888</v>
      </c>
      <c r="C3745" s="22" t="s">
        <v>7892</v>
      </c>
      <c r="D3745" s="22" t="s">
        <v>7710</v>
      </c>
      <c r="E3745" s="22" t="s">
        <v>684</v>
      </c>
      <c r="F3745" s="24" t="s">
        <v>7977</v>
      </c>
      <c r="G3745" s="23" t="s">
        <v>32</v>
      </c>
      <c r="H3745" s="22"/>
      <c r="I3745" s="22"/>
      <c r="J3745" s="22" t="s">
        <v>328</v>
      </c>
      <c r="K3745" s="24"/>
      <c r="L3745" s="24"/>
      <c r="M3745" s="25" t="s">
        <v>686</v>
      </c>
      <c r="N3745" s="22"/>
      <c r="O3745" s="22" t="s">
        <v>687</v>
      </c>
      <c r="P3745" s="22" t="str">
        <f>HYPERLINK("https://ceds.ed.gov/cedselementdetails.aspx?termid=22079")</f>
        <v>https://ceds.ed.gov/cedselementdetails.aspx?termid=22079</v>
      </c>
      <c r="Q3745" s="22">
        <v>59520</v>
      </c>
    </row>
    <row r="3746" spans="1:17" ht="28.8" x14ac:dyDescent="0.3">
      <c r="A3746" s="22" t="s">
        <v>7881</v>
      </c>
      <c r="B3746" s="22" t="s">
        <v>7888</v>
      </c>
      <c r="C3746" s="22" t="s">
        <v>7893</v>
      </c>
      <c r="D3746" s="22" t="s">
        <v>7710</v>
      </c>
      <c r="E3746" s="22" t="s">
        <v>769</v>
      </c>
      <c r="F3746" s="24" t="s">
        <v>770</v>
      </c>
      <c r="G3746" s="23" t="s">
        <v>32</v>
      </c>
      <c r="H3746" s="22"/>
      <c r="I3746" s="22"/>
      <c r="J3746" s="22" t="s">
        <v>85</v>
      </c>
      <c r="K3746" s="24"/>
      <c r="L3746" s="24"/>
      <c r="M3746" s="25" t="s">
        <v>771</v>
      </c>
      <c r="N3746" s="22"/>
      <c r="O3746" s="22" t="s">
        <v>772</v>
      </c>
      <c r="P3746" s="22" t="str">
        <f>HYPERLINK("https://ceds.ed.gov/cedselementdetails.aspx?termid=21685")</f>
        <v>https://ceds.ed.gov/cedselementdetails.aspx?termid=21685</v>
      </c>
      <c r="Q3746" s="22">
        <v>59205</v>
      </c>
    </row>
    <row r="3747" spans="1:17" ht="259.2" x14ac:dyDescent="0.3">
      <c r="A3747" s="22" t="s">
        <v>7881</v>
      </c>
      <c r="B3747" s="22" t="s">
        <v>7888</v>
      </c>
      <c r="C3747" s="22" t="s">
        <v>7893</v>
      </c>
      <c r="D3747" s="22" t="s">
        <v>7710</v>
      </c>
      <c r="E3747" s="22" t="s">
        <v>764</v>
      </c>
      <c r="F3747" s="24" t="s">
        <v>765</v>
      </c>
      <c r="G3747" s="26" t="s">
        <v>8613</v>
      </c>
      <c r="H3747" s="24" t="s">
        <v>638</v>
      </c>
      <c r="I3747" s="22"/>
      <c r="J3747" s="22"/>
      <c r="K3747" s="24"/>
      <c r="L3747" s="24"/>
      <c r="M3747" s="25" t="s">
        <v>767</v>
      </c>
      <c r="N3747" s="22"/>
      <c r="O3747" s="22" t="s">
        <v>768</v>
      </c>
      <c r="P3747" s="22" t="str">
        <f>HYPERLINK("https://ceds.ed.gov/cedselementdetails.aspx?termid=21384")</f>
        <v>https://ceds.ed.gov/cedselementdetails.aspx?termid=21384</v>
      </c>
      <c r="Q3747" s="22">
        <v>59195</v>
      </c>
    </row>
    <row r="3748" spans="1:17" ht="172.8" x14ac:dyDescent="0.3">
      <c r="A3748" s="22" t="s">
        <v>7881</v>
      </c>
      <c r="B3748" s="22" t="s">
        <v>7888</v>
      </c>
      <c r="C3748" s="22" t="s">
        <v>7894</v>
      </c>
      <c r="D3748" s="22" t="s">
        <v>7710</v>
      </c>
      <c r="E3748" s="22" t="s">
        <v>6518</v>
      </c>
      <c r="F3748" s="24" t="s">
        <v>6519</v>
      </c>
      <c r="G3748" s="23" t="s">
        <v>32</v>
      </c>
      <c r="H3748" s="24" t="s">
        <v>638</v>
      </c>
      <c r="I3748" s="22"/>
      <c r="J3748" s="22" t="s">
        <v>132</v>
      </c>
      <c r="K3748" s="24"/>
      <c r="L3748" s="24" t="s">
        <v>7945</v>
      </c>
      <c r="M3748" s="25" t="s">
        <v>6520</v>
      </c>
      <c r="N3748" s="22"/>
      <c r="O3748" s="22" t="s">
        <v>6521</v>
      </c>
      <c r="P3748" s="22" t="str">
        <f>HYPERLINK("https://ceds.ed.gov/cedselementdetails.aspx?termid=21412")</f>
        <v>https://ceds.ed.gov/cedselementdetails.aspx?termid=21412</v>
      </c>
      <c r="Q3748" s="22">
        <v>60419</v>
      </c>
    </row>
    <row r="3749" spans="1:17" ht="28.8" x14ac:dyDescent="0.3">
      <c r="A3749" s="22" t="s">
        <v>7881</v>
      </c>
      <c r="B3749" s="22" t="s">
        <v>7888</v>
      </c>
      <c r="C3749" s="22" t="s">
        <v>7894</v>
      </c>
      <c r="D3749" s="22" t="s">
        <v>7710</v>
      </c>
      <c r="E3749" s="22" t="s">
        <v>6522</v>
      </c>
      <c r="F3749" s="24" t="s">
        <v>6523</v>
      </c>
      <c r="G3749" s="23" t="s">
        <v>32</v>
      </c>
      <c r="H3749" s="24" t="s">
        <v>638</v>
      </c>
      <c r="I3749" s="22"/>
      <c r="J3749" s="22" t="s">
        <v>85</v>
      </c>
      <c r="K3749" s="24"/>
      <c r="L3749" s="24"/>
      <c r="M3749" s="25" t="s">
        <v>6524</v>
      </c>
      <c r="N3749" s="22"/>
      <c r="O3749" s="22" t="s">
        <v>6525</v>
      </c>
      <c r="P3749" s="22" t="str">
        <f>HYPERLINK("https://ceds.ed.gov/cedselementdetails.aspx?termid=21411")</f>
        <v>https://ceds.ed.gov/cedselementdetails.aspx?termid=21411</v>
      </c>
      <c r="Q3749" s="22">
        <v>60418</v>
      </c>
    </row>
    <row r="3750" spans="1:17" ht="28.8" x14ac:dyDescent="0.3">
      <c r="A3750" s="22" t="s">
        <v>7881</v>
      </c>
      <c r="B3750" s="22" t="s">
        <v>7888</v>
      </c>
      <c r="C3750" s="22" t="s">
        <v>7894</v>
      </c>
      <c r="D3750" s="22" t="s">
        <v>7710</v>
      </c>
      <c r="E3750" s="22" t="s">
        <v>6514</v>
      </c>
      <c r="F3750" s="24" t="s">
        <v>6515</v>
      </c>
      <c r="G3750" s="23" t="s">
        <v>32</v>
      </c>
      <c r="H3750" s="22"/>
      <c r="I3750" s="22"/>
      <c r="J3750" s="22" t="s">
        <v>328</v>
      </c>
      <c r="K3750" s="24"/>
      <c r="L3750" s="24"/>
      <c r="M3750" s="25" t="s">
        <v>6516</v>
      </c>
      <c r="N3750" s="22"/>
      <c r="O3750" s="22" t="s">
        <v>6517</v>
      </c>
      <c r="P3750" s="22" t="str">
        <f>HYPERLINK("https://ceds.ed.gov/cedselementdetails.aspx?termid=22451")</f>
        <v>https://ceds.ed.gov/cedselementdetails.aspx?termid=22451</v>
      </c>
      <c r="Q3750" s="22">
        <v>61407</v>
      </c>
    </row>
    <row r="3751" spans="1:17" ht="28.8" x14ac:dyDescent="0.3">
      <c r="A3751" s="22" t="s">
        <v>7881</v>
      </c>
      <c r="B3751" s="22" t="s">
        <v>7888</v>
      </c>
      <c r="C3751" s="22" t="s">
        <v>7894</v>
      </c>
      <c r="D3751" s="22" t="s">
        <v>7710</v>
      </c>
      <c r="E3751" s="22" t="s">
        <v>6526</v>
      </c>
      <c r="F3751" s="24" t="s">
        <v>6527</v>
      </c>
      <c r="G3751" s="23" t="s">
        <v>32</v>
      </c>
      <c r="H3751" s="24" t="s">
        <v>638</v>
      </c>
      <c r="I3751" s="22"/>
      <c r="J3751" s="22" t="s">
        <v>50</v>
      </c>
      <c r="K3751" s="24"/>
      <c r="L3751" s="24"/>
      <c r="M3751" s="25" t="s">
        <v>6528</v>
      </c>
      <c r="N3751" s="22"/>
      <c r="O3751" s="22" t="s">
        <v>6529</v>
      </c>
      <c r="P3751" s="22" t="str">
        <f>HYPERLINK("https://ceds.ed.gov/cedselementdetails.aspx?termid=21413")</f>
        <v>https://ceds.ed.gov/cedselementdetails.aspx?termid=21413</v>
      </c>
      <c r="Q3751" s="22">
        <v>60420</v>
      </c>
    </row>
    <row r="3752" spans="1:17" x14ac:dyDescent="0.3">
      <c r="A3752" s="22" t="s">
        <v>7881</v>
      </c>
      <c r="B3752" s="22" t="s">
        <v>7888</v>
      </c>
      <c r="C3752" s="22" t="s">
        <v>7894</v>
      </c>
      <c r="D3752" s="22" t="s">
        <v>7710</v>
      </c>
      <c r="E3752" s="22" t="s">
        <v>6506</v>
      </c>
      <c r="F3752" s="24" t="s">
        <v>6507</v>
      </c>
      <c r="G3752" s="23" t="s">
        <v>32</v>
      </c>
      <c r="H3752" s="22"/>
      <c r="I3752" s="22"/>
      <c r="J3752" s="22" t="s">
        <v>157</v>
      </c>
      <c r="K3752" s="24"/>
      <c r="L3752" s="24"/>
      <c r="M3752" s="25" t="s">
        <v>6508</v>
      </c>
      <c r="N3752" s="22"/>
      <c r="O3752" s="22" t="s">
        <v>6509</v>
      </c>
      <c r="P3752" s="22" t="str">
        <f>HYPERLINK("https://ceds.ed.gov/cedselementdetails.aspx?termid=22449")</f>
        <v>https://ceds.ed.gov/cedselementdetails.aspx?termid=22449</v>
      </c>
      <c r="Q3752" s="22">
        <v>61401</v>
      </c>
    </row>
    <row r="3753" spans="1:17" ht="43.2" x14ac:dyDescent="0.3">
      <c r="A3753" s="22" t="s">
        <v>7881</v>
      </c>
      <c r="B3753" s="22" t="s">
        <v>7888</v>
      </c>
      <c r="C3753" s="22" t="s">
        <v>7894</v>
      </c>
      <c r="D3753" s="22" t="s">
        <v>7710</v>
      </c>
      <c r="E3753" s="22" t="s">
        <v>6480</v>
      </c>
      <c r="F3753" s="24" t="s">
        <v>6481</v>
      </c>
      <c r="G3753" s="23" t="s">
        <v>32</v>
      </c>
      <c r="H3753" s="22"/>
      <c r="I3753" s="22"/>
      <c r="J3753" s="22" t="s">
        <v>328</v>
      </c>
      <c r="K3753" s="24"/>
      <c r="L3753" s="24"/>
      <c r="M3753" s="25" t="s">
        <v>6482</v>
      </c>
      <c r="N3753" s="22"/>
      <c r="O3753" s="22" t="s">
        <v>6483</v>
      </c>
      <c r="P3753" s="22" t="str">
        <f>HYPERLINK("https://ceds.ed.gov/cedselementdetails.aspx?termid=22442")</f>
        <v>https://ceds.ed.gov/cedselementdetails.aspx?termid=22442</v>
      </c>
      <c r="Q3753" s="22">
        <v>61379</v>
      </c>
    </row>
    <row r="3754" spans="1:17" ht="28.8" x14ac:dyDescent="0.3">
      <c r="A3754" s="22" t="s">
        <v>7881</v>
      </c>
      <c r="B3754" s="22" t="s">
        <v>7888</v>
      </c>
      <c r="C3754" s="22" t="s">
        <v>7894</v>
      </c>
      <c r="D3754" s="22" t="s">
        <v>7710</v>
      </c>
      <c r="E3754" s="22" t="s">
        <v>6475</v>
      </c>
      <c r="F3754" s="24" t="s">
        <v>6476</v>
      </c>
      <c r="G3754" s="23" t="s">
        <v>32</v>
      </c>
      <c r="H3754" s="22"/>
      <c r="I3754" s="22"/>
      <c r="J3754" s="22" t="s">
        <v>85</v>
      </c>
      <c r="K3754" s="24"/>
      <c r="L3754" s="24"/>
      <c r="M3754" s="25" t="s">
        <v>6478</v>
      </c>
      <c r="N3754" s="22"/>
      <c r="O3754" s="22" t="s">
        <v>6479</v>
      </c>
      <c r="P3754" s="22" t="str">
        <f>HYPERLINK("https://ceds.ed.gov/cedselementdetails.aspx?termid=22441")</f>
        <v>https://ceds.ed.gov/cedselementdetails.aspx?termid=22441</v>
      </c>
      <c r="Q3754" s="22">
        <v>61376</v>
      </c>
    </row>
    <row r="3755" spans="1:17" ht="43.2" x14ac:dyDescent="0.3">
      <c r="A3755" s="22" t="s">
        <v>7881</v>
      </c>
      <c r="B3755" s="22" t="s">
        <v>7888</v>
      </c>
      <c r="C3755" s="22" t="s">
        <v>7894</v>
      </c>
      <c r="D3755" s="22" t="s">
        <v>7710</v>
      </c>
      <c r="E3755" s="22" t="s">
        <v>6502</v>
      </c>
      <c r="F3755" s="24" t="s">
        <v>6503</v>
      </c>
      <c r="G3755" s="23" t="s">
        <v>32</v>
      </c>
      <c r="H3755" s="22"/>
      <c r="I3755" s="22"/>
      <c r="J3755" s="22" t="s">
        <v>148</v>
      </c>
      <c r="K3755" s="24"/>
      <c r="L3755" s="24"/>
      <c r="M3755" s="25" t="s">
        <v>6504</v>
      </c>
      <c r="N3755" s="22"/>
      <c r="O3755" s="22" t="s">
        <v>6505</v>
      </c>
      <c r="P3755" s="22" t="str">
        <f>HYPERLINK("https://ceds.ed.gov/cedselementdetails.aspx?termid=22448")</f>
        <v>https://ceds.ed.gov/cedselementdetails.aspx?termid=22448</v>
      </c>
      <c r="Q3755" s="22">
        <v>61398</v>
      </c>
    </row>
    <row r="3756" spans="1:17" ht="57.6" x14ac:dyDescent="0.3">
      <c r="A3756" s="22" t="s">
        <v>7881</v>
      </c>
      <c r="B3756" s="22" t="s">
        <v>7888</v>
      </c>
      <c r="C3756" s="22" t="s">
        <v>7894</v>
      </c>
      <c r="D3756" s="22" t="s">
        <v>7710</v>
      </c>
      <c r="E3756" s="22" t="s">
        <v>6484</v>
      </c>
      <c r="F3756" s="24" t="s">
        <v>8298</v>
      </c>
      <c r="G3756" s="23" t="s">
        <v>32</v>
      </c>
      <c r="H3756" s="22"/>
      <c r="I3756" s="22"/>
      <c r="J3756" s="22" t="s">
        <v>328</v>
      </c>
      <c r="K3756" s="24"/>
      <c r="L3756" s="24"/>
      <c r="M3756" s="25" t="s">
        <v>6485</v>
      </c>
      <c r="N3756" s="22"/>
      <c r="O3756" s="22" t="s">
        <v>6486</v>
      </c>
      <c r="P3756" s="22" t="str">
        <f>HYPERLINK("https://ceds.ed.gov/cedselementdetails.aspx?termid=22443")</f>
        <v>https://ceds.ed.gov/cedselementdetails.aspx?termid=22443</v>
      </c>
      <c r="Q3756" s="22">
        <v>61382</v>
      </c>
    </row>
    <row r="3757" spans="1:17" ht="72" x14ac:dyDescent="0.3">
      <c r="A3757" s="22" t="s">
        <v>7881</v>
      </c>
      <c r="B3757" s="22" t="s">
        <v>7888</v>
      </c>
      <c r="C3757" s="22" t="s">
        <v>7894</v>
      </c>
      <c r="D3757" s="22" t="s">
        <v>7710</v>
      </c>
      <c r="E3757" s="22" t="s">
        <v>6487</v>
      </c>
      <c r="F3757" s="24" t="s">
        <v>8299</v>
      </c>
      <c r="G3757" s="23" t="s">
        <v>32</v>
      </c>
      <c r="H3757" s="22"/>
      <c r="I3757" s="22"/>
      <c r="J3757" s="22" t="s">
        <v>328</v>
      </c>
      <c r="K3757" s="24"/>
      <c r="L3757" s="24"/>
      <c r="M3757" s="25" t="s">
        <v>6488</v>
      </c>
      <c r="N3757" s="22"/>
      <c r="O3757" s="22" t="s">
        <v>6489</v>
      </c>
      <c r="P3757" s="22" t="str">
        <f>HYPERLINK("https://ceds.ed.gov/cedselementdetails.aspx?termid=22444")</f>
        <v>https://ceds.ed.gov/cedselementdetails.aspx?termid=22444</v>
      </c>
      <c r="Q3757" s="22">
        <v>61386</v>
      </c>
    </row>
    <row r="3758" spans="1:17" ht="43.2" x14ac:dyDescent="0.3">
      <c r="A3758" s="22" t="s">
        <v>7881</v>
      </c>
      <c r="B3758" s="22" t="s">
        <v>7888</v>
      </c>
      <c r="C3758" s="22" t="s">
        <v>7894</v>
      </c>
      <c r="D3758" s="22" t="s">
        <v>7710</v>
      </c>
      <c r="E3758" s="22" t="s">
        <v>6490</v>
      </c>
      <c r="F3758" s="24" t="s">
        <v>6491</v>
      </c>
      <c r="G3758" s="23" t="s">
        <v>32</v>
      </c>
      <c r="H3758" s="22"/>
      <c r="I3758" s="22"/>
      <c r="J3758" s="22" t="s">
        <v>148</v>
      </c>
      <c r="K3758" s="24"/>
      <c r="L3758" s="24"/>
      <c r="M3758" s="25" t="s">
        <v>6492</v>
      </c>
      <c r="N3758" s="22"/>
      <c r="O3758" s="22" t="s">
        <v>6493</v>
      </c>
      <c r="P3758" s="22" t="str">
        <f>HYPERLINK("https://ceds.ed.gov/cedselementdetails.aspx?termid=22445")</f>
        <v>https://ceds.ed.gov/cedselementdetails.aspx?termid=22445</v>
      </c>
      <c r="Q3758" s="22">
        <v>61389</v>
      </c>
    </row>
    <row r="3759" spans="1:17" ht="43.2" x14ac:dyDescent="0.3">
      <c r="A3759" s="22" t="s">
        <v>7881</v>
      </c>
      <c r="B3759" s="22" t="s">
        <v>7888</v>
      </c>
      <c r="C3759" s="22" t="s">
        <v>7894</v>
      </c>
      <c r="D3759" s="22" t="s">
        <v>7710</v>
      </c>
      <c r="E3759" s="22" t="s">
        <v>6494</v>
      </c>
      <c r="F3759" s="24" t="s">
        <v>6495</v>
      </c>
      <c r="G3759" s="23" t="s">
        <v>32</v>
      </c>
      <c r="H3759" s="22"/>
      <c r="I3759" s="22"/>
      <c r="J3759" s="22" t="s">
        <v>157</v>
      </c>
      <c r="K3759" s="24"/>
      <c r="L3759" s="24"/>
      <c r="M3759" s="25" t="s">
        <v>6496</v>
      </c>
      <c r="N3759" s="22"/>
      <c r="O3759" s="22" t="s">
        <v>6497</v>
      </c>
      <c r="P3759" s="22" t="str">
        <f>HYPERLINK("https://ceds.ed.gov/cedselementdetails.aspx?termid=22446")</f>
        <v>https://ceds.ed.gov/cedselementdetails.aspx?termid=22446</v>
      </c>
      <c r="Q3759" s="22">
        <v>61392</v>
      </c>
    </row>
    <row r="3760" spans="1:17" ht="28.8" x14ac:dyDescent="0.3">
      <c r="A3760" s="22" t="s">
        <v>7881</v>
      </c>
      <c r="B3760" s="22" t="s">
        <v>7888</v>
      </c>
      <c r="C3760" s="22" t="s">
        <v>7894</v>
      </c>
      <c r="D3760" s="22" t="s">
        <v>7710</v>
      </c>
      <c r="E3760" s="22" t="s">
        <v>6498</v>
      </c>
      <c r="F3760" s="24" t="s">
        <v>6499</v>
      </c>
      <c r="G3760" s="23" t="s">
        <v>32</v>
      </c>
      <c r="H3760" s="22"/>
      <c r="I3760" s="22"/>
      <c r="J3760" s="22" t="s">
        <v>148</v>
      </c>
      <c r="K3760" s="24"/>
      <c r="L3760" s="24"/>
      <c r="M3760" s="25" t="s">
        <v>6500</v>
      </c>
      <c r="N3760" s="22"/>
      <c r="O3760" s="22" t="s">
        <v>6501</v>
      </c>
      <c r="P3760" s="22" t="str">
        <f>HYPERLINK("https://ceds.ed.gov/cedselementdetails.aspx?termid=22447")</f>
        <v>https://ceds.ed.gov/cedselementdetails.aspx?termid=22447</v>
      </c>
      <c r="Q3760" s="22">
        <v>61395</v>
      </c>
    </row>
    <row r="3761" spans="1:17" ht="28.8" x14ac:dyDescent="0.3">
      <c r="A3761" s="22" t="s">
        <v>7881</v>
      </c>
      <c r="B3761" s="22" t="s">
        <v>7888</v>
      </c>
      <c r="C3761" s="22" t="s">
        <v>7894</v>
      </c>
      <c r="D3761" s="22" t="s">
        <v>7710</v>
      </c>
      <c r="E3761" s="22" t="s">
        <v>6510</v>
      </c>
      <c r="F3761" s="24" t="s">
        <v>6511</v>
      </c>
      <c r="G3761" s="23" t="s">
        <v>32</v>
      </c>
      <c r="H3761" s="22"/>
      <c r="I3761" s="22"/>
      <c r="J3761" s="22" t="s">
        <v>148</v>
      </c>
      <c r="K3761" s="24"/>
      <c r="L3761" s="24"/>
      <c r="M3761" s="25" t="s">
        <v>6512</v>
      </c>
      <c r="N3761" s="22"/>
      <c r="O3761" s="22" t="s">
        <v>6513</v>
      </c>
      <c r="P3761" s="22" t="str">
        <f>HYPERLINK("https://ceds.ed.gov/cedselementdetails.aspx?termid=22450")</f>
        <v>https://ceds.ed.gov/cedselementdetails.aspx?termid=22450</v>
      </c>
      <c r="Q3761" s="22">
        <v>61404</v>
      </c>
    </row>
    <row r="3762" spans="1:17" ht="43.2" x14ac:dyDescent="0.3">
      <c r="A3762" s="22" t="s">
        <v>7881</v>
      </c>
      <c r="B3762" s="22" t="s">
        <v>7888</v>
      </c>
      <c r="C3762" s="22" t="s">
        <v>7895</v>
      </c>
      <c r="D3762" s="22" t="s">
        <v>7710</v>
      </c>
      <c r="E3762" s="22" t="s">
        <v>628</v>
      </c>
      <c r="F3762" s="24" t="s">
        <v>629</v>
      </c>
      <c r="G3762" s="26" t="s">
        <v>22</v>
      </c>
      <c r="H3762" s="22"/>
      <c r="I3762" s="22"/>
      <c r="J3762" s="22"/>
      <c r="K3762" s="24"/>
      <c r="L3762" s="24"/>
      <c r="M3762" s="25" t="s">
        <v>631</v>
      </c>
      <c r="N3762" s="22"/>
      <c r="O3762" s="22" t="s">
        <v>632</v>
      </c>
      <c r="P3762" s="22" t="str">
        <f>HYPERLINK("https://ceds.ed.gov/cedselementdetails.aspx?termid=22111")</f>
        <v>https://ceds.ed.gov/cedselementdetails.aspx?termid=22111</v>
      </c>
      <c r="Q3762" s="22">
        <v>59553</v>
      </c>
    </row>
    <row r="3763" spans="1:17" ht="172.8" x14ac:dyDescent="0.3">
      <c r="A3763" s="22" t="s">
        <v>7881</v>
      </c>
      <c r="B3763" s="22" t="s">
        <v>7888</v>
      </c>
      <c r="C3763" s="22" t="s">
        <v>7895</v>
      </c>
      <c r="D3763" s="22" t="s">
        <v>7710</v>
      </c>
      <c r="E3763" s="22" t="s">
        <v>639</v>
      </c>
      <c r="F3763" s="24" t="s">
        <v>640</v>
      </c>
      <c r="G3763" s="23" t="s">
        <v>32</v>
      </c>
      <c r="H3763" s="22"/>
      <c r="I3763" s="22"/>
      <c r="J3763" s="22" t="s">
        <v>328</v>
      </c>
      <c r="K3763" s="24"/>
      <c r="L3763" s="24"/>
      <c r="M3763" s="25" t="s">
        <v>641</v>
      </c>
      <c r="N3763" s="22"/>
      <c r="O3763" s="22" t="s">
        <v>642</v>
      </c>
      <c r="P3763" s="22" t="str">
        <f>HYPERLINK("https://ceds.ed.gov/cedselementdetails.aspx?termid=22110")</f>
        <v>https://ceds.ed.gov/cedselementdetails.aspx?termid=22110</v>
      </c>
      <c r="Q3763" s="22">
        <v>59552</v>
      </c>
    </row>
    <row r="3764" spans="1:17" ht="129.6" x14ac:dyDescent="0.3">
      <c r="A3764" s="22" t="s">
        <v>7881</v>
      </c>
      <c r="B3764" s="22" t="s">
        <v>7888</v>
      </c>
      <c r="C3764" s="22" t="s">
        <v>7895</v>
      </c>
      <c r="D3764" s="22" t="s">
        <v>7710</v>
      </c>
      <c r="E3764" s="22" t="s">
        <v>643</v>
      </c>
      <c r="F3764" s="24" t="s">
        <v>644</v>
      </c>
      <c r="G3764" s="23" t="s">
        <v>32</v>
      </c>
      <c r="H3764" s="22"/>
      <c r="I3764" s="22"/>
      <c r="J3764" s="22" t="s">
        <v>328</v>
      </c>
      <c r="K3764" s="24"/>
      <c r="L3764" s="24"/>
      <c r="M3764" s="25" t="s">
        <v>645</v>
      </c>
      <c r="N3764" s="22"/>
      <c r="O3764" s="22" t="s">
        <v>646</v>
      </c>
      <c r="P3764" s="22" t="str">
        <f>HYPERLINK("https://ceds.ed.gov/cedselementdetails.aspx?termid=22109")</f>
        <v>https://ceds.ed.gov/cedselementdetails.aspx?termid=22109</v>
      </c>
      <c r="Q3764" s="22">
        <v>59551</v>
      </c>
    </row>
    <row r="3765" spans="1:17" ht="100.8" x14ac:dyDescent="0.3">
      <c r="A3765" s="22" t="s">
        <v>7881</v>
      </c>
      <c r="B3765" s="22" t="s">
        <v>7888</v>
      </c>
      <c r="C3765" s="22" t="s">
        <v>7895</v>
      </c>
      <c r="D3765" s="22" t="s">
        <v>7710</v>
      </c>
      <c r="E3765" s="22" t="s">
        <v>647</v>
      </c>
      <c r="F3765" s="24" t="s">
        <v>7974</v>
      </c>
      <c r="G3765" s="23" t="s">
        <v>32</v>
      </c>
      <c r="H3765" s="22"/>
      <c r="I3765" s="22"/>
      <c r="J3765" s="22" t="s">
        <v>328</v>
      </c>
      <c r="K3765" s="24"/>
      <c r="L3765" s="24"/>
      <c r="M3765" s="25" t="s">
        <v>648</v>
      </c>
      <c r="N3765" s="22"/>
      <c r="O3765" s="22" t="s">
        <v>649</v>
      </c>
      <c r="P3765" s="22" t="str">
        <f>HYPERLINK("https://ceds.ed.gov/cedselementdetails.aspx?termid=22106")</f>
        <v>https://ceds.ed.gov/cedselementdetails.aspx?termid=22106</v>
      </c>
      <c r="Q3765" s="22">
        <v>59548</v>
      </c>
    </row>
    <row r="3766" spans="1:17" ht="72" x14ac:dyDescent="0.3">
      <c r="A3766" s="22" t="s">
        <v>7881</v>
      </c>
      <c r="B3766" s="22" t="s">
        <v>7888</v>
      </c>
      <c r="C3766" s="22" t="s">
        <v>7895</v>
      </c>
      <c r="D3766" s="22" t="s">
        <v>7710</v>
      </c>
      <c r="E3766" s="22" t="s">
        <v>650</v>
      </c>
      <c r="F3766" s="24" t="s">
        <v>7975</v>
      </c>
      <c r="G3766" s="23" t="s">
        <v>32</v>
      </c>
      <c r="H3766" s="22"/>
      <c r="I3766" s="22"/>
      <c r="J3766" s="22" t="s">
        <v>328</v>
      </c>
      <c r="K3766" s="24"/>
      <c r="L3766" s="24"/>
      <c r="M3766" s="25" t="s">
        <v>651</v>
      </c>
      <c r="N3766" s="22"/>
      <c r="O3766" s="22" t="s">
        <v>652</v>
      </c>
      <c r="P3766" s="22" t="str">
        <f>HYPERLINK("https://ceds.ed.gov/cedselementdetails.aspx?termid=22105")</f>
        <v>https://ceds.ed.gov/cedselementdetails.aspx?termid=22105</v>
      </c>
      <c r="Q3766" s="22">
        <v>59547</v>
      </c>
    </row>
    <row r="3767" spans="1:17" ht="158.4" x14ac:dyDescent="0.3">
      <c r="A3767" s="22" t="s">
        <v>7881</v>
      </c>
      <c r="B3767" s="22" t="s">
        <v>7888</v>
      </c>
      <c r="C3767" s="22" t="s">
        <v>7895</v>
      </c>
      <c r="D3767" s="22" t="s">
        <v>7710</v>
      </c>
      <c r="E3767" s="22" t="s">
        <v>653</v>
      </c>
      <c r="F3767" s="24" t="s">
        <v>654</v>
      </c>
      <c r="G3767" s="23" t="s">
        <v>32</v>
      </c>
      <c r="H3767" s="22"/>
      <c r="I3767" s="22"/>
      <c r="J3767" s="22" t="s">
        <v>50</v>
      </c>
      <c r="K3767" s="24"/>
      <c r="L3767" s="24"/>
      <c r="M3767" s="25" t="s">
        <v>655</v>
      </c>
      <c r="N3767" s="22"/>
      <c r="O3767" s="22" t="s">
        <v>656</v>
      </c>
      <c r="P3767" s="22" t="str">
        <f>HYPERLINK("https://ceds.ed.gov/cedselementdetails.aspx?termid=22103")</f>
        <v>https://ceds.ed.gov/cedselementdetails.aspx?termid=22103</v>
      </c>
      <c r="Q3767" s="22">
        <v>59545</v>
      </c>
    </row>
    <row r="3768" spans="1:17" ht="158.4" x14ac:dyDescent="0.3">
      <c r="A3768" s="22" t="s">
        <v>7881</v>
      </c>
      <c r="B3768" s="22" t="s">
        <v>7888</v>
      </c>
      <c r="C3768" s="22" t="s">
        <v>7895</v>
      </c>
      <c r="D3768" s="22" t="s">
        <v>7710</v>
      </c>
      <c r="E3768" s="22" t="s">
        <v>657</v>
      </c>
      <c r="F3768" s="24" t="s">
        <v>658</v>
      </c>
      <c r="G3768" s="23" t="s">
        <v>32</v>
      </c>
      <c r="H3768" s="22"/>
      <c r="I3768" s="22"/>
      <c r="J3768" s="22" t="s">
        <v>328</v>
      </c>
      <c r="K3768" s="24"/>
      <c r="L3768" s="24"/>
      <c r="M3768" s="25" t="s">
        <v>659</v>
      </c>
      <c r="N3768" s="22"/>
      <c r="O3768" s="22" t="s">
        <v>660</v>
      </c>
      <c r="P3768" s="22" t="str">
        <f>HYPERLINK("https://ceds.ed.gov/cedselementdetails.aspx?termid=22104")</f>
        <v>https://ceds.ed.gov/cedselementdetails.aspx?termid=22104</v>
      </c>
      <c r="Q3768" s="22">
        <v>59546</v>
      </c>
    </row>
    <row r="3769" spans="1:17" ht="158.4" x14ac:dyDescent="0.3">
      <c r="A3769" s="22" t="s">
        <v>7881</v>
      </c>
      <c r="B3769" s="22" t="s">
        <v>7888</v>
      </c>
      <c r="C3769" s="22" t="s">
        <v>7895</v>
      </c>
      <c r="D3769" s="22" t="s">
        <v>7710</v>
      </c>
      <c r="E3769" s="22" t="s">
        <v>661</v>
      </c>
      <c r="F3769" s="24" t="s">
        <v>7976</v>
      </c>
      <c r="G3769" s="23" t="s">
        <v>32</v>
      </c>
      <c r="H3769" s="22"/>
      <c r="I3769" s="22"/>
      <c r="J3769" s="22" t="s">
        <v>328</v>
      </c>
      <c r="K3769" s="24"/>
      <c r="L3769" s="24"/>
      <c r="M3769" s="25" t="s">
        <v>662</v>
      </c>
      <c r="N3769" s="22"/>
      <c r="O3769" s="22" t="s">
        <v>663</v>
      </c>
      <c r="P3769" s="22" t="str">
        <f>HYPERLINK("https://ceds.ed.gov/cedselementdetails.aspx?termid=22107")</f>
        <v>https://ceds.ed.gov/cedselementdetails.aspx?termid=22107</v>
      </c>
      <c r="Q3769" s="22">
        <v>59549</v>
      </c>
    </row>
    <row r="3770" spans="1:17" ht="144" x14ac:dyDescent="0.3">
      <c r="A3770" s="22" t="s">
        <v>7881</v>
      </c>
      <c r="B3770" s="22" t="s">
        <v>7888</v>
      </c>
      <c r="C3770" s="22" t="s">
        <v>7895</v>
      </c>
      <c r="D3770" s="22" t="s">
        <v>7710</v>
      </c>
      <c r="E3770" s="22" t="s">
        <v>664</v>
      </c>
      <c r="F3770" s="24" t="s">
        <v>665</v>
      </c>
      <c r="G3770" s="23" t="s">
        <v>32</v>
      </c>
      <c r="H3770" s="22"/>
      <c r="I3770" s="22"/>
      <c r="J3770" s="22" t="s">
        <v>328</v>
      </c>
      <c r="K3770" s="24"/>
      <c r="L3770" s="24"/>
      <c r="M3770" s="25" t="s">
        <v>666</v>
      </c>
      <c r="N3770" s="22"/>
      <c r="O3770" s="22" t="s">
        <v>667</v>
      </c>
      <c r="P3770" s="22" t="str">
        <f>HYPERLINK("https://ceds.ed.gov/cedselementdetails.aspx?termid=22108")</f>
        <v>https://ceds.ed.gov/cedselementdetails.aspx?termid=22108</v>
      </c>
      <c r="Q3770" s="22">
        <v>59550</v>
      </c>
    </row>
    <row r="3771" spans="1:17" ht="43.2" x14ac:dyDescent="0.3">
      <c r="A3771" s="22" t="s">
        <v>7881</v>
      </c>
      <c r="B3771" s="22" t="s">
        <v>7888</v>
      </c>
      <c r="C3771" s="22" t="s">
        <v>7895</v>
      </c>
      <c r="D3771" s="22" t="s">
        <v>7710</v>
      </c>
      <c r="E3771" s="22" t="s">
        <v>944</v>
      </c>
      <c r="F3771" s="24" t="s">
        <v>7992</v>
      </c>
      <c r="G3771" s="23" t="s">
        <v>32</v>
      </c>
      <c r="H3771" s="22"/>
      <c r="I3771" s="22"/>
      <c r="J3771" s="22" t="s">
        <v>328</v>
      </c>
      <c r="K3771" s="24"/>
      <c r="L3771" s="24" t="s">
        <v>945</v>
      </c>
      <c r="M3771" s="25" t="s">
        <v>946</v>
      </c>
      <c r="N3771" s="22"/>
      <c r="O3771" s="22" t="s">
        <v>947</v>
      </c>
      <c r="P3771" s="22" t="str">
        <f>HYPERLINK("https://ceds.ed.gov/cedselementdetails.aspx?termid=22250")</f>
        <v>https://ceds.ed.gov/cedselementdetails.aspx?termid=22250</v>
      </c>
      <c r="Q3771" s="22">
        <v>61067</v>
      </c>
    </row>
    <row r="3772" spans="1:17" ht="28.8" x14ac:dyDescent="0.3">
      <c r="A3772" s="22" t="s">
        <v>7881</v>
      </c>
      <c r="B3772" s="22" t="s">
        <v>7888</v>
      </c>
      <c r="C3772" s="22" t="s">
        <v>7896</v>
      </c>
      <c r="D3772" s="22" t="s">
        <v>7710</v>
      </c>
      <c r="E3772" s="22" t="s">
        <v>386</v>
      </c>
      <c r="F3772" s="24" t="s">
        <v>387</v>
      </c>
      <c r="G3772" s="23" t="s">
        <v>32</v>
      </c>
      <c r="H3772" s="22"/>
      <c r="I3772" s="22"/>
      <c r="J3772" s="22" t="s">
        <v>148</v>
      </c>
      <c r="K3772" s="24"/>
      <c r="L3772" s="24"/>
      <c r="M3772" s="25" t="s">
        <v>389</v>
      </c>
      <c r="N3772" s="22"/>
      <c r="O3772" s="22" t="s">
        <v>390</v>
      </c>
      <c r="P3772" s="22" t="str">
        <f>HYPERLINK("https://ceds.ed.gov/cedselementdetails.aspx?termid=22504")</f>
        <v>https://ceds.ed.gov/cedselementdetails.aspx?termid=22504</v>
      </c>
      <c r="Q3772" s="22">
        <v>61765</v>
      </c>
    </row>
    <row r="3773" spans="1:17" ht="86.4" x14ac:dyDescent="0.3">
      <c r="A3773" s="22" t="s">
        <v>7881</v>
      </c>
      <c r="B3773" s="22" t="s">
        <v>7888</v>
      </c>
      <c r="C3773" s="22" t="s">
        <v>7896</v>
      </c>
      <c r="D3773" s="22" t="s">
        <v>7710</v>
      </c>
      <c r="E3773" s="22" t="s">
        <v>676</v>
      </c>
      <c r="F3773" s="24" t="s">
        <v>677</v>
      </c>
      <c r="G3773" s="23" t="s">
        <v>32</v>
      </c>
      <c r="H3773" s="22"/>
      <c r="I3773" s="22"/>
      <c r="J3773" s="22" t="s">
        <v>328</v>
      </c>
      <c r="K3773" s="24"/>
      <c r="L3773" s="24"/>
      <c r="M3773" s="25" t="s">
        <v>678</v>
      </c>
      <c r="N3773" s="22"/>
      <c r="O3773" s="22" t="s">
        <v>679</v>
      </c>
      <c r="P3773" s="22" t="str">
        <f>HYPERLINK("https://ceds.ed.gov/cedselementdetails.aspx?termid=22100")</f>
        <v>https://ceds.ed.gov/cedselementdetails.aspx?termid=22100</v>
      </c>
      <c r="Q3773" s="22">
        <v>59540</v>
      </c>
    </row>
    <row r="3774" spans="1:17" ht="115.2" x14ac:dyDescent="0.3">
      <c r="A3774" s="22" t="s">
        <v>7881</v>
      </c>
      <c r="B3774" s="22" t="s">
        <v>7888</v>
      </c>
      <c r="C3774" s="22" t="s">
        <v>7896</v>
      </c>
      <c r="D3774" s="22" t="s">
        <v>7710</v>
      </c>
      <c r="E3774" s="22" t="s">
        <v>680</v>
      </c>
      <c r="F3774" s="24" t="s">
        <v>681</v>
      </c>
      <c r="G3774" s="23" t="s">
        <v>32</v>
      </c>
      <c r="H3774" s="22"/>
      <c r="I3774" s="22"/>
      <c r="J3774" s="22" t="s">
        <v>328</v>
      </c>
      <c r="K3774" s="24"/>
      <c r="L3774" s="24"/>
      <c r="M3774" s="25" t="s">
        <v>682</v>
      </c>
      <c r="N3774" s="22"/>
      <c r="O3774" s="22" t="s">
        <v>683</v>
      </c>
      <c r="P3774" s="22" t="str">
        <f>HYPERLINK("https://ceds.ed.gov/cedselementdetails.aspx?termid=22090")</f>
        <v>https://ceds.ed.gov/cedselementdetails.aspx?termid=22090</v>
      </c>
      <c r="Q3774" s="22">
        <v>59530</v>
      </c>
    </row>
    <row r="3775" spans="1:17" ht="129.6" x14ac:dyDescent="0.3">
      <c r="A3775" s="22" t="s">
        <v>7881</v>
      </c>
      <c r="B3775" s="22" t="s">
        <v>7888</v>
      </c>
      <c r="C3775" s="22" t="s">
        <v>7896</v>
      </c>
      <c r="D3775" s="22" t="s">
        <v>7710</v>
      </c>
      <c r="E3775" s="22" t="s">
        <v>688</v>
      </c>
      <c r="F3775" s="24" t="s">
        <v>689</v>
      </c>
      <c r="G3775" s="23" t="s">
        <v>32</v>
      </c>
      <c r="H3775" s="22"/>
      <c r="I3775" s="22"/>
      <c r="J3775" s="22" t="s">
        <v>328</v>
      </c>
      <c r="K3775" s="24"/>
      <c r="L3775" s="24"/>
      <c r="M3775" s="25" t="s">
        <v>690</v>
      </c>
      <c r="N3775" s="22"/>
      <c r="O3775" s="22" t="s">
        <v>691</v>
      </c>
      <c r="P3775" s="22" t="str">
        <f>HYPERLINK("https://ceds.ed.gov/cedselementdetails.aspx?termid=22080")</f>
        <v>https://ceds.ed.gov/cedselementdetails.aspx?termid=22080</v>
      </c>
      <c r="Q3775" s="22">
        <v>59521</v>
      </c>
    </row>
    <row r="3776" spans="1:17" ht="187.2" x14ac:dyDescent="0.3">
      <c r="A3776" s="22" t="s">
        <v>7881</v>
      </c>
      <c r="B3776" s="22" t="s">
        <v>7888</v>
      </c>
      <c r="C3776" s="22" t="s">
        <v>7896</v>
      </c>
      <c r="D3776" s="22" t="s">
        <v>7710</v>
      </c>
      <c r="E3776" s="22" t="s">
        <v>692</v>
      </c>
      <c r="F3776" s="24" t="s">
        <v>693</v>
      </c>
      <c r="G3776" s="23" t="s">
        <v>32</v>
      </c>
      <c r="H3776" s="22"/>
      <c r="I3776" s="22"/>
      <c r="J3776" s="22" t="s">
        <v>328</v>
      </c>
      <c r="K3776" s="24"/>
      <c r="L3776" s="24"/>
      <c r="M3776" s="25" t="s">
        <v>694</v>
      </c>
      <c r="N3776" s="22"/>
      <c r="O3776" s="22" t="s">
        <v>695</v>
      </c>
      <c r="P3776" s="22" t="str">
        <f>HYPERLINK("https://ceds.ed.gov/cedselementdetails.aspx?termid=22098")</f>
        <v>https://ceds.ed.gov/cedselementdetails.aspx?termid=22098</v>
      </c>
      <c r="Q3776" s="22">
        <v>59538</v>
      </c>
    </row>
    <row r="3777" spans="1:17" ht="57.6" x14ac:dyDescent="0.3">
      <c r="A3777" s="22" t="s">
        <v>7881</v>
      </c>
      <c r="B3777" s="22" t="s">
        <v>7888</v>
      </c>
      <c r="C3777" s="22" t="s">
        <v>7896</v>
      </c>
      <c r="D3777" s="22" t="s">
        <v>7710</v>
      </c>
      <c r="E3777" s="22" t="s">
        <v>696</v>
      </c>
      <c r="F3777" s="24" t="s">
        <v>697</v>
      </c>
      <c r="G3777" s="23" t="s">
        <v>32</v>
      </c>
      <c r="H3777" s="22"/>
      <c r="I3777" s="22"/>
      <c r="J3777" s="22" t="s">
        <v>328</v>
      </c>
      <c r="K3777" s="24"/>
      <c r="L3777" s="24"/>
      <c r="M3777" s="25" t="s">
        <v>698</v>
      </c>
      <c r="N3777" s="22"/>
      <c r="O3777" s="22" t="s">
        <v>699</v>
      </c>
      <c r="P3777" s="22" t="str">
        <f>HYPERLINK("https://ceds.ed.gov/cedselementdetails.aspx?termid=22097")</f>
        <v>https://ceds.ed.gov/cedselementdetails.aspx?termid=22097</v>
      </c>
      <c r="Q3777" s="22">
        <v>59537</v>
      </c>
    </row>
    <row r="3778" spans="1:17" ht="115.2" x14ac:dyDescent="0.3">
      <c r="A3778" s="22" t="s">
        <v>7881</v>
      </c>
      <c r="B3778" s="22" t="s">
        <v>7888</v>
      </c>
      <c r="C3778" s="22" t="s">
        <v>7896</v>
      </c>
      <c r="D3778" s="22" t="s">
        <v>7710</v>
      </c>
      <c r="E3778" s="22" t="s">
        <v>700</v>
      </c>
      <c r="F3778" s="24" t="s">
        <v>701</v>
      </c>
      <c r="G3778" s="23" t="s">
        <v>32</v>
      </c>
      <c r="H3778" s="22"/>
      <c r="I3778" s="22"/>
      <c r="J3778" s="22" t="s">
        <v>328</v>
      </c>
      <c r="K3778" s="24"/>
      <c r="L3778" s="24"/>
      <c r="M3778" s="25" t="s">
        <v>702</v>
      </c>
      <c r="N3778" s="22"/>
      <c r="O3778" s="22" t="s">
        <v>703</v>
      </c>
      <c r="P3778" s="22" t="str">
        <f>HYPERLINK("https://ceds.ed.gov/cedselementdetails.aspx?termid=22081")</f>
        <v>https://ceds.ed.gov/cedselementdetails.aspx?termid=22081</v>
      </c>
      <c r="Q3778" s="22">
        <v>59522</v>
      </c>
    </row>
    <row r="3779" spans="1:17" ht="374.4" x14ac:dyDescent="0.3">
      <c r="A3779" s="22" t="s">
        <v>7881</v>
      </c>
      <c r="B3779" s="22" t="s">
        <v>7888</v>
      </c>
      <c r="C3779" s="22" t="s">
        <v>7896</v>
      </c>
      <c r="D3779" s="22" t="s">
        <v>7710</v>
      </c>
      <c r="E3779" s="22" t="s">
        <v>704</v>
      </c>
      <c r="F3779" s="24" t="s">
        <v>705</v>
      </c>
      <c r="G3779" s="23" t="s">
        <v>32</v>
      </c>
      <c r="H3779" s="22"/>
      <c r="I3779" s="22"/>
      <c r="J3779" s="22" t="s">
        <v>328</v>
      </c>
      <c r="K3779" s="24"/>
      <c r="L3779" s="24"/>
      <c r="M3779" s="25" t="s">
        <v>706</v>
      </c>
      <c r="N3779" s="22"/>
      <c r="O3779" s="22" t="s">
        <v>707</v>
      </c>
      <c r="P3779" s="22" t="str">
        <f>HYPERLINK("https://ceds.ed.gov/cedselementdetails.aspx?termid=22083")</f>
        <v>https://ceds.ed.gov/cedselementdetails.aspx?termid=22083</v>
      </c>
      <c r="Q3779" s="22">
        <v>59524</v>
      </c>
    </row>
    <row r="3780" spans="1:17" ht="201.6" x14ac:dyDescent="0.3">
      <c r="A3780" s="22" t="s">
        <v>7881</v>
      </c>
      <c r="B3780" s="22" t="s">
        <v>7888</v>
      </c>
      <c r="C3780" s="22" t="s">
        <v>7896</v>
      </c>
      <c r="D3780" s="22" t="s">
        <v>7710</v>
      </c>
      <c r="E3780" s="22" t="s">
        <v>708</v>
      </c>
      <c r="F3780" s="24" t="s">
        <v>709</v>
      </c>
      <c r="G3780" s="23" t="s">
        <v>32</v>
      </c>
      <c r="H3780" s="22"/>
      <c r="I3780" s="22"/>
      <c r="J3780" s="22" t="s">
        <v>328</v>
      </c>
      <c r="K3780" s="24"/>
      <c r="L3780" s="24"/>
      <c r="M3780" s="25" t="s">
        <v>710</v>
      </c>
      <c r="N3780" s="22"/>
      <c r="O3780" s="22" t="s">
        <v>711</v>
      </c>
      <c r="P3780" s="22" t="str">
        <f>HYPERLINK("https://ceds.ed.gov/cedselementdetails.aspx?termid=22085")</f>
        <v>https://ceds.ed.gov/cedselementdetails.aspx?termid=22085</v>
      </c>
      <c r="Q3780" s="22">
        <v>59526</v>
      </c>
    </row>
    <row r="3781" spans="1:17" ht="201.6" x14ac:dyDescent="0.3">
      <c r="A3781" s="22" t="s">
        <v>7881</v>
      </c>
      <c r="B3781" s="22" t="s">
        <v>7888</v>
      </c>
      <c r="C3781" s="22" t="s">
        <v>7896</v>
      </c>
      <c r="D3781" s="22" t="s">
        <v>7710</v>
      </c>
      <c r="E3781" s="22" t="s">
        <v>712</v>
      </c>
      <c r="F3781" s="24" t="s">
        <v>713</v>
      </c>
      <c r="G3781" s="23" t="s">
        <v>32</v>
      </c>
      <c r="H3781" s="22"/>
      <c r="I3781" s="22"/>
      <c r="J3781" s="22" t="s">
        <v>328</v>
      </c>
      <c r="K3781" s="24"/>
      <c r="L3781" s="24"/>
      <c r="M3781" s="25" t="s">
        <v>714</v>
      </c>
      <c r="N3781" s="22"/>
      <c r="O3781" s="22" t="s">
        <v>715</v>
      </c>
      <c r="P3781" s="22" t="str">
        <f>HYPERLINK("https://ceds.ed.gov/cedselementdetails.aspx?termid=22084")</f>
        <v>https://ceds.ed.gov/cedselementdetails.aspx?termid=22084</v>
      </c>
      <c r="Q3781" s="22">
        <v>59525</v>
      </c>
    </row>
    <row r="3782" spans="1:17" ht="187.2" x14ac:dyDescent="0.3">
      <c r="A3782" s="22" t="s">
        <v>7881</v>
      </c>
      <c r="B3782" s="22" t="s">
        <v>7888</v>
      </c>
      <c r="C3782" s="22" t="s">
        <v>7896</v>
      </c>
      <c r="D3782" s="22" t="s">
        <v>7710</v>
      </c>
      <c r="E3782" s="22" t="s">
        <v>716</v>
      </c>
      <c r="F3782" s="24" t="s">
        <v>717</v>
      </c>
      <c r="G3782" s="23" t="s">
        <v>32</v>
      </c>
      <c r="H3782" s="22"/>
      <c r="I3782" s="22"/>
      <c r="J3782" s="22" t="s">
        <v>328</v>
      </c>
      <c r="K3782" s="24"/>
      <c r="L3782" s="24"/>
      <c r="M3782" s="25" t="s">
        <v>718</v>
      </c>
      <c r="N3782" s="22"/>
      <c r="O3782" s="22" t="s">
        <v>719</v>
      </c>
      <c r="P3782" s="22" t="str">
        <f>HYPERLINK("https://ceds.ed.gov/cedselementdetails.aspx?termid=22093")</f>
        <v>https://ceds.ed.gov/cedselementdetails.aspx?termid=22093</v>
      </c>
      <c r="Q3782" s="22">
        <v>59533</v>
      </c>
    </row>
    <row r="3783" spans="1:17" ht="115.2" x14ac:dyDescent="0.3">
      <c r="A3783" s="22" t="s">
        <v>7881</v>
      </c>
      <c r="B3783" s="22" t="s">
        <v>7888</v>
      </c>
      <c r="C3783" s="22" t="s">
        <v>7896</v>
      </c>
      <c r="D3783" s="22" t="s">
        <v>7710</v>
      </c>
      <c r="E3783" s="22" t="s">
        <v>720</v>
      </c>
      <c r="F3783" s="24" t="s">
        <v>721</v>
      </c>
      <c r="G3783" s="23" t="s">
        <v>32</v>
      </c>
      <c r="H3783" s="22"/>
      <c r="I3783" s="22"/>
      <c r="J3783" s="22" t="s">
        <v>328</v>
      </c>
      <c r="K3783" s="24"/>
      <c r="L3783" s="24"/>
      <c r="M3783" s="25" t="s">
        <v>722</v>
      </c>
      <c r="N3783" s="22"/>
      <c r="O3783" s="22" t="s">
        <v>723</v>
      </c>
      <c r="P3783" s="22" t="str">
        <f>HYPERLINK("https://ceds.ed.gov/cedselementdetails.aspx?termid=22091")</f>
        <v>https://ceds.ed.gov/cedselementdetails.aspx?termid=22091</v>
      </c>
      <c r="Q3783" s="22">
        <v>59531</v>
      </c>
    </row>
    <row r="3784" spans="1:17" ht="144" x14ac:dyDescent="0.3">
      <c r="A3784" s="22" t="s">
        <v>7881</v>
      </c>
      <c r="B3784" s="22" t="s">
        <v>7888</v>
      </c>
      <c r="C3784" s="22" t="s">
        <v>7896</v>
      </c>
      <c r="D3784" s="22" t="s">
        <v>7710</v>
      </c>
      <c r="E3784" s="22" t="s">
        <v>724</v>
      </c>
      <c r="F3784" s="24" t="s">
        <v>725</v>
      </c>
      <c r="G3784" s="23" t="s">
        <v>32</v>
      </c>
      <c r="H3784" s="22"/>
      <c r="I3784" s="22"/>
      <c r="J3784" s="22" t="s">
        <v>328</v>
      </c>
      <c r="K3784" s="24"/>
      <c r="L3784" s="24"/>
      <c r="M3784" s="25" t="s">
        <v>726</v>
      </c>
      <c r="N3784" s="22"/>
      <c r="O3784" s="22" t="s">
        <v>727</v>
      </c>
      <c r="P3784" s="22" t="str">
        <f>HYPERLINK("https://ceds.ed.gov/cedselementdetails.aspx?termid=22082")</f>
        <v>https://ceds.ed.gov/cedselementdetails.aspx?termid=22082</v>
      </c>
      <c r="Q3784" s="22">
        <v>59523</v>
      </c>
    </row>
    <row r="3785" spans="1:17" ht="129.6" x14ac:dyDescent="0.3">
      <c r="A3785" s="22" t="s">
        <v>7881</v>
      </c>
      <c r="B3785" s="22" t="s">
        <v>7888</v>
      </c>
      <c r="C3785" s="22" t="s">
        <v>7896</v>
      </c>
      <c r="D3785" s="22" t="s">
        <v>7710</v>
      </c>
      <c r="E3785" s="22" t="s">
        <v>728</v>
      </c>
      <c r="F3785" s="24" t="s">
        <v>729</v>
      </c>
      <c r="G3785" s="23" t="s">
        <v>32</v>
      </c>
      <c r="H3785" s="22"/>
      <c r="I3785" s="22"/>
      <c r="J3785" s="22" t="s">
        <v>328</v>
      </c>
      <c r="K3785" s="24"/>
      <c r="L3785" s="24"/>
      <c r="M3785" s="25" t="s">
        <v>730</v>
      </c>
      <c r="N3785" s="22"/>
      <c r="O3785" s="22" t="s">
        <v>731</v>
      </c>
      <c r="P3785" s="22" t="str">
        <f>HYPERLINK("https://ceds.ed.gov/cedselementdetails.aspx?termid=22092")</f>
        <v>https://ceds.ed.gov/cedselementdetails.aspx?termid=22092</v>
      </c>
      <c r="Q3785" s="22">
        <v>59532</v>
      </c>
    </row>
    <row r="3786" spans="1:17" ht="172.8" x14ac:dyDescent="0.3">
      <c r="A3786" s="22" t="s">
        <v>7881</v>
      </c>
      <c r="B3786" s="22" t="s">
        <v>7888</v>
      </c>
      <c r="C3786" s="22" t="s">
        <v>7896</v>
      </c>
      <c r="D3786" s="22" t="s">
        <v>7710</v>
      </c>
      <c r="E3786" s="22" t="s">
        <v>732</v>
      </c>
      <c r="F3786" s="24" t="s">
        <v>733</v>
      </c>
      <c r="G3786" s="23" t="s">
        <v>32</v>
      </c>
      <c r="H3786" s="22"/>
      <c r="I3786" s="22"/>
      <c r="J3786" s="22" t="s">
        <v>328</v>
      </c>
      <c r="K3786" s="24"/>
      <c r="L3786" s="24"/>
      <c r="M3786" s="25" t="s">
        <v>734</v>
      </c>
      <c r="N3786" s="22"/>
      <c r="O3786" s="22" t="s">
        <v>735</v>
      </c>
      <c r="P3786" s="22" t="str">
        <f>HYPERLINK("https://ceds.ed.gov/cedselementdetails.aspx?termid=22094")</f>
        <v>https://ceds.ed.gov/cedselementdetails.aspx?termid=22094</v>
      </c>
      <c r="Q3786" s="22">
        <v>59534</v>
      </c>
    </row>
    <row r="3787" spans="1:17" ht="187.2" x14ac:dyDescent="0.3">
      <c r="A3787" s="22" t="s">
        <v>7881</v>
      </c>
      <c r="B3787" s="22" t="s">
        <v>7888</v>
      </c>
      <c r="C3787" s="22" t="s">
        <v>7896</v>
      </c>
      <c r="D3787" s="22" t="s">
        <v>7710</v>
      </c>
      <c r="E3787" s="22" t="s">
        <v>736</v>
      </c>
      <c r="F3787" s="24" t="s">
        <v>737</v>
      </c>
      <c r="G3787" s="23" t="s">
        <v>32</v>
      </c>
      <c r="H3787" s="22"/>
      <c r="I3787" s="22"/>
      <c r="J3787" s="22" t="s">
        <v>328</v>
      </c>
      <c r="K3787" s="24"/>
      <c r="L3787" s="24"/>
      <c r="M3787" s="25" t="s">
        <v>738</v>
      </c>
      <c r="N3787" s="22"/>
      <c r="O3787" s="22" t="s">
        <v>739</v>
      </c>
      <c r="P3787" s="22" t="str">
        <f>HYPERLINK("https://ceds.ed.gov/cedselementdetails.aspx?termid=22095")</f>
        <v>https://ceds.ed.gov/cedselementdetails.aspx?termid=22095</v>
      </c>
      <c r="Q3787" s="22">
        <v>59535</v>
      </c>
    </row>
    <row r="3788" spans="1:17" ht="216" x14ac:dyDescent="0.3">
      <c r="A3788" s="22" t="s">
        <v>7881</v>
      </c>
      <c r="B3788" s="22" t="s">
        <v>7888</v>
      </c>
      <c r="C3788" s="22" t="s">
        <v>7896</v>
      </c>
      <c r="D3788" s="22" t="s">
        <v>7710</v>
      </c>
      <c r="E3788" s="22" t="s">
        <v>740</v>
      </c>
      <c r="F3788" s="24" t="s">
        <v>741</v>
      </c>
      <c r="G3788" s="23" t="s">
        <v>32</v>
      </c>
      <c r="H3788" s="22"/>
      <c r="I3788" s="22"/>
      <c r="J3788" s="22" t="s">
        <v>328</v>
      </c>
      <c r="K3788" s="24"/>
      <c r="L3788" s="24"/>
      <c r="M3788" s="25" t="s">
        <v>742</v>
      </c>
      <c r="N3788" s="22"/>
      <c r="O3788" s="22" t="s">
        <v>743</v>
      </c>
      <c r="P3788" s="22" t="str">
        <f>HYPERLINK("https://ceds.ed.gov/cedselementdetails.aspx?termid=22088")</f>
        <v>https://ceds.ed.gov/cedselementdetails.aspx?termid=22088</v>
      </c>
      <c r="Q3788" s="22">
        <v>59528</v>
      </c>
    </row>
    <row r="3789" spans="1:17" ht="172.8" x14ac:dyDescent="0.3">
      <c r="A3789" s="22" t="s">
        <v>7881</v>
      </c>
      <c r="B3789" s="22" t="s">
        <v>7888</v>
      </c>
      <c r="C3789" s="22" t="s">
        <v>7896</v>
      </c>
      <c r="D3789" s="22" t="s">
        <v>7710</v>
      </c>
      <c r="E3789" s="22" t="s">
        <v>744</v>
      </c>
      <c r="F3789" s="24" t="s">
        <v>745</v>
      </c>
      <c r="G3789" s="23" t="s">
        <v>32</v>
      </c>
      <c r="H3789" s="22"/>
      <c r="I3789" s="22"/>
      <c r="J3789" s="22" t="s">
        <v>328</v>
      </c>
      <c r="K3789" s="24"/>
      <c r="L3789" s="24"/>
      <c r="M3789" s="25" t="s">
        <v>746</v>
      </c>
      <c r="N3789" s="22"/>
      <c r="O3789" s="22" t="s">
        <v>747</v>
      </c>
      <c r="P3789" s="22" t="str">
        <f>HYPERLINK("https://ceds.ed.gov/cedselementdetails.aspx?termid=22087")</f>
        <v>https://ceds.ed.gov/cedselementdetails.aspx?termid=22087</v>
      </c>
      <c r="Q3789" s="22">
        <v>59527</v>
      </c>
    </row>
    <row r="3790" spans="1:17" ht="115.2" x14ac:dyDescent="0.3">
      <c r="A3790" s="22" t="s">
        <v>7881</v>
      </c>
      <c r="B3790" s="22" t="s">
        <v>7888</v>
      </c>
      <c r="C3790" s="22" t="s">
        <v>7896</v>
      </c>
      <c r="D3790" s="22" t="s">
        <v>7710</v>
      </c>
      <c r="E3790" s="22" t="s">
        <v>748</v>
      </c>
      <c r="F3790" s="24" t="s">
        <v>749</v>
      </c>
      <c r="G3790" s="23" t="s">
        <v>32</v>
      </c>
      <c r="H3790" s="22"/>
      <c r="I3790" s="22"/>
      <c r="J3790" s="22" t="s">
        <v>328</v>
      </c>
      <c r="K3790" s="24"/>
      <c r="L3790" s="24"/>
      <c r="M3790" s="25" t="s">
        <v>750</v>
      </c>
      <c r="N3790" s="22"/>
      <c r="O3790" s="22" t="s">
        <v>751</v>
      </c>
      <c r="P3790" s="22" t="str">
        <f>HYPERLINK("https://ceds.ed.gov/cedselementdetails.aspx?termid=22089")</f>
        <v>https://ceds.ed.gov/cedselementdetails.aspx?termid=22089</v>
      </c>
      <c r="Q3790" s="22">
        <v>59529</v>
      </c>
    </row>
    <row r="3791" spans="1:17" ht="115.2" x14ac:dyDescent="0.3">
      <c r="A3791" s="22" t="s">
        <v>7881</v>
      </c>
      <c r="B3791" s="22" t="s">
        <v>7888</v>
      </c>
      <c r="C3791" s="22" t="s">
        <v>7896</v>
      </c>
      <c r="D3791" s="22" t="s">
        <v>7710</v>
      </c>
      <c r="E3791" s="22" t="s">
        <v>756</v>
      </c>
      <c r="F3791" s="24" t="s">
        <v>757</v>
      </c>
      <c r="G3791" s="23" t="s">
        <v>32</v>
      </c>
      <c r="H3791" s="22"/>
      <c r="I3791" s="22"/>
      <c r="J3791" s="22" t="s">
        <v>328</v>
      </c>
      <c r="K3791" s="24"/>
      <c r="L3791" s="24"/>
      <c r="M3791" s="25" t="s">
        <v>758</v>
      </c>
      <c r="N3791" s="22"/>
      <c r="O3791" s="22" t="s">
        <v>759</v>
      </c>
      <c r="P3791" s="22" t="str">
        <f>HYPERLINK("https://ceds.ed.gov/cedselementdetails.aspx?termid=22096")</f>
        <v>https://ceds.ed.gov/cedselementdetails.aspx?termid=22096</v>
      </c>
      <c r="Q3791" s="22">
        <v>59536</v>
      </c>
    </row>
    <row r="3792" spans="1:17" ht="100.8" x14ac:dyDescent="0.3">
      <c r="A3792" s="22" t="s">
        <v>7881</v>
      </c>
      <c r="B3792" s="22" t="s">
        <v>7888</v>
      </c>
      <c r="C3792" s="22" t="s">
        <v>7896</v>
      </c>
      <c r="D3792" s="22" t="s">
        <v>7710</v>
      </c>
      <c r="E3792" s="22" t="s">
        <v>760</v>
      </c>
      <c r="F3792" s="24" t="s">
        <v>761</v>
      </c>
      <c r="G3792" s="23" t="s">
        <v>32</v>
      </c>
      <c r="H3792" s="22"/>
      <c r="I3792" s="22"/>
      <c r="J3792" s="22" t="s">
        <v>328</v>
      </c>
      <c r="K3792" s="24"/>
      <c r="L3792" s="24"/>
      <c r="M3792" s="25" t="s">
        <v>762</v>
      </c>
      <c r="N3792" s="22"/>
      <c r="O3792" s="22" t="s">
        <v>763</v>
      </c>
      <c r="P3792" s="22" t="str">
        <f>HYPERLINK("https://ceds.ed.gov/cedselementdetails.aspx?termid=22099")</f>
        <v>https://ceds.ed.gov/cedselementdetails.aspx?termid=22099</v>
      </c>
      <c r="Q3792" s="22">
        <v>59539</v>
      </c>
    </row>
    <row r="3793" spans="1:17" ht="288" x14ac:dyDescent="0.3">
      <c r="A3793" s="22" t="s">
        <v>7881</v>
      </c>
      <c r="B3793" s="22" t="s">
        <v>7888</v>
      </c>
      <c r="C3793" s="22" t="s">
        <v>7896</v>
      </c>
      <c r="D3793" s="22" t="s">
        <v>7710</v>
      </c>
      <c r="E3793" s="22" t="s">
        <v>787</v>
      </c>
      <c r="F3793" s="24" t="s">
        <v>788</v>
      </c>
      <c r="G3793" s="26" t="s">
        <v>8614</v>
      </c>
      <c r="H3793" s="22"/>
      <c r="I3793" s="22"/>
      <c r="J3793" s="22"/>
      <c r="K3793" s="24"/>
      <c r="L3793" s="24"/>
      <c r="M3793" s="25" t="s">
        <v>789</v>
      </c>
      <c r="N3793" s="22"/>
      <c r="O3793" s="22" t="s">
        <v>790</v>
      </c>
      <c r="P3793" s="22" t="str">
        <f>HYPERLINK("https://ceds.ed.gov/cedselementdetails.aspx?termid=22117")</f>
        <v>https://ceds.ed.gov/cedselementdetails.aspx?termid=22117</v>
      </c>
      <c r="Q3793" s="22">
        <v>60703</v>
      </c>
    </row>
    <row r="3794" spans="1:17" ht="172.8" x14ac:dyDescent="0.3">
      <c r="A3794" s="22" t="s">
        <v>7881</v>
      </c>
      <c r="B3794" s="22" t="s">
        <v>7897</v>
      </c>
      <c r="C3794" s="22"/>
      <c r="D3794" s="22" t="s">
        <v>7710</v>
      </c>
      <c r="E3794" s="22" t="s">
        <v>466</v>
      </c>
      <c r="F3794" s="24" t="s">
        <v>467</v>
      </c>
      <c r="G3794" s="23" t="s">
        <v>32</v>
      </c>
      <c r="H3794" s="22"/>
      <c r="I3794" s="22"/>
      <c r="J3794" s="22" t="s">
        <v>132</v>
      </c>
      <c r="K3794" s="24"/>
      <c r="L3794" s="24" t="s">
        <v>7945</v>
      </c>
      <c r="M3794" s="25" t="s">
        <v>468</v>
      </c>
      <c r="N3794" s="22"/>
      <c r="O3794" s="22" t="s">
        <v>469</v>
      </c>
      <c r="P3794" s="22" t="str">
        <f>HYPERLINK("https://ceds.ed.gov/cedselementdetails.aspx?termid=22149")</f>
        <v>https://ceds.ed.gov/cedselementdetails.aspx?termid=22149</v>
      </c>
      <c r="Q3794" s="22">
        <v>59567</v>
      </c>
    </row>
    <row r="3795" spans="1:17" ht="72" x14ac:dyDescent="0.3">
      <c r="A3795" s="22" t="s">
        <v>7881</v>
      </c>
      <c r="B3795" s="22" t="s">
        <v>7897</v>
      </c>
      <c r="C3795" s="22"/>
      <c r="D3795" s="22" t="s">
        <v>7710</v>
      </c>
      <c r="E3795" s="22" t="s">
        <v>470</v>
      </c>
      <c r="F3795" s="24" t="s">
        <v>471</v>
      </c>
      <c r="G3795" s="26" t="s">
        <v>8607</v>
      </c>
      <c r="H3795" s="22"/>
      <c r="I3795" s="22"/>
      <c r="J3795" s="22"/>
      <c r="K3795" s="24"/>
      <c r="L3795" s="24"/>
      <c r="M3795" s="25" t="s">
        <v>472</v>
      </c>
      <c r="N3795" s="22"/>
      <c r="O3795" s="22" t="s">
        <v>473</v>
      </c>
      <c r="P3795" s="22" t="str">
        <f>HYPERLINK("https://ceds.ed.gov/cedselementdetails.aspx?termid=22150")</f>
        <v>https://ceds.ed.gov/cedselementdetails.aspx?termid=22150</v>
      </c>
      <c r="Q3795" s="22">
        <v>59568</v>
      </c>
    </row>
    <row r="3796" spans="1:17" x14ac:dyDescent="0.3">
      <c r="A3796" s="22" t="s">
        <v>7881</v>
      </c>
      <c r="B3796" s="22" t="s">
        <v>7897</v>
      </c>
      <c r="C3796" s="22"/>
      <c r="D3796" s="22" t="s">
        <v>7710</v>
      </c>
      <c r="E3796" s="22" t="s">
        <v>474</v>
      </c>
      <c r="F3796" s="24" t="s">
        <v>475</v>
      </c>
      <c r="G3796" s="23" t="s">
        <v>32</v>
      </c>
      <c r="H3796" s="22"/>
      <c r="I3796" s="22"/>
      <c r="J3796" s="22" t="s">
        <v>157</v>
      </c>
      <c r="K3796" s="24"/>
      <c r="L3796" s="24"/>
      <c r="M3796" s="25" t="s">
        <v>476</v>
      </c>
      <c r="N3796" s="22"/>
      <c r="O3796" s="22" t="s">
        <v>477</v>
      </c>
      <c r="P3796" s="22" t="str">
        <f>HYPERLINK("https://ceds.ed.gov/cedselementdetails.aspx?termid=22151")</f>
        <v>https://ceds.ed.gov/cedselementdetails.aspx?termid=22151</v>
      </c>
      <c r="Q3796" s="22">
        <v>59569</v>
      </c>
    </row>
    <row r="3797" spans="1:17" ht="409.6" x14ac:dyDescent="0.3">
      <c r="A3797" s="22" t="s">
        <v>7881</v>
      </c>
      <c r="B3797" s="22" t="s">
        <v>7897</v>
      </c>
      <c r="C3797" s="22"/>
      <c r="D3797" s="22" t="s">
        <v>7710</v>
      </c>
      <c r="E3797" s="22" t="s">
        <v>486</v>
      </c>
      <c r="F3797" s="24" t="s">
        <v>7965</v>
      </c>
      <c r="G3797" s="26" t="s">
        <v>8608</v>
      </c>
      <c r="H3797" s="22"/>
      <c r="I3797" s="22"/>
      <c r="J3797" s="22"/>
      <c r="K3797" s="24"/>
      <c r="L3797" s="24" t="s">
        <v>7966</v>
      </c>
      <c r="M3797" s="25" t="s">
        <v>487</v>
      </c>
      <c r="N3797" s="22"/>
      <c r="O3797" s="22" t="s">
        <v>488</v>
      </c>
      <c r="P3797" s="22" t="str">
        <f>HYPERLINK("https://ceds.ed.gov/cedselementdetails.aspx?termid=22147")</f>
        <v>https://ceds.ed.gov/cedselementdetails.aspx?termid=22147</v>
      </c>
      <c r="Q3797" s="22">
        <v>59565</v>
      </c>
    </row>
    <row r="3798" spans="1:17" ht="115.2" x14ac:dyDescent="0.3">
      <c r="A3798" s="22" t="s">
        <v>7881</v>
      </c>
      <c r="B3798" s="22" t="s">
        <v>7897</v>
      </c>
      <c r="C3798" s="22"/>
      <c r="D3798" s="22" t="s">
        <v>7710</v>
      </c>
      <c r="E3798" s="22" t="s">
        <v>489</v>
      </c>
      <c r="F3798" s="24" t="s">
        <v>490</v>
      </c>
      <c r="G3798" s="23" t="s">
        <v>32</v>
      </c>
      <c r="H3798" s="22"/>
      <c r="I3798" s="22"/>
      <c r="J3798" s="22" t="s">
        <v>85</v>
      </c>
      <c r="K3798" s="24"/>
      <c r="L3798" s="24" t="s">
        <v>7967</v>
      </c>
      <c r="M3798" s="25" t="s">
        <v>491</v>
      </c>
      <c r="N3798" s="22"/>
      <c r="O3798" s="22" t="s">
        <v>492</v>
      </c>
      <c r="P3798" s="22" t="str">
        <f>HYPERLINK("https://ceds.ed.gov/cedselementdetails.aspx?termid=22146")</f>
        <v>https://ceds.ed.gov/cedselementdetails.aspx?termid=22146</v>
      </c>
      <c r="Q3798" s="22">
        <v>59563</v>
      </c>
    </row>
    <row r="3799" spans="1:17" ht="28.8" x14ac:dyDescent="0.3">
      <c r="A3799" s="22" t="s">
        <v>7881</v>
      </c>
      <c r="B3799" s="22" t="s">
        <v>7897</v>
      </c>
      <c r="C3799" s="22"/>
      <c r="D3799" s="22" t="s">
        <v>7710</v>
      </c>
      <c r="E3799" s="22" t="s">
        <v>478</v>
      </c>
      <c r="F3799" s="24" t="s">
        <v>479</v>
      </c>
      <c r="G3799" s="23" t="s">
        <v>32</v>
      </c>
      <c r="H3799" s="22"/>
      <c r="I3799" s="22"/>
      <c r="J3799" s="22" t="s">
        <v>157</v>
      </c>
      <c r="K3799" s="24"/>
      <c r="L3799" s="24"/>
      <c r="M3799" s="25" t="s">
        <v>480</v>
      </c>
      <c r="N3799" s="22"/>
      <c r="O3799" s="22" t="s">
        <v>481</v>
      </c>
      <c r="P3799" s="22" t="str">
        <f>HYPERLINK("https://ceds.ed.gov/cedselementdetails.aspx?termid=22152")</f>
        <v>https://ceds.ed.gov/cedselementdetails.aspx?termid=22152</v>
      </c>
      <c r="Q3799" s="22">
        <v>59570</v>
      </c>
    </row>
    <row r="3800" spans="1:17" ht="28.8" x14ac:dyDescent="0.3">
      <c r="A3800" s="22" t="s">
        <v>7881</v>
      </c>
      <c r="B3800" s="22" t="s">
        <v>7897</v>
      </c>
      <c r="C3800" s="22"/>
      <c r="D3800" s="22" t="s">
        <v>7710</v>
      </c>
      <c r="E3800" s="22" t="s">
        <v>482</v>
      </c>
      <c r="F3800" s="24" t="s">
        <v>483</v>
      </c>
      <c r="G3800" s="23" t="s">
        <v>32</v>
      </c>
      <c r="H3800" s="22"/>
      <c r="I3800" s="22"/>
      <c r="J3800" s="22" t="s">
        <v>118</v>
      </c>
      <c r="K3800" s="24"/>
      <c r="L3800" s="24"/>
      <c r="M3800" s="25" t="s">
        <v>484</v>
      </c>
      <c r="N3800" s="22"/>
      <c r="O3800" s="22" t="s">
        <v>485</v>
      </c>
      <c r="P3800" s="22" t="str">
        <f>HYPERLINK("https://ceds.ed.gov/cedselementdetails.aspx?termid=22148")</f>
        <v>https://ceds.ed.gov/cedselementdetails.aspx?termid=22148</v>
      </c>
      <c r="Q3800" s="22">
        <v>59566</v>
      </c>
    </row>
    <row r="3801" spans="1:17" ht="43.2" x14ac:dyDescent="0.3">
      <c r="A3801" s="22" t="s">
        <v>7881</v>
      </c>
      <c r="B3801" s="22" t="s">
        <v>7897</v>
      </c>
      <c r="C3801" s="22"/>
      <c r="D3801" s="22" t="s">
        <v>7710</v>
      </c>
      <c r="E3801" s="22" t="s">
        <v>458</v>
      </c>
      <c r="F3801" s="24" t="s">
        <v>459</v>
      </c>
      <c r="G3801" s="23" t="s">
        <v>32</v>
      </c>
      <c r="H3801" s="22"/>
      <c r="I3801" s="22"/>
      <c r="J3801" s="22" t="s">
        <v>50</v>
      </c>
      <c r="K3801" s="24"/>
      <c r="L3801" s="24"/>
      <c r="M3801" s="25" t="s">
        <v>460</v>
      </c>
      <c r="N3801" s="22"/>
      <c r="O3801" s="22" t="s">
        <v>461</v>
      </c>
      <c r="P3801" s="22" t="str">
        <f>HYPERLINK("https://ceds.ed.gov/cedselementdetails.aspx?termid=22155")</f>
        <v>https://ceds.ed.gov/cedselementdetails.aspx?termid=22155</v>
      </c>
      <c r="Q3801" s="22">
        <v>59573</v>
      </c>
    </row>
    <row r="3802" spans="1:17" ht="28.8" x14ac:dyDescent="0.3">
      <c r="A3802" s="22" t="s">
        <v>7881</v>
      </c>
      <c r="B3802" s="22" t="s">
        <v>7897</v>
      </c>
      <c r="C3802" s="22"/>
      <c r="D3802" s="22" t="s">
        <v>7710</v>
      </c>
      <c r="E3802" s="22" t="s">
        <v>462</v>
      </c>
      <c r="F3802" s="24" t="s">
        <v>463</v>
      </c>
      <c r="G3802" s="23" t="s">
        <v>32</v>
      </c>
      <c r="H3802" s="22"/>
      <c r="I3802" s="22"/>
      <c r="J3802" s="22" t="s">
        <v>328</v>
      </c>
      <c r="K3802" s="24"/>
      <c r="L3802" s="24"/>
      <c r="M3802" s="25" t="s">
        <v>464</v>
      </c>
      <c r="N3802" s="22"/>
      <c r="O3802" s="22" t="s">
        <v>465</v>
      </c>
      <c r="P3802" s="22" t="str">
        <f>HYPERLINK("https://ceds.ed.gov/cedselementdetails.aspx?termid=22153")</f>
        <v>https://ceds.ed.gov/cedselementdetails.aspx?termid=22153</v>
      </c>
      <c r="Q3802" s="22">
        <v>59571</v>
      </c>
    </row>
    <row r="3803" spans="1:17" ht="28.8" x14ac:dyDescent="0.3">
      <c r="A3803" s="22" t="s">
        <v>7881</v>
      </c>
      <c r="B3803" s="22" t="s">
        <v>7897</v>
      </c>
      <c r="C3803" s="22"/>
      <c r="D3803" s="22" t="s">
        <v>7710</v>
      </c>
      <c r="E3803" s="22" t="s">
        <v>453</v>
      </c>
      <c r="F3803" s="24" t="s">
        <v>454</v>
      </c>
      <c r="G3803" s="23" t="s">
        <v>32</v>
      </c>
      <c r="H3803" s="22"/>
      <c r="I3803" s="22"/>
      <c r="J3803" s="22" t="s">
        <v>328</v>
      </c>
      <c r="K3803" s="24"/>
      <c r="L3803" s="24"/>
      <c r="M3803" s="25" t="s">
        <v>456</v>
      </c>
      <c r="N3803" s="22"/>
      <c r="O3803" s="22" t="s">
        <v>457</v>
      </c>
      <c r="P3803" s="22" t="str">
        <f>HYPERLINK("https://ceds.ed.gov/cedselementdetails.aspx?termid=22154")</f>
        <v>https://ceds.ed.gov/cedselementdetails.aspx?termid=22154</v>
      </c>
      <c r="Q3803" s="22">
        <v>59572</v>
      </c>
    </row>
    <row r="3804" spans="1:17" ht="288" x14ac:dyDescent="0.3">
      <c r="A3804" s="22" t="s">
        <v>7881</v>
      </c>
      <c r="B3804" s="22" t="s">
        <v>7897</v>
      </c>
      <c r="C3804" s="22"/>
      <c r="D3804" s="22" t="s">
        <v>7710</v>
      </c>
      <c r="E3804" s="22" t="s">
        <v>404</v>
      </c>
      <c r="F3804" s="24" t="s">
        <v>405</v>
      </c>
      <c r="G3804" s="26" t="s">
        <v>8605</v>
      </c>
      <c r="H3804" s="24" t="s">
        <v>409</v>
      </c>
      <c r="I3804" s="22"/>
      <c r="J3804" s="22"/>
      <c r="K3804" s="24"/>
      <c r="L3804" s="24"/>
      <c r="M3804" s="25" t="s">
        <v>407</v>
      </c>
      <c r="N3804" s="22"/>
      <c r="O3804" s="22" t="s">
        <v>408</v>
      </c>
      <c r="P3804" s="22" t="str">
        <f>HYPERLINK("https://ceds.ed.gov/cedselementdetails.aspx?termid=21021")</f>
        <v>https://ceds.ed.gov/cedselementdetails.aspx?termid=21021</v>
      </c>
      <c r="Q3804" s="22">
        <v>61767</v>
      </c>
    </row>
    <row r="3805" spans="1:17" ht="360" x14ac:dyDescent="0.3">
      <c r="A3805" s="22" t="s">
        <v>7881</v>
      </c>
      <c r="B3805" s="22" t="s">
        <v>7897</v>
      </c>
      <c r="C3805" s="22"/>
      <c r="D3805" s="22" t="s">
        <v>7710</v>
      </c>
      <c r="E3805" s="22" t="s">
        <v>971</v>
      </c>
      <c r="F3805" s="24" t="s">
        <v>972</v>
      </c>
      <c r="G3805" s="26" t="s">
        <v>8399</v>
      </c>
      <c r="H3805" s="24" t="s">
        <v>975</v>
      </c>
      <c r="I3805" s="22" t="s">
        <v>172</v>
      </c>
      <c r="J3805" s="22"/>
      <c r="K3805" s="24" t="s">
        <v>7995</v>
      </c>
      <c r="L3805" s="24"/>
      <c r="M3805" s="25" t="s">
        <v>973</v>
      </c>
      <c r="N3805" s="22"/>
      <c r="O3805" s="22" t="s">
        <v>974</v>
      </c>
      <c r="P3805" s="22" t="str">
        <f>HYPERLINK("https://ceds.ed.gov/cedselementdetails.aspx?termid=21177")</f>
        <v>https://ceds.ed.gov/cedselementdetails.aspx?termid=21177</v>
      </c>
      <c r="Q3805" s="22">
        <v>61800</v>
      </c>
    </row>
    <row r="3806" spans="1:17" ht="115.2" x14ac:dyDescent="0.3">
      <c r="A3806" s="22" t="s">
        <v>7881</v>
      </c>
      <c r="B3806" s="22" t="s">
        <v>7897</v>
      </c>
      <c r="C3806" s="22"/>
      <c r="D3806" s="22" t="s">
        <v>7710</v>
      </c>
      <c r="E3806" s="22" t="s">
        <v>4923</v>
      </c>
      <c r="F3806" s="24" t="s">
        <v>4924</v>
      </c>
      <c r="G3806" s="23" t="s">
        <v>7423</v>
      </c>
      <c r="H3806" s="24" t="s">
        <v>4927</v>
      </c>
      <c r="I3806" s="22"/>
      <c r="J3806" s="22"/>
      <c r="K3806" s="24"/>
      <c r="L3806" s="24" t="s">
        <v>7994</v>
      </c>
      <c r="M3806" s="25" t="s">
        <v>4925</v>
      </c>
      <c r="N3806" s="22"/>
      <c r="O3806" s="22" t="s">
        <v>4926</v>
      </c>
      <c r="P3806" s="22" t="str">
        <f>HYPERLINK("https://ceds.ed.gov/cedselementdetails.aspx?termid=21317")</f>
        <v>https://ceds.ed.gov/cedselementdetails.aspx?termid=21317</v>
      </c>
      <c r="Q3806" s="22">
        <v>59598</v>
      </c>
    </row>
    <row r="3807" spans="1:17" ht="115.2" x14ac:dyDescent="0.3">
      <c r="A3807" s="22" t="s">
        <v>7881</v>
      </c>
      <c r="B3807" s="22" t="s">
        <v>7897</v>
      </c>
      <c r="C3807" s="22"/>
      <c r="D3807" s="22" t="s">
        <v>7710</v>
      </c>
      <c r="E3807" s="22" t="s">
        <v>4928</v>
      </c>
      <c r="F3807" s="24" t="s">
        <v>4924</v>
      </c>
      <c r="G3807" s="23" t="s">
        <v>7423</v>
      </c>
      <c r="H3807" s="22"/>
      <c r="I3807" s="22" t="s">
        <v>172</v>
      </c>
      <c r="J3807" s="22"/>
      <c r="K3807" s="24" t="s">
        <v>8231</v>
      </c>
      <c r="L3807" s="24" t="s">
        <v>8232</v>
      </c>
      <c r="M3807" s="25" t="s">
        <v>4929</v>
      </c>
      <c r="N3807" s="22"/>
      <c r="O3807" s="22" t="s">
        <v>4930</v>
      </c>
      <c r="P3807" s="22" t="str">
        <f>HYPERLINK("https://ceds.ed.gov/cedselementdetails.aspx?termid=22618")</f>
        <v>https://ceds.ed.gov/cedselementdetails.aspx?termid=22618</v>
      </c>
      <c r="Q3807" s="22">
        <v>62217</v>
      </c>
    </row>
    <row r="3808" spans="1:17" ht="409.6" x14ac:dyDescent="0.3">
      <c r="A3808" s="22" t="s">
        <v>7881</v>
      </c>
      <c r="B3808" s="22" t="s">
        <v>7897</v>
      </c>
      <c r="C3808" s="22"/>
      <c r="D3808" s="22" t="s">
        <v>7710</v>
      </c>
      <c r="E3808" s="22" t="s">
        <v>4931</v>
      </c>
      <c r="F3808" s="24" t="s">
        <v>4932</v>
      </c>
      <c r="G3808" s="26" t="s">
        <v>8988</v>
      </c>
      <c r="H3808" s="22"/>
      <c r="I3808" s="22"/>
      <c r="J3808" s="22"/>
      <c r="K3808" s="24"/>
      <c r="L3808" s="24" t="s">
        <v>8233</v>
      </c>
      <c r="M3808" s="25" t="s">
        <v>4933</v>
      </c>
      <c r="N3808" s="22"/>
      <c r="O3808" s="22" t="s">
        <v>4934</v>
      </c>
      <c r="P3808" s="22" t="str">
        <f>HYPERLINK("https://ceds.ed.gov/cedselementdetails.aspx?termid=22619")</f>
        <v>https://ceds.ed.gov/cedselementdetails.aspx?termid=22619</v>
      </c>
      <c r="Q3808" s="22">
        <v>62224</v>
      </c>
    </row>
    <row r="3809" spans="1:17" ht="172.8" x14ac:dyDescent="0.3">
      <c r="A3809" s="22" t="s">
        <v>7881</v>
      </c>
      <c r="B3809" s="22" t="s">
        <v>7894</v>
      </c>
      <c r="C3809" s="22"/>
      <c r="D3809" s="22" t="s">
        <v>7710</v>
      </c>
      <c r="E3809" s="22" t="s">
        <v>6518</v>
      </c>
      <c r="F3809" s="24" t="s">
        <v>6519</v>
      </c>
      <c r="G3809" s="23" t="s">
        <v>32</v>
      </c>
      <c r="H3809" s="24" t="s">
        <v>638</v>
      </c>
      <c r="I3809" s="22"/>
      <c r="J3809" s="22" t="s">
        <v>132</v>
      </c>
      <c r="K3809" s="24"/>
      <c r="L3809" s="24" t="s">
        <v>7945</v>
      </c>
      <c r="M3809" s="25" t="s">
        <v>6520</v>
      </c>
      <c r="N3809" s="22"/>
      <c r="O3809" s="22" t="s">
        <v>6521</v>
      </c>
      <c r="P3809" s="22" t="str">
        <f>HYPERLINK("https://ceds.ed.gov/cedselementdetails.aspx?termid=21412")</f>
        <v>https://ceds.ed.gov/cedselementdetails.aspx?termid=21412</v>
      </c>
      <c r="Q3809" s="22">
        <v>60942</v>
      </c>
    </row>
    <row r="3810" spans="1:17" ht="28.8" x14ac:dyDescent="0.3">
      <c r="A3810" s="22" t="s">
        <v>7881</v>
      </c>
      <c r="B3810" s="22" t="s">
        <v>7894</v>
      </c>
      <c r="C3810" s="22"/>
      <c r="D3810" s="22" t="s">
        <v>7710</v>
      </c>
      <c r="E3810" s="22" t="s">
        <v>6522</v>
      </c>
      <c r="F3810" s="24" t="s">
        <v>6523</v>
      </c>
      <c r="G3810" s="23" t="s">
        <v>32</v>
      </c>
      <c r="H3810" s="24" t="s">
        <v>638</v>
      </c>
      <c r="I3810" s="22"/>
      <c r="J3810" s="22" t="s">
        <v>85</v>
      </c>
      <c r="K3810" s="24"/>
      <c r="L3810" s="24"/>
      <c r="M3810" s="25" t="s">
        <v>6524</v>
      </c>
      <c r="N3810" s="22"/>
      <c r="O3810" s="22" t="s">
        <v>6525</v>
      </c>
      <c r="P3810" s="22" t="str">
        <f>HYPERLINK("https://ceds.ed.gov/cedselementdetails.aspx?termid=21411")</f>
        <v>https://ceds.ed.gov/cedselementdetails.aspx?termid=21411</v>
      </c>
      <c r="Q3810" s="22">
        <v>60941</v>
      </c>
    </row>
    <row r="3811" spans="1:17" ht="28.8" x14ac:dyDescent="0.3">
      <c r="A3811" s="22" t="s">
        <v>7881</v>
      </c>
      <c r="B3811" s="22" t="s">
        <v>7894</v>
      </c>
      <c r="C3811" s="22"/>
      <c r="D3811" s="22" t="s">
        <v>7710</v>
      </c>
      <c r="E3811" s="22" t="s">
        <v>6514</v>
      </c>
      <c r="F3811" s="24" t="s">
        <v>6515</v>
      </c>
      <c r="G3811" s="23" t="s">
        <v>32</v>
      </c>
      <c r="H3811" s="22"/>
      <c r="I3811" s="22"/>
      <c r="J3811" s="22" t="s">
        <v>328</v>
      </c>
      <c r="K3811" s="24"/>
      <c r="L3811" s="24"/>
      <c r="M3811" s="25" t="s">
        <v>6516</v>
      </c>
      <c r="N3811" s="22"/>
      <c r="O3811" s="22" t="s">
        <v>6517</v>
      </c>
      <c r="P3811" s="22" t="str">
        <f>HYPERLINK("https://ceds.ed.gov/cedselementdetails.aspx?termid=22451")</f>
        <v>https://ceds.ed.gov/cedselementdetails.aspx?termid=22451</v>
      </c>
      <c r="Q3811" s="22">
        <v>61408</v>
      </c>
    </row>
    <row r="3812" spans="1:17" ht="28.8" x14ac:dyDescent="0.3">
      <c r="A3812" s="22" t="s">
        <v>7881</v>
      </c>
      <c r="B3812" s="22" t="s">
        <v>7894</v>
      </c>
      <c r="C3812" s="22"/>
      <c r="D3812" s="22" t="s">
        <v>7710</v>
      </c>
      <c r="E3812" s="22" t="s">
        <v>6526</v>
      </c>
      <c r="F3812" s="24" t="s">
        <v>6527</v>
      </c>
      <c r="G3812" s="23" t="s">
        <v>32</v>
      </c>
      <c r="H3812" s="24" t="s">
        <v>638</v>
      </c>
      <c r="I3812" s="22"/>
      <c r="J3812" s="22" t="s">
        <v>50</v>
      </c>
      <c r="K3812" s="24"/>
      <c r="L3812" s="24"/>
      <c r="M3812" s="25" t="s">
        <v>6528</v>
      </c>
      <c r="N3812" s="22"/>
      <c r="O3812" s="22" t="s">
        <v>6529</v>
      </c>
      <c r="P3812" s="22" t="str">
        <f>HYPERLINK("https://ceds.ed.gov/cedselementdetails.aspx?termid=21413")</f>
        <v>https://ceds.ed.gov/cedselementdetails.aspx?termid=21413</v>
      </c>
      <c r="Q3812" s="22">
        <v>60945</v>
      </c>
    </row>
    <row r="3813" spans="1:17" x14ac:dyDescent="0.3">
      <c r="A3813" s="22" t="s">
        <v>7881</v>
      </c>
      <c r="B3813" s="22" t="s">
        <v>7894</v>
      </c>
      <c r="C3813" s="22"/>
      <c r="D3813" s="22" t="s">
        <v>7710</v>
      </c>
      <c r="E3813" s="22" t="s">
        <v>6506</v>
      </c>
      <c r="F3813" s="24" t="s">
        <v>6507</v>
      </c>
      <c r="G3813" s="23" t="s">
        <v>32</v>
      </c>
      <c r="H3813" s="22"/>
      <c r="I3813" s="22"/>
      <c r="J3813" s="22" t="s">
        <v>157</v>
      </c>
      <c r="K3813" s="24"/>
      <c r="L3813" s="24"/>
      <c r="M3813" s="25" t="s">
        <v>6508</v>
      </c>
      <c r="N3813" s="22"/>
      <c r="O3813" s="22" t="s">
        <v>6509</v>
      </c>
      <c r="P3813" s="22" t="str">
        <f>HYPERLINK("https://ceds.ed.gov/cedselementdetails.aspx?termid=22449")</f>
        <v>https://ceds.ed.gov/cedselementdetails.aspx?termid=22449</v>
      </c>
      <c r="Q3813" s="22">
        <v>61402</v>
      </c>
    </row>
    <row r="3814" spans="1:17" ht="43.2" x14ac:dyDescent="0.3">
      <c r="A3814" s="22" t="s">
        <v>7881</v>
      </c>
      <c r="B3814" s="22" t="s">
        <v>7894</v>
      </c>
      <c r="C3814" s="22"/>
      <c r="D3814" s="22" t="s">
        <v>7710</v>
      </c>
      <c r="E3814" s="22" t="s">
        <v>6480</v>
      </c>
      <c r="F3814" s="24" t="s">
        <v>6481</v>
      </c>
      <c r="G3814" s="23" t="s">
        <v>32</v>
      </c>
      <c r="H3814" s="22"/>
      <c r="I3814" s="22"/>
      <c r="J3814" s="22" t="s">
        <v>328</v>
      </c>
      <c r="K3814" s="24"/>
      <c r="L3814" s="24"/>
      <c r="M3814" s="25" t="s">
        <v>6482</v>
      </c>
      <c r="N3814" s="22"/>
      <c r="O3814" s="22" t="s">
        <v>6483</v>
      </c>
      <c r="P3814" s="22" t="str">
        <f>HYPERLINK("https://ceds.ed.gov/cedselementdetails.aspx?termid=22442")</f>
        <v>https://ceds.ed.gov/cedselementdetails.aspx?termid=22442</v>
      </c>
      <c r="Q3814" s="22">
        <v>61380</v>
      </c>
    </row>
    <row r="3815" spans="1:17" ht="28.8" x14ac:dyDescent="0.3">
      <c r="A3815" s="22" t="s">
        <v>7881</v>
      </c>
      <c r="B3815" s="22" t="s">
        <v>7894</v>
      </c>
      <c r="C3815" s="22"/>
      <c r="D3815" s="22" t="s">
        <v>7710</v>
      </c>
      <c r="E3815" s="22" t="s">
        <v>6475</v>
      </c>
      <c r="F3815" s="24" t="s">
        <v>6476</v>
      </c>
      <c r="G3815" s="23" t="s">
        <v>32</v>
      </c>
      <c r="H3815" s="22"/>
      <c r="I3815" s="22"/>
      <c r="J3815" s="22" t="s">
        <v>85</v>
      </c>
      <c r="K3815" s="24"/>
      <c r="L3815" s="24"/>
      <c r="M3815" s="25" t="s">
        <v>6478</v>
      </c>
      <c r="N3815" s="22"/>
      <c r="O3815" s="22" t="s">
        <v>6479</v>
      </c>
      <c r="P3815" s="22" t="str">
        <f>HYPERLINK("https://ceds.ed.gov/cedselementdetails.aspx?termid=22441")</f>
        <v>https://ceds.ed.gov/cedselementdetails.aspx?termid=22441</v>
      </c>
      <c r="Q3815" s="22">
        <v>61377</v>
      </c>
    </row>
    <row r="3816" spans="1:17" ht="43.2" x14ac:dyDescent="0.3">
      <c r="A3816" s="22" t="s">
        <v>7881</v>
      </c>
      <c r="B3816" s="22" t="s">
        <v>7894</v>
      </c>
      <c r="C3816" s="22"/>
      <c r="D3816" s="22" t="s">
        <v>7710</v>
      </c>
      <c r="E3816" s="22" t="s">
        <v>6502</v>
      </c>
      <c r="F3816" s="24" t="s">
        <v>6503</v>
      </c>
      <c r="G3816" s="23" t="s">
        <v>32</v>
      </c>
      <c r="H3816" s="22"/>
      <c r="I3816" s="22"/>
      <c r="J3816" s="22" t="s">
        <v>148</v>
      </c>
      <c r="K3816" s="24"/>
      <c r="L3816" s="24"/>
      <c r="M3816" s="25" t="s">
        <v>6504</v>
      </c>
      <c r="N3816" s="22"/>
      <c r="O3816" s="22" t="s">
        <v>6505</v>
      </c>
      <c r="P3816" s="22" t="str">
        <f>HYPERLINK("https://ceds.ed.gov/cedselementdetails.aspx?termid=22448")</f>
        <v>https://ceds.ed.gov/cedselementdetails.aspx?termid=22448</v>
      </c>
      <c r="Q3816" s="22">
        <v>61399</v>
      </c>
    </row>
    <row r="3817" spans="1:17" ht="57.6" x14ac:dyDescent="0.3">
      <c r="A3817" s="22" t="s">
        <v>7881</v>
      </c>
      <c r="B3817" s="22" t="s">
        <v>7894</v>
      </c>
      <c r="C3817" s="22"/>
      <c r="D3817" s="22" t="s">
        <v>7710</v>
      </c>
      <c r="E3817" s="22" t="s">
        <v>6484</v>
      </c>
      <c r="F3817" s="24" t="s">
        <v>8298</v>
      </c>
      <c r="G3817" s="23" t="s">
        <v>32</v>
      </c>
      <c r="H3817" s="22"/>
      <c r="I3817" s="22"/>
      <c r="J3817" s="22" t="s">
        <v>328</v>
      </c>
      <c r="K3817" s="24"/>
      <c r="L3817" s="24"/>
      <c r="M3817" s="25" t="s">
        <v>6485</v>
      </c>
      <c r="N3817" s="22"/>
      <c r="O3817" s="22" t="s">
        <v>6486</v>
      </c>
      <c r="P3817" s="22" t="str">
        <f>HYPERLINK("https://ceds.ed.gov/cedselementdetails.aspx?termid=22443")</f>
        <v>https://ceds.ed.gov/cedselementdetails.aspx?termid=22443</v>
      </c>
      <c r="Q3817" s="22">
        <v>61383</v>
      </c>
    </row>
    <row r="3818" spans="1:17" ht="72" x14ac:dyDescent="0.3">
      <c r="A3818" s="22" t="s">
        <v>7881</v>
      </c>
      <c r="B3818" s="22" t="s">
        <v>7894</v>
      </c>
      <c r="C3818" s="22"/>
      <c r="D3818" s="22" t="s">
        <v>7710</v>
      </c>
      <c r="E3818" s="22" t="s">
        <v>6487</v>
      </c>
      <c r="F3818" s="24" t="s">
        <v>8299</v>
      </c>
      <c r="G3818" s="23" t="s">
        <v>32</v>
      </c>
      <c r="H3818" s="22"/>
      <c r="I3818" s="22"/>
      <c r="J3818" s="22" t="s">
        <v>328</v>
      </c>
      <c r="K3818" s="24"/>
      <c r="L3818" s="24"/>
      <c r="M3818" s="25" t="s">
        <v>6488</v>
      </c>
      <c r="N3818" s="22"/>
      <c r="O3818" s="22" t="s">
        <v>6489</v>
      </c>
      <c r="P3818" s="22" t="str">
        <f>HYPERLINK("https://ceds.ed.gov/cedselementdetails.aspx?termid=22444")</f>
        <v>https://ceds.ed.gov/cedselementdetails.aspx?termid=22444</v>
      </c>
      <c r="Q3818" s="22">
        <v>61387</v>
      </c>
    </row>
    <row r="3819" spans="1:17" ht="43.2" x14ac:dyDescent="0.3">
      <c r="A3819" s="22" t="s">
        <v>7881</v>
      </c>
      <c r="B3819" s="22" t="s">
        <v>7894</v>
      </c>
      <c r="C3819" s="22"/>
      <c r="D3819" s="22" t="s">
        <v>7710</v>
      </c>
      <c r="E3819" s="22" t="s">
        <v>6490</v>
      </c>
      <c r="F3819" s="24" t="s">
        <v>6491</v>
      </c>
      <c r="G3819" s="23" t="s">
        <v>32</v>
      </c>
      <c r="H3819" s="22"/>
      <c r="I3819" s="22"/>
      <c r="J3819" s="22" t="s">
        <v>148</v>
      </c>
      <c r="K3819" s="24"/>
      <c r="L3819" s="24"/>
      <c r="M3819" s="25" t="s">
        <v>6492</v>
      </c>
      <c r="N3819" s="22"/>
      <c r="O3819" s="22" t="s">
        <v>6493</v>
      </c>
      <c r="P3819" s="22" t="str">
        <f>HYPERLINK("https://ceds.ed.gov/cedselementdetails.aspx?termid=22445")</f>
        <v>https://ceds.ed.gov/cedselementdetails.aspx?termid=22445</v>
      </c>
      <c r="Q3819" s="22">
        <v>61390</v>
      </c>
    </row>
    <row r="3820" spans="1:17" ht="43.2" x14ac:dyDescent="0.3">
      <c r="A3820" s="22" t="s">
        <v>7881</v>
      </c>
      <c r="B3820" s="22" t="s">
        <v>7894</v>
      </c>
      <c r="C3820" s="22"/>
      <c r="D3820" s="22" t="s">
        <v>7710</v>
      </c>
      <c r="E3820" s="22" t="s">
        <v>6494</v>
      </c>
      <c r="F3820" s="24" t="s">
        <v>6495</v>
      </c>
      <c r="G3820" s="23" t="s">
        <v>32</v>
      </c>
      <c r="H3820" s="22"/>
      <c r="I3820" s="22"/>
      <c r="J3820" s="22" t="s">
        <v>157</v>
      </c>
      <c r="K3820" s="24"/>
      <c r="L3820" s="24"/>
      <c r="M3820" s="25" t="s">
        <v>6496</v>
      </c>
      <c r="N3820" s="22"/>
      <c r="O3820" s="22" t="s">
        <v>6497</v>
      </c>
      <c r="P3820" s="22" t="str">
        <f>HYPERLINK("https://ceds.ed.gov/cedselementdetails.aspx?termid=22446")</f>
        <v>https://ceds.ed.gov/cedselementdetails.aspx?termid=22446</v>
      </c>
      <c r="Q3820" s="22">
        <v>61393</v>
      </c>
    </row>
    <row r="3821" spans="1:17" ht="28.8" x14ac:dyDescent="0.3">
      <c r="A3821" s="22" t="s">
        <v>7881</v>
      </c>
      <c r="B3821" s="22" t="s">
        <v>7894</v>
      </c>
      <c r="C3821" s="22"/>
      <c r="D3821" s="22" t="s">
        <v>7710</v>
      </c>
      <c r="E3821" s="22" t="s">
        <v>6498</v>
      </c>
      <c r="F3821" s="24" t="s">
        <v>6499</v>
      </c>
      <c r="G3821" s="23" t="s">
        <v>32</v>
      </c>
      <c r="H3821" s="22"/>
      <c r="I3821" s="22"/>
      <c r="J3821" s="22" t="s">
        <v>148</v>
      </c>
      <c r="K3821" s="24"/>
      <c r="L3821" s="24"/>
      <c r="M3821" s="25" t="s">
        <v>6500</v>
      </c>
      <c r="N3821" s="22"/>
      <c r="O3821" s="22" t="s">
        <v>6501</v>
      </c>
      <c r="P3821" s="22" t="str">
        <f>HYPERLINK("https://ceds.ed.gov/cedselementdetails.aspx?termid=22447")</f>
        <v>https://ceds.ed.gov/cedselementdetails.aspx?termid=22447</v>
      </c>
      <c r="Q3821" s="22">
        <v>61396</v>
      </c>
    </row>
    <row r="3822" spans="1:17" ht="28.8" x14ac:dyDescent="0.3">
      <c r="A3822" s="22" t="s">
        <v>7881</v>
      </c>
      <c r="B3822" s="22" t="s">
        <v>7894</v>
      </c>
      <c r="C3822" s="22"/>
      <c r="D3822" s="22" t="s">
        <v>7710</v>
      </c>
      <c r="E3822" s="22" t="s">
        <v>6510</v>
      </c>
      <c r="F3822" s="24" t="s">
        <v>6511</v>
      </c>
      <c r="G3822" s="23" t="s">
        <v>32</v>
      </c>
      <c r="H3822" s="22"/>
      <c r="I3822" s="22"/>
      <c r="J3822" s="22" t="s">
        <v>148</v>
      </c>
      <c r="K3822" s="24"/>
      <c r="L3822" s="24"/>
      <c r="M3822" s="25" t="s">
        <v>6512</v>
      </c>
      <c r="N3822" s="22"/>
      <c r="O3822" s="22" t="s">
        <v>6513</v>
      </c>
      <c r="P3822" s="22" t="str">
        <f>HYPERLINK("https://ceds.ed.gov/cedselementdetails.aspx?termid=22450")</f>
        <v>https://ceds.ed.gov/cedselementdetails.aspx?termid=22450</v>
      </c>
      <c r="Q3822" s="22">
        <v>61405</v>
      </c>
    </row>
    <row r="3823" spans="1:17" ht="172.8" x14ac:dyDescent="0.3">
      <c r="A3823" s="22" t="s">
        <v>7881</v>
      </c>
      <c r="B3823" s="22" t="s">
        <v>7898</v>
      </c>
      <c r="C3823" s="22"/>
      <c r="D3823" s="22" t="s">
        <v>7710</v>
      </c>
      <c r="E3823" s="22" t="s">
        <v>1391</v>
      </c>
      <c r="F3823" s="24" t="s">
        <v>1392</v>
      </c>
      <c r="G3823" s="23" t="s">
        <v>32</v>
      </c>
      <c r="H3823" s="24" t="s">
        <v>1314</v>
      </c>
      <c r="I3823" s="22"/>
      <c r="J3823" s="22" t="s">
        <v>132</v>
      </c>
      <c r="K3823" s="24"/>
      <c r="L3823" s="24" t="s">
        <v>7945</v>
      </c>
      <c r="M3823" s="25" t="s">
        <v>1393</v>
      </c>
      <c r="N3823" s="22"/>
      <c r="O3823" s="22" t="s">
        <v>1394</v>
      </c>
      <c r="P3823" s="22" t="str">
        <f>HYPERLINK("https://ceds.ed.gov/cedselementdetails.aspx?termid=21366")</f>
        <v>https://ceds.ed.gov/cedselementdetails.aspx?termid=21366</v>
      </c>
      <c r="Q3823" s="22">
        <v>59210</v>
      </c>
    </row>
    <row r="3824" spans="1:17" ht="72" x14ac:dyDescent="0.3">
      <c r="A3824" s="22" t="s">
        <v>7881</v>
      </c>
      <c r="B3824" s="22" t="s">
        <v>7898</v>
      </c>
      <c r="C3824" s="22"/>
      <c r="D3824" s="22" t="s">
        <v>7710</v>
      </c>
      <c r="E3824" s="22" t="s">
        <v>1395</v>
      </c>
      <c r="F3824" s="24" t="s">
        <v>1396</v>
      </c>
      <c r="G3824" s="26" t="s">
        <v>8647</v>
      </c>
      <c r="H3824" s="22"/>
      <c r="I3824" s="22"/>
      <c r="J3824" s="22"/>
      <c r="K3824" s="24"/>
      <c r="L3824" s="24"/>
      <c r="M3824" s="25" t="s">
        <v>1397</v>
      </c>
      <c r="N3824" s="22"/>
      <c r="O3824" s="22" t="s">
        <v>1398</v>
      </c>
      <c r="P3824" s="22" t="str">
        <f>HYPERLINK("https://ceds.ed.gov/cedselementdetails.aspx?termid=22016")</f>
        <v>https://ceds.ed.gov/cedselementdetails.aspx?termid=22016</v>
      </c>
      <c r="Q3824" s="22">
        <v>59452</v>
      </c>
    </row>
    <row r="3825" spans="1:17" ht="144" x14ac:dyDescent="0.3">
      <c r="A3825" s="22" t="s">
        <v>7881</v>
      </c>
      <c r="B3825" s="22" t="s">
        <v>7898</v>
      </c>
      <c r="C3825" s="22"/>
      <c r="D3825" s="22" t="s">
        <v>7710</v>
      </c>
      <c r="E3825" s="22" t="s">
        <v>1420</v>
      </c>
      <c r="F3825" s="24" t="s">
        <v>1421</v>
      </c>
      <c r="G3825" s="23" t="s">
        <v>32</v>
      </c>
      <c r="H3825" s="24" t="s">
        <v>1424</v>
      </c>
      <c r="I3825" s="22"/>
      <c r="J3825" s="22" t="s">
        <v>157</v>
      </c>
      <c r="K3825" s="24"/>
      <c r="L3825" s="24"/>
      <c r="M3825" s="25" t="s">
        <v>1422</v>
      </c>
      <c r="N3825" s="22"/>
      <c r="O3825" s="22" t="s">
        <v>1423</v>
      </c>
      <c r="P3825" s="22" t="str">
        <f>HYPERLINK("https://ceds.ed.gov/cedselementdetails.aspx?termid=21275")</f>
        <v>https://ceds.ed.gov/cedselementdetails.aspx?termid=21275</v>
      </c>
      <c r="Q3825" s="22">
        <v>59209</v>
      </c>
    </row>
    <row r="3826" spans="1:17" ht="43.2" x14ac:dyDescent="0.3">
      <c r="A3826" s="22" t="s">
        <v>7881</v>
      </c>
      <c r="B3826" s="22" t="s">
        <v>7898</v>
      </c>
      <c r="C3826" s="22"/>
      <c r="D3826" s="22" t="s">
        <v>7710</v>
      </c>
      <c r="E3826" s="22" t="s">
        <v>1382</v>
      </c>
      <c r="F3826" s="24" t="s">
        <v>1383</v>
      </c>
      <c r="G3826" s="23" t="s">
        <v>32</v>
      </c>
      <c r="H3826" s="24" t="s">
        <v>1386</v>
      </c>
      <c r="I3826" s="22"/>
      <c r="J3826" s="22" t="s">
        <v>85</v>
      </c>
      <c r="K3826" s="24"/>
      <c r="L3826" s="24"/>
      <c r="M3826" s="25" t="s">
        <v>1384</v>
      </c>
      <c r="N3826" s="22"/>
      <c r="O3826" s="22" t="s">
        <v>1385</v>
      </c>
      <c r="P3826" s="22" t="str">
        <f>HYPERLINK("https://ceds.ed.gov/cedselementdetails.aspx?termid=21367")</f>
        <v>https://ceds.ed.gov/cedselementdetails.aspx?termid=21367</v>
      </c>
      <c r="Q3826" s="22">
        <v>59211</v>
      </c>
    </row>
    <row r="3827" spans="1:17" ht="129.6" x14ac:dyDescent="0.3">
      <c r="A3827" s="22" t="s">
        <v>7881</v>
      </c>
      <c r="B3827" s="22" t="s">
        <v>7898</v>
      </c>
      <c r="C3827" s="22"/>
      <c r="D3827" s="22" t="s">
        <v>7710</v>
      </c>
      <c r="E3827" s="22" t="s">
        <v>1387</v>
      </c>
      <c r="F3827" s="24" t="s">
        <v>1388</v>
      </c>
      <c r="G3827" s="23" t="s">
        <v>32</v>
      </c>
      <c r="H3827" s="24" t="s">
        <v>545</v>
      </c>
      <c r="I3827" s="22"/>
      <c r="J3827" s="22" t="s">
        <v>157</v>
      </c>
      <c r="K3827" s="24"/>
      <c r="L3827" s="24"/>
      <c r="M3827" s="25" t="s">
        <v>1389</v>
      </c>
      <c r="N3827" s="22"/>
      <c r="O3827" s="22" t="s">
        <v>1390</v>
      </c>
      <c r="P3827" s="22" t="str">
        <f>HYPERLINK("https://ceds.ed.gov/cedselementdetails.aspx?termid=21274")</f>
        <v>https://ceds.ed.gov/cedselementdetails.aspx?termid=21274</v>
      </c>
      <c r="Q3827" s="22">
        <v>59208</v>
      </c>
    </row>
    <row r="3828" spans="1:17" ht="43.2" x14ac:dyDescent="0.3">
      <c r="A3828" s="22" t="s">
        <v>7881</v>
      </c>
      <c r="B3828" s="22" t="s">
        <v>7898</v>
      </c>
      <c r="C3828" s="22"/>
      <c r="D3828" s="22" t="s">
        <v>7710</v>
      </c>
      <c r="E3828" s="22" t="s">
        <v>1425</v>
      </c>
      <c r="F3828" s="24" t="s">
        <v>1426</v>
      </c>
      <c r="G3828" s="23" t="s">
        <v>32</v>
      </c>
      <c r="H3828" s="24" t="s">
        <v>1314</v>
      </c>
      <c r="I3828" s="22"/>
      <c r="J3828" s="22" t="s">
        <v>85</v>
      </c>
      <c r="K3828" s="24"/>
      <c r="L3828" s="24"/>
      <c r="M3828" s="25" t="s">
        <v>1427</v>
      </c>
      <c r="N3828" s="22"/>
      <c r="O3828" s="22" t="s">
        <v>1428</v>
      </c>
      <c r="P3828" s="22" t="str">
        <f>HYPERLINK("https://ceds.ed.gov/cedselementdetails.aspx?termid=21379")</f>
        <v>https://ceds.ed.gov/cedselementdetails.aspx?termid=21379</v>
      </c>
      <c r="Q3828" s="22">
        <v>59213</v>
      </c>
    </row>
    <row r="3829" spans="1:17" ht="360" x14ac:dyDescent="0.3">
      <c r="A3829" s="22" t="s">
        <v>7881</v>
      </c>
      <c r="B3829" s="22" t="s">
        <v>7898</v>
      </c>
      <c r="C3829" s="22"/>
      <c r="D3829" s="22" t="s">
        <v>7710</v>
      </c>
      <c r="E3829" s="22" t="s">
        <v>971</v>
      </c>
      <c r="F3829" s="24" t="s">
        <v>972</v>
      </c>
      <c r="G3829" s="26" t="s">
        <v>8399</v>
      </c>
      <c r="H3829" s="24" t="s">
        <v>975</v>
      </c>
      <c r="I3829" s="22" t="s">
        <v>172</v>
      </c>
      <c r="J3829" s="22"/>
      <c r="K3829" s="24" t="s">
        <v>7995</v>
      </c>
      <c r="L3829" s="24"/>
      <c r="M3829" s="25" t="s">
        <v>973</v>
      </c>
      <c r="N3829" s="22"/>
      <c r="O3829" s="22" t="s">
        <v>974</v>
      </c>
      <c r="P3829" s="22" t="str">
        <f>HYPERLINK("https://ceds.ed.gov/cedselementdetails.aspx?termid=21177")</f>
        <v>https://ceds.ed.gov/cedselementdetails.aspx?termid=21177</v>
      </c>
      <c r="Q3829" s="22">
        <v>61798</v>
      </c>
    </row>
    <row r="3830" spans="1:17" ht="273.60000000000002" x14ac:dyDescent="0.3">
      <c r="A3830" s="22" t="s">
        <v>7881</v>
      </c>
      <c r="B3830" s="22" t="s">
        <v>7898</v>
      </c>
      <c r="C3830" s="22"/>
      <c r="D3830" s="22" t="s">
        <v>7710</v>
      </c>
      <c r="E3830" s="22" t="s">
        <v>499</v>
      </c>
      <c r="F3830" s="24" t="s">
        <v>500</v>
      </c>
      <c r="G3830" s="26" t="s">
        <v>8610</v>
      </c>
      <c r="H3830" s="24" t="s">
        <v>503</v>
      </c>
      <c r="I3830" s="22"/>
      <c r="J3830" s="22"/>
      <c r="K3830" s="24"/>
      <c r="L3830" s="24" t="s">
        <v>7968</v>
      </c>
      <c r="M3830" s="25" t="s">
        <v>501</v>
      </c>
      <c r="N3830" s="22"/>
      <c r="O3830" s="22" t="s">
        <v>502</v>
      </c>
      <c r="P3830" s="22" t="str">
        <f>HYPERLINK("https://ceds.ed.gov/cedselementdetails.aspx?termid=22003")</f>
        <v>https://ceds.ed.gov/cedselementdetails.aspx?termid=22003</v>
      </c>
      <c r="Q3830" s="22">
        <v>62304</v>
      </c>
    </row>
    <row r="3831" spans="1:17" ht="28.8" x14ac:dyDescent="0.3">
      <c r="A3831" s="22" t="s">
        <v>7881</v>
      </c>
      <c r="B3831" s="22" t="s">
        <v>7898</v>
      </c>
      <c r="C3831" s="22"/>
      <c r="D3831" s="22" t="s">
        <v>7710</v>
      </c>
      <c r="E3831" s="22" t="s">
        <v>1412</v>
      </c>
      <c r="F3831" s="24" t="s">
        <v>1413</v>
      </c>
      <c r="G3831" s="23" t="s">
        <v>32</v>
      </c>
      <c r="H3831" s="22"/>
      <c r="I3831" s="22"/>
      <c r="J3831" s="22" t="s">
        <v>118</v>
      </c>
      <c r="K3831" s="24"/>
      <c r="L3831" s="24"/>
      <c r="M3831" s="25" t="s">
        <v>1414</v>
      </c>
      <c r="N3831" s="22"/>
      <c r="O3831" s="22" t="s">
        <v>1415</v>
      </c>
      <c r="P3831" s="22" t="str">
        <f>HYPERLINK("https://ceds.ed.gov/cedselementdetails.aspx?termid=22075")</f>
        <v>https://ceds.ed.gov/cedselementdetails.aspx?termid=22075</v>
      </c>
      <c r="Q3831" s="22">
        <v>59507</v>
      </c>
    </row>
    <row r="3832" spans="1:17" ht="43.2" x14ac:dyDescent="0.3">
      <c r="A3832" s="22" t="s">
        <v>7881</v>
      </c>
      <c r="B3832" s="22" t="s">
        <v>7898</v>
      </c>
      <c r="C3832" s="22"/>
      <c r="D3832" s="22" t="s">
        <v>7710</v>
      </c>
      <c r="E3832" s="22" t="s">
        <v>1403</v>
      </c>
      <c r="F3832" s="24" t="s">
        <v>1404</v>
      </c>
      <c r="G3832" s="23" t="s">
        <v>32</v>
      </c>
      <c r="H3832" s="24" t="s">
        <v>93</v>
      </c>
      <c r="I3832" s="22"/>
      <c r="J3832" s="22" t="s">
        <v>85</v>
      </c>
      <c r="K3832" s="24"/>
      <c r="L3832" s="24"/>
      <c r="M3832" s="25" t="s">
        <v>1405</v>
      </c>
      <c r="N3832" s="22"/>
      <c r="O3832" s="22" t="s">
        <v>1406</v>
      </c>
      <c r="P3832" s="22" t="str">
        <f>HYPERLINK("https://ceds.ed.gov/cedselementdetails.aspx?termid=21387")</f>
        <v>https://ceds.ed.gov/cedselementdetails.aspx?termid=21387</v>
      </c>
      <c r="Q3832" s="22">
        <v>59214</v>
      </c>
    </row>
    <row r="3833" spans="1:17" ht="43.2" x14ac:dyDescent="0.3">
      <c r="A3833" s="22" t="s">
        <v>7881</v>
      </c>
      <c r="B3833" s="22" t="s">
        <v>7898</v>
      </c>
      <c r="C3833" s="22"/>
      <c r="D3833" s="22" t="s">
        <v>7710</v>
      </c>
      <c r="E3833" s="22" t="s">
        <v>1399</v>
      </c>
      <c r="F3833" s="24" t="s">
        <v>1400</v>
      </c>
      <c r="G3833" s="23" t="s">
        <v>32</v>
      </c>
      <c r="H3833" s="24" t="s">
        <v>93</v>
      </c>
      <c r="I3833" s="22"/>
      <c r="J3833" s="22" t="s">
        <v>85</v>
      </c>
      <c r="K3833" s="24"/>
      <c r="L3833" s="24"/>
      <c r="M3833" s="25" t="s">
        <v>1401</v>
      </c>
      <c r="N3833" s="22"/>
      <c r="O3833" s="22" t="s">
        <v>1402</v>
      </c>
      <c r="P3833" s="22" t="str">
        <f>HYPERLINK("https://ceds.ed.gov/cedselementdetails.aspx?termid=21388")</f>
        <v>https://ceds.ed.gov/cedselementdetails.aspx?termid=21388</v>
      </c>
      <c r="Q3833" s="22">
        <v>59215</v>
      </c>
    </row>
    <row r="3834" spans="1:17" ht="43.2" x14ac:dyDescent="0.3">
      <c r="A3834" s="22" t="s">
        <v>7881</v>
      </c>
      <c r="B3834" s="22" t="s">
        <v>7898</v>
      </c>
      <c r="C3834" s="22"/>
      <c r="D3834" s="22" t="s">
        <v>7710</v>
      </c>
      <c r="E3834" s="22" t="s">
        <v>1407</v>
      </c>
      <c r="F3834" s="24" t="s">
        <v>1408</v>
      </c>
      <c r="G3834" s="23" t="s">
        <v>32</v>
      </c>
      <c r="H3834" s="24" t="s">
        <v>638</v>
      </c>
      <c r="I3834" s="22"/>
      <c r="J3834" s="22" t="s">
        <v>85</v>
      </c>
      <c r="K3834" s="24"/>
      <c r="L3834" s="24" t="s">
        <v>1409</v>
      </c>
      <c r="M3834" s="25" t="s">
        <v>1410</v>
      </c>
      <c r="N3834" s="22"/>
      <c r="O3834" s="22" t="s">
        <v>1411</v>
      </c>
      <c r="P3834" s="22" t="str">
        <f>HYPERLINK("https://ceds.ed.gov/cedselementdetails.aspx?termid=21389")</f>
        <v>https://ceds.ed.gov/cedselementdetails.aspx?termid=21389</v>
      </c>
      <c r="Q3834" s="22">
        <v>59216</v>
      </c>
    </row>
    <row r="3835" spans="1:17" ht="288" x14ac:dyDescent="0.3">
      <c r="A3835" s="22" t="s">
        <v>7881</v>
      </c>
      <c r="B3835" s="22" t="s">
        <v>7898</v>
      </c>
      <c r="C3835" s="22"/>
      <c r="D3835" s="22" t="s">
        <v>7710</v>
      </c>
      <c r="E3835" s="22" t="s">
        <v>404</v>
      </c>
      <c r="F3835" s="24" t="s">
        <v>405</v>
      </c>
      <c r="G3835" s="26" t="s">
        <v>8605</v>
      </c>
      <c r="H3835" s="24" t="s">
        <v>409</v>
      </c>
      <c r="I3835" s="22"/>
      <c r="J3835" s="22"/>
      <c r="K3835" s="24"/>
      <c r="L3835" s="24"/>
      <c r="M3835" s="25" t="s">
        <v>407</v>
      </c>
      <c r="N3835" s="22"/>
      <c r="O3835" s="22" t="s">
        <v>408</v>
      </c>
      <c r="P3835" s="22" t="str">
        <f>HYPERLINK("https://ceds.ed.gov/cedselementdetails.aspx?termid=21021")</f>
        <v>https://ceds.ed.gov/cedselementdetails.aspx?termid=21021</v>
      </c>
      <c r="Q3835" s="22">
        <v>59206</v>
      </c>
    </row>
    <row r="3836" spans="1:17" ht="129.6" x14ac:dyDescent="0.3">
      <c r="A3836" s="22" t="s">
        <v>7881</v>
      </c>
      <c r="B3836" s="22" t="s">
        <v>7898</v>
      </c>
      <c r="C3836" s="22"/>
      <c r="D3836" s="22" t="s">
        <v>7710</v>
      </c>
      <c r="E3836" s="22" t="s">
        <v>493</v>
      </c>
      <c r="F3836" s="24" t="s">
        <v>494</v>
      </c>
      <c r="G3836" s="26" t="s">
        <v>8609</v>
      </c>
      <c r="H3836" s="24" t="s">
        <v>498</v>
      </c>
      <c r="I3836" s="22"/>
      <c r="J3836" s="22"/>
      <c r="K3836" s="24"/>
      <c r="L3836" s="24"/>
      <c r="M3836" s="25" t="s">
        <v>496</v>
      </c>
      <c r="N3836" s="22"/>
      <c r="O3836" s="22" t="s">
        <v>497</v>
      </c>
      <c r="P3836" s="22" t="str">
        <f>HYPERLINK("https://ceds.ed.gov/cedselementdetails.aspx?termid=21598")</f>
        <v>https://ceds.ed.gov/cedselementdetails.aspx?termid=21598</v>
      </c>
      <c r="Q3836" s="22">
        <v>59217</v>
      </c>
    </row>
    <row r="3837" spans="1:17" ht="331.2" x14ac:dyDescent="0.3">
      <c r="A3837" s="22" t="s">
        <v>7881</v>
      </c>
      <c r="B3837" s="22" t="s">
        <v>7898</v>
      </c>
      <c r="C3837" s="22"/>
      <c r="D3837" s="22" t="s">
        <v>7710</v>
      </c>
      <c r="E3837" s="22" t="s">
        <v>1194</v>
      </c>
      <c r="F3837" s="24" t="s">
        <v>1195</v>
      </c>
      <c r="G3837" s="26" t="s">
        <v>8637</v>
      </c>
      <c r="H3837" s="24" t="s">
        <v>498</v>
      </c>
      <c r="I3837" s="22"/>
      <c r="J3837" s="22"/>
      <c r="K3837" s="24"/>
      <c r="L3837" s="24" t="s">
        <v>1197</v>
      </c>
      <c r="M3837" s="25" t="s">
        <v>1198</v>
      </c>
      <c r="N3837" s="22"/>
      <c r="O3837" s="22" t="s">
        <v>1199</v>
      </c>
      <c r="P3837" s="22" t="str">
        <f>HYPERLINK("https://ceds.ed.gov/cedselementdetails.aspx?termid=21026")</f>
        <v>https://ceds.ed.gov/cedselementdetails.aspx?termid=21026</v>
      </c>
      <c r="Q3837" s="22">
        <v>59207</v>
      </c>
    </row>
    <row r="3838" spans="1:17" ht="43.2" x14ac:dyDescent="0.3">
      <c r="A3838" s="22" t="s">
        <v>7881</v>
      </c>
      <c r="B3838" s="22" t="s">
        <v>7898</v>
      </c>
      <c r="C3838" s="22"/>
      <c r="D3838" s="22" t="s">
        <v>7710</v>
      </c>
      <c r="E3838" s="22" t="s">
        <v>1416</v>
      </c>
      <c r="F3838" s="24" t="s">
        <v>1417</v>
      </c>
      <c r="G3838" s="23" t="s">
        <v>32</v>
      </c>
      <c r="H3838" s="22"/>
      <c r="I3838" s="22"/>
      <c r="J3838" s="22" t="s">
        <v>328</v>
      </c>
      <c r="K3838" s="24"/>
      <c r="L3838" s="24"/>
      <c r="M3838" s="25" t="s">
        <v>1418</v>
      </c>
      <c r="N3838" s="22"/>
      <c r="O3838" s="22" t="s">
        <v>1419</v>
      </c>
      <c r="P3838" s="22" t="str">
        <f>HYPERLINK("https://ceds.ed.gov/cedselementdetails.aspx?termid=21695")</f>
        <v>https://ceds.ed.gov/cedselementdetails.aspx?termid=21695</v>
      </c>
      <c r="Q3838" s="22">
        <v>59218</v>
      </c>
    </row>
    <row r="3839" spans="1:17" ht="43.2" x14ac:dyDescent="0.3">
      <c r="A3839" s="22" t="s">
        <v>7881</v>
      </c>
      <c r="B3839" s="22" t="s">
        <v>7898</v>
      </c>
      <c r="C3839" s="22"/>
      <c r="D3839" s="22" t="s">
        <v>7710</v>
      </c>
      <c r="E3839" s="22" t="s">
        <v>606</v>
      </c>
      <c r="F3839" s="24" t="s">
        <v>7971</v>
      </c>
      <c r="G3839" s="23" t="s">
        <v>32</v>
      </c>
      <c r="H3839" s="22"/>
      <c r="I3839" s="22"/>
      <c r="J3839" s="22" t="s">
        <v>317</v>
      </c>
      <c r="K3839" s="24"/>
      <c r="L3839" s="24"/>
      <c r="M3839" s="25" t="s">
        <v>607</v>
      </c>
      <c r="N3839" s="22"/>
      <c r="O3839" s="22" t="s">
        <v>608</v>
      </c>
      <c r="P3839" s="22" t="str">
        <f>HYPERLINK("https://ceds.ed.gov/cedselementdetails.aspx?termid=22180")</f>
        <v>https://ceds.ed.gov/cedselementdetails.aspx?termid=22180</v>
      </c>
      <c r="Q3839" s="22">
        <v>59625</v>
      </c>
    </row>
    <row r="3840" spans="1:17" ht="57.6" x14ac:dyDescent="0.3">
      <c r="A3840" s="22" t="s">
        <v>7881</v>
      </c>
      <c r="B3840" s="22" t="s">
        <v>7898</v>
      </c>
      <c r="C3840" s="22"/>
      <c r="D3840" s="22" t="s">
        <v>7710</v>
      </c>
      <c r="E3840" s="22" t="s">
        <v>589</v>
      </c>
      <c r="F3840" s="24" t="s">
        <v>590</v>
      </c>
      <c r="G3840" s="26" t="s">
        <v>22</v>
      </c>
      <c r="H3840" s="22"/>
      <c r="I3840" s="22"/>
      <c r="J3840" s="22"/>
      <c r="K3840" s="24"/>
      <c r="L3840" s="24"/>
      <c r="M3840" s="25" t="s">
        <v>591</v>
      </c>
      <c r="N3840" s="22"/>
      <c r="O3840" s="22" t="s">
        <v>592</v>
      </c>
      <c r="P3840" s="22" t="str">
        <f>HYPERLINK("https://ceds.ed.gov/cedselementdetails.aspx?termid=22181")</f>
        <v>https://ceds.ed.gov/cedselementdetails.aspx?termid=22181</v>
      </c>
      <c r="Q3840" s="22">
        <v>59626</v>
      </c>
    </row>
    <row r="3841" spans="1:17" ht="409.6" x14ac:dyDescent="0.3">
      <c r="A3841" s="22" t="s">
        <v>7881</v>
      </c>
      <c r="B3841" s="22" t="s">
        <v>7898</v>
      </c>
      <c r="C3841" s="22"/>
      <c r="D3841" s="22" t="s">
        <v>7710</v>
      </c>
      <c r="E3841" s="22" t="s">
        <v>1309</v>
      </c>
      <c r="F3841" s="24" t="s">
        <v>1310</v>
      </c>
      <c r="G3841" s="26" t="s">
        <v>8402</v>
      </c>
      <c r="H3841" s="24" t="s">
        <v>1314</v>
      </c>
      <c r="I3841" s="22" t="s">
        <v>172</v>
      </c>
      <c r="J3841" s="22"/>
      <c r="K3841" s="24" t="s">
        <v>7995</v>
      </c>
      <c r="L3841" s="24"/>
      <c r="M3841" s="25" t="s">
        <v>1312</v>
      </c>
      <c r="N3841" s="22"/>
      <c r="O3841" s="22" t="s">
        <v>1313</v>
      </c>
      <c r="P3841" s="22" t="str">
        <f>HYPERLINK("https://ceds.ed.gov/cedselementdetails.aspx?termid=21368")</f>
        <v>https://ceds.ed.gov/cedselementdetails.aspx?termid=21368</v>
      </c>
      <c r="Q3841" s="22">
        <v>59212</v>
      </c>
    </row>
    <row r="3842" spans="1:17" ht="172.8" x14ac:dyDescent="0.3">
      <c r="A3842" s="22" t="s">
        <v>7881</v>
      </c>
      <c r="B3842" s="22" t="s">
        <v>7898</v>
      </c>
      <c r="C3842" s="22" t="s">
        <v>7899</v>
      </c>
      <c r="D3842" s="22" t="s">
        <v>7710</v>
      </c>
      <c r="E3842" s="22" t="s">
        <v>1159</v>
      </c>
      <c r="F3842" s="24" t="s">
        <v>1160</v>
      </c>
      <c r="G3842" s="23" t="s">
        <v>32</v>
      </c>
      <c r="H3842" s="22" t="s">
        <v>812</v>
      </c>
      <c r="I3842" s="22"/>
      <c r="J3842" s="22" t="s">
        <v>132</v>
      </c>
      <c r="K3842" s="24"/>
      <c r="L3842" s="24" t="s">
        <v>7945</v>
      </c>
      <c r="M3842" s="25" t="s">
        <v>1161</v>
      </c>
      <c r="N3842" s="22"/>
      <c r="O3842" s="22" t="s">
        <v>1162</v>
      </c>
      <c r="P3842" s="22" t="str">
        <f>HYPERLINK("https://ceds.ed.gov/cedselementdetails.aspx?termid=21693")</f>
        <v>https://ceds.ed.gov/cedselementdetails.aspx?termid=21693</v>
      </c>
      <c r="Q3842" s="22">
        <v>62706</v>
      </c>
    </row>
    <row r="3843" spans="1:17" ht="28.8" x14ac:dyDescent="0.3">
      <c r="A3843" s="22" t="s">
        <v>7881</v>
      </c>
      <c r="B3843" s="22" t="s">
        <v>7898</v>
      </c>
      <c r="C3843" s="22" t="s">
        <v>7899</v>
      </c>
      <c r="D3843" s="22" t="s">
        <v>7710</v>
      </c>
      <c r="E3843" s="22" t="s">
        <v>1163</v>
      </c>
      <c r="F3843" s="24" t="s">
        <v>1164</v>
      </c>
      <c r="G3843" s="23" t="s">
        <v>32</v>
      </c>
      <c r="H3843" s="22" t="s">
        <v>812</v>
      </c>
      <c r="I3843" s="22"/>
      <c r="J3843" s="22" t="s">
        <v>1165</v>
      </c>
      <c r="K3843" s="24"/>
      <c r="L3843" s="24"/>
      <c r="M3843" s="25" t="s">
        <v>1166</v>
      </c>
      <c r="N3843" s="22"/>
      <c r="O3843" s="22" t="s">
        <v>1167</v>
      </c>
      <c r="P3843" s="22" t="str">
        <f>HYPERLINK("https://ceds.ed.gov/cedselementdetails.aspx?termid=21694")</f>
        <v>https://ceds.ed.gov/cedselementdetails.aspx?termid=21694</v>
      </c>
      <c r="Q3843" s="22">
        <v>62707</v>
      </c>
    </row>
    <row r="3844" spans="1:17" ht="43.2" x14ac:dyDescent="0.3">
      <c r="A3844" s="22" t="s">
        <v>7881</v>
      </c>
      <c r="B3844" s="22" t="s">
        <v>7898</v>
      </c>
      <c r="C3844" s="22" t="s">
        <v>7899</v>
      </c>
      <c r="D3844" s="22" t="s">
        <v>7710</v>
      </c>
      <c r="E3844" s="22" t="s">
        <v>1168</v>
      </c>
      <c r="F3844" s="24" t="s">
        <v>1169</v>
      </c>
      <c r="G3844" s="23" t="s">
        <v>32</v>
      </c>
      <c r="H3844" s="24" t="s">
        <v>93</v>
      </c>
      <c r="I3844" s="22"/>
      <c r="J3844" s="22" t="s">
        <v>85</v>
      </c>
      <c r="K3844" s="24"/>
      <c r="L3844" s="24"/>
      <c r="M3844" s="25" t="s">
        <v>1170</v>
      </c>
      <c r="N3844" s="22"/>
      <c r="O3844" s="22" t="s">
        <v>1171</v>
      </c>
      <c r="P3844" s="22" t="str">
        <f>HYPERLINK("https://ceds.ed.gov/cedselementdetails.aspx?termid=21408")</f>
        <v>https://ceds.ed.gov/cedselementdetails.aspx?termid=21408</v>
      </c>
      <c r="Q3844" s="22">
        <v>62704</v>
      </c>
    </row>
    <row r="3845" spans="1:17" ht="43.2" x14ac:dyDescent="0.3">
      <c r="A3845" s="22" t="s">
        <v>7881</v>
      </c>
      <c r="B3845" s="22" t="s">
        <v>7898</v>
      </c>
      <c r="C3845" s="22" t="s">
        <v>7899</v>
      </c>
      <c r="D3845" s="22" t="s">
        <v>7710</v>
      </c>
      <c r="E3845" s="22" t="s">
        <v>1176</v>
      </c>
      <c r="F3845" s="24" t="s">
        <v>1177</v>
      </c>
      <c r="G3845" s="23" t="s">
        <v>32</v>
      </c>
      <c r="H3845" s="24" t="s">
        <v>93</v>
      </c>
      <c r="I3845" s="22"/>
      <c r="J3845" s="22" t="s">
        <v>85</v>
      </c>
      <c r="K3845" s="24"/>
      <c r="L3845" s="24"/>
      <c r="M3845" s="25" t="s">
        <v>1178</v>
      </c>
      <c r="N3845" s="22"/>
      <c r="O3845" s="22" t="s">
        <v>1179</v>
      </c>
      <c r="P3845" s="22" t="str">
        <f>HYPERLINK("https://ceds.ed.gov/cedselementdetails.aspx?termid=21409")</f>
        <v>https://ceds.ed.gov/cedselementdetails.aspx?termid=21409</v>
      </c>
      <c r="Q3845" s="22">
        <v>62705</v>
      </c>
    </row>
    <row r="3846" spans="1:17" ht="409.6" x14ac:dyDescent="0.3">
      <c r="A3846" s="22" t="s">
        <v>7881</v>
      </c>
      <c r="B3846" s="22" t="s">
        <v>7898</v>
      </c>
      <c r="C3846" s="22" t="s">
        <v>7899</v>
      </c>
      <c r="D3846" s="22" t="s">
        <v>7710</v>
      </c>
      <c r="E3846" s="22" t="s">
        <v>1172</v>
      </c>
      <c r="F3846" s="24" t="s">
        <v>1173</v>
      </c>
      <c r="G3846" s="26" t="s">
        <v>8636</v>
      </c>
      <c r="H3846" s="24" t="s">
        <v>93</v>
      </c>
      <c r="I3846" s="22"/>
      <c r="J3846" s="22" t="s">
        <v>85</v>
      </c>
      <c r="K3846" s="24"/>
      <c r="L3846" s="24"/>
      <c r="M3846" s="25" t="s">
        <v>1174</v>
      </c>
      <c r="N3846" s="22"/>
      <c r="O3846" s="22" t="s">
        <v>1175</v>
      </c>
      <c r="P3846" s="22" t="str">
        <f>HYPERLINK("https://ceds.ed.gov/cedselementdetails.aspx?termid=21407")</f>
        <v>https://ceds.ed.gov/cedselementdetails.aspx?termid=21407</v>
      </c>
      <c r="Q3846" s="22">
        <v>62703</v>
      </c>
    </row>
    <row r="3847" spans="1:17" ht="43.2" x14ac:dyDescent="0.3">
      <c r="A3847" s="22" t="s">
        <v>7881</v>
      </c>
      <c r="B3847" s="22" t="s">
        <v>7898</v>
      </c>
      <c r="C3847" s="22" t="s">
        <v>7899</v>
      </c>
      <c r="D3847" s="22" t="s">
        <v>7710</v>
      </c>
      <c r="E3847" s="22" t="s">
        <v>1154</v>
      </c>
      <c r="F3847" s="24" t="s">
        <v>1155</v>
      </c>
      <c r="G3847" s="23" t="s">
        <v>32</v>
      </c>
      <c r="H3847" s="22"/>
      <c r="I3847" s="22"/>
      <c r="J3847" s="22" t="s">
        <v>328</v>
      </c>
      <c r="K3847" s="24"/>
      <c r="L3847" s="24"/>
      <c r="M3847" s="25" t="s">
        <v>1157</v>
      </c>
      <c r="N3847" s="22"/>
      <c r="O3847" s="22" t="s">
        <v>1158</v>
      </c>
      <c r="P3847" s="22" t="str">
        <f>HYPERLINK("https://ceds.ed.gov/cedselementdetails.aspx?termid=22184")</f>
        <v>https://ceds.ed.gov/cedselementdetails.aspx?termid=22184</v>
      </c>
      <c r="Q3847" s="22">
        <v>62708</v>
      </c>
    </row>
    <row r="3848" spans="1:17" ht="72" x14ac:dyDescent="0.3">
      <c r="A3848" s="22" t="s">
        <v>7881</v>
      </c>
      <c r="B3848" s="22" t="s">
        <v>7900</v>
      </c>
      <c r="C3848" s="22"/>
      <c r="D3848" s="22" t="s">
        <v>7710</v>
      </c>
      <c r="E3848" s="22" t="s">
        <v>1282</v>
      </c>
      <c r="F3848" s="24" t="s">
        <v>8012</v>
      </c>
      <c r="G3848" s="26" t="s">
        <v>22</v>
      </c>
      <c r="H3848" s="22"/>
      <c r="I3848" s="22"/>
      <c r="J3848" s="22"/>
      <c r="K3848" s="24"/>
      <c r="L3848" s="24"/>
      <c r="M3848" s="25" t="s">
        <v>1283</v>
      </c>
      <c r="N3848" s="22"/>
      <c r="O3848" s="22" t="s">
        <v>1284</v>
      </c>
      <c r="P3848" s="22" t="str">
        <f>HYPERLINK("https://ceds.ed.gov/cedselementdetails.aspx?termid=22010")</f>
        <v>https://ceds.ed.gov/cedselementdetails.aspx?termid=22010</v>
      </c>
      <c r="Q3848" s="22">
        <v>59446</v>
      </c>
    </row>
    <row r="3849" spans="1:17" ht="172.8" x14ac:dyDescent="0.3">
      <c r="A3849" s="22" t="s">
        <v>7881</v>
      </c>
      <c r="B3849" s="22" t="s">
        <v>7900</v>
      </c>
      <c r="C3849" s="22"/>
      <c r="D3849" s="22" t="s">
        <v>7710</v>
      </c>
      <c r="E3849" s="22" t="s">
        <v>1299</v>
      </c>
      <c r="F3849" s="24" t="s">
        <v>1300</v>
      </c>
      <c r="G3849" s="23" t="s">
        <v>32</v>
      </c>
      <c r="H3849" s="24" t="s">
        <v>1304</v>
      </c>
      <c r="I3849" s="22"/>
      <c r="J3849" s="22" t="s">
        <v>1301</v>
      </c>
      <c r="K3849" s="24"/>
      <c r="L3849" s="24" t="s">
        <v>8013</v>
      </c>
      <c r="M3849" s="25" t="s">
        <v>1302</v>
      </c>
      <c r="N3849" s="22"/>
      <c r="O3849" s="22" t="s">
        <v>1303</v>
      </c>
      <c r="P3849" s="22" t="str">
        <f>HYPERLINK("https://ceds.ed.gov/cedselementdetails.aspx?termid=21245")</f>
        <v>https://ceds.ed.gov/cedselementdetails.aspx?termid=21245</v>
      </c>
      <c r="Q3849" s="22">
        <v>59227</v>
      </c>
    </row>
    <row r="3850" spans="1:17" ht="144" x14ac:dyDescent="0.3">
      <c r="A3850" s="22" t="s">
        <v>7881</v>
      </c>
      <c r="B3850" s="22" t="s">
        <v>7900</v>
      </c>
      <c r="C3850" s="22"/>
      <c r="D3850" s="22" t="s">
        <v>7710</v>
      </c>
      <c r="E3850" s="22" t="s">
        <v>1251</v>
      </c>
      <c r="F3850" s="24" t="s">
        <v>8007</v>
      </c>
      <c r="G3850" s="26" t="s">
        <v>8641</v>
      </c>
      <c r="H3850" s="22"/>
      <c r="I3850" s="22"/>
      <c r="J3850" s="22"/>
      <c r="K3850" s="24"/>
      <c r="L3850" s="24" t="s">
        <v>8008</v>
      </c>
      <c r="M3850" s="25" t="s">
        <v>1253</v>
      </c>
      <c r="N3850" s="22"/>
      <c r="O3850" s="22" t="s">
        <v>1254</v>
      </c>
      <c r="P3850" s="22" t="str">
        <f>HYPERLINK("https://ceds.ed.gov/cedselementdetails.aspx?termid=22518")</f>
        <v>https://ceds.ed.gov/cedselementdetails.aspx?termid=22518</v>
      </c>
      <c r="Q3850" s="22">
        <v>61813</v>
      </c>
    </row>
    <row r="3851" spans="1:17" ht="144" x14ac:dyDescent="0.3">
      <c r="A3851" s="22" t="s">
        <v>7881</v>
      </c>
      <c r="B3851" s="22" t="s">
        <v>7900</v>
      </c>
      <c r="C3851" s="22"/>
      <c r="D3851" s="22" t="s">
        <v>7710</v>
      </c>
      <c r="E3851" s="22" t="s">
        <v>1295</v>
      </c>
      <c r="F3851" s="24" t="s">
        <v>1296</v>
      </c>
      <c r="G3851" s="26" t="s">
        <v>8643</v>
      </c>
      <c r="H3851" s="22"/>
      <c r="I3851" s="22"/>
      <c r="J3851" s="22"/>
      <c r="K3851" s="24"/>
      <c r="L3851" s="24"/>
      <c r="M3851" s="25" t="s">
        <v>1297</v>
      </c>
      <c r="N3851" s="22"/>
      <c r="O3851" s="22" t="s">
        <v>1298</v>
      </c>
      <c r="P3851" s="22" t="str">
        <f>HYPERLINK("https://ceds.ed.gov/cedselementdetails.aspx?termid=22523")</f>
        <v>https://ceds.ed.gov/cedselementdetails.aspx?termid=22523</v>
      </c>
      <c r="Q3851" s="22">
        <v>61822</v>
      </c>
    </row>
    <row r="3852" spans="1:17" ht="57.6" x14ac:dyDescent="0.3">
      <c r="A3852" s="22" t="s">
        <v>7881</v>
      </c>
      <c r="B3852" s="22" t="s">
        <v>7900</v>
      </c>
      <c r="C3852" s="22"/>
      <c r="D3852" s="22" t="s">
        <v>7710</v>
      </c>
      <c r="E3852" s="22" t="s">
        <v>1290</v>
      </c>
      <c r="F3852" s="24" t="s">
        <v>1291</v>
      </c>
      <c r="G3852" s="23" t="s">
        <v>32</v>
      </c>
      <c r="H3852" s="22"/>
      <c r="I3852" s="22"/>
      <c r="J3852" s="22" t="s">
        <v>148</v>
      </c>
      <c r="K3852" s="24"/>
      <c r="L3852" s="24" t="s">
        <v>1292</v>
      </c>
      <c r="M3852" s="25" t="s">
        <v>1293</v>
      </c>
      <c r="N3852" s="22"/>
      <c r="O3852" s="22" t="s">
        <v>1294</v>
      </c>
      <c r="P3852" s="22" t="str">
        <f>HYPERLINK("https://ceds.ed.gov/cedselementdetails.aspx?termid=22522")</f>
        <v>https://ceds.ed.gov/cedselementdetails.aspx?termid=22522</v>
      </c>
      <c r="Q3852" s="22">
        <v>61820</v>
      </c>
    </row>
    <row r="3853" spans="1:17" ht="100.8" x14ac:dyDescent="0.3">
      <c r="A3853" s="22" t="s">
        <v>7881</v>
      </c>
      <c r="B3853" s="22" t="s">
        <v>7900</v>
      </c>
      <c r="C3853" s="22"/>
      <c r="D3853" s="22" t="s">
        <v>7710</v>
      </c>
      <c r="E3853" s="22" t="s">
        <v>1278</v>
      </c>
      <c r="F3853" s="24" t="s">
        <v>1279</v>
      </c>
      <c r="G3853" s="23" t="s">
        <v>32</v>
      </c>
      <c r="H3853" s="22"/>
      <c r="I3853" s="22"/>
      <c r="J3853" s="22" t="s">
        <v>317</v>
      </c>
      <c r="K3853" s="24"/>
      <c r="L3853" s="24"/>
      <c r="M3853" s="25" t="s">
        <v>1280</v>
      </c>
      <c r="N3853" s="22"/>
      <c r="O3853" s="22" t="s">
        <v>1281</v>
      </c>
      <c r="P3853" s="22" t="str">
        <f>HYPERLINK("https://ceds.ed.gov/cedselementdetails.aspx?termid=22012")</f>
        <v>https://ceds.ed.gov/cedselementdetails.aspx?termid=22012</v>
      </c>
      <c r="Q3853" s="22">
        <v>59448</v>
      </c>
    </row>
    <row r="3854" spans="1:17" ht="72" x14ac:dyDescent="0.3">
      <c r="A3854" s="22" t="s">
        <v>7881</v>
      </c>
      <c r="B3854" s="22" t="s">
        <v>7900</v>
      </c>
      <c r="C3854" s="22"/>
      <c r="D3854" s="22" t="s">
        <v>7710</v>
      </c>
      <c r="E3854" s="22" t="s">
        <v>1262</v>
      </c>
      <c r="F3854" s="24" t="s">
        <v>1263</v>
      </c>
      <c r="G3854" s="23" t="s">
        <v>32</v>
      </c>
      <c r="H3854" s="22" t="s">
        <v>812</v>
      </c>
      <c r="I3854" s="22"/>
      <c r="J3854" s="22" t="s">
        <v>113</v>
      </c>
      <c r="K3854" s="24"/>
      <c r="L3854" s="24"/>
      <c r="M3854" s="25" t="s">
        <v>1264</v>
      </c>
      <c r="N3854" s="22"/>
      <c r="O3854" s="22" t="s">
        <v>1265</v>
      </c>
      <c r="P3854" s="22" t="str">
        <f>HYPERLINK("https://ceds.ed.gov/cedselementdetails.aspx?termid=21890")</f>
        <v>https://ceds.ed.gov/cedselementdetails.aspx?termid=21890</v>
      </c>
      <c r="Q3854" s="22">
        <v>60341</v>
      </c>
    </row>
    <row r="3855" spans="1:17" ht="100.8" x14ac:dyDescent="0.3">
      <c r="A3855" s="22" t="s">
        <v>7881</v>
      </c>
      <c r="B3855" s="22" t="s">
        <v>7900</v>
      </c>
      <c r="C3855" s="22"/>
      <c r="D3855" s="22" t="s">
        <v>7710</v>
      </c>
      <c r="E3855" s="22" t="s">
        <v>1271</v>
      </c>
      <c r="F3855" s="24" t="s">
        <v>1272</v>
      </c>
      <c r="G3855" s="23" t="s">
        <v>32</v>
      </c>
      <c r="H3855" s="22"/>
      <c r="I3855" s="22"/>
      <c r="J3855" s="22" t="s">
        <v>157</v>
      </c>
      <c r="K3855" s="24"/>
      <c r="L3855" s="24"/>
      <c r="M3855" s="25" t="s">
        <v>1273</v>
      </c>
      <c r="N3855" s="22"/>
      <c r="O3855" s="22" t="s">
        <v>1274</v>
      </c>
      <c r="P3855" s="22" t="str">
        <f>HYPERLINK("https://ceds.ed.gov/cedselementdetails.aspx?termid=22076")</f>
        <v>https://ceds.ed.gov/cedselementdetails.aspx?termid=22076</v>
      </c>
      <c r="Q3855" s="22">
        <v>59508</v>
      </c>
    </row>
    <row r="3856" spans="1:17" ht="43.2" x14ac:dyDescent="0.3">
      <c r="A3856" s="22" t="s">
        <v>7881</v>
      </c>
      <c r="B3856" s="22" t="s">
        <v>7900</v>
      </c>
      <c r="C3856" s="22"/>
      <c r="D3856" s="22" t="s">
        <v>7710</v>
      </c>
      <c r="E3856" s="22" t="s">
        <v>1266</v>
      </c>
      <c r="F3856" s="24" t="s">
        <v>1267</v>
      </c>
      <c r="G3856" s="23" t="s">
        <v>32</v>
      </c>
      <c r="H3856" s="22"/>
      <c r="I3856" s="22"/>
      <c r="J3856" s="22" t="s">
        <v>845</v>
      </c>
      <c r="K3856" s="24"/>
      <c r="L3856" s="24"/>
      <c r="M3856" s="25" t="s">
        <v>1269</v>
      </c>
      <c r="N3856" s="22"/>
      <c r="O3856" s="22" t="s">
        <v>1270</v>
      </c>
      <c r="P3856" s="22" t="str">
        <f>HYPERLINK("https://ceds.ed.gov/cedselementdetails.aspx?termid=22520")</f>
        <v>https://ceds.ed.gov/cedselementdetails.aspx?termid=22520</v>
      </c>
      <c r="Q3856" s="22">
        <v>62118</v>
      </c>
    </row>
    <row r="3857" spans="1:17" ht="409.6" x14ac:dyDescent="0.3">
      <c r="A3857" s="22" t="s">
        <v>7881</v>
      </c>
      <c r="B3857" s="22" t="s">
        <v>7900</v>
      </c>
      <c r="C3857" s="22"/>
      <c r="D3857" s="22" t="s">
        <v>7710</v>
      </c>
      <c r="E3857" s="22" t="s">
        <v>1309</v>
      </c>
      <c r="F3857" s="24" t="s">
        <v>1310</v>
      </c>
      <c r="G3857" s="26" t="s">
        <v>8402</v>
      </c>
      <c r="H3857" s="24" t="s">
        <v>1314</v>
      </c>
      <c r="I3857" s="22" t="s">
        <v>172</v>
      </c>
      <c r="J3857" s="22"/>
      <c r="K3857" s="24" t="s">
        <v>7995</v>
      </c>
      <c r="L3857" s="24"/>
      <c r="M3857" s="25" t="s">
        <v>1312</v>
      </c>
      <c r="N3857" s="22"/>
      <c r="O3857" s="22" t="s">
        <v>1313</v>
      </c>
      <c r="P3857" s="22" t="str">
        <f>HYPERLINK("https://ceds.ed.gov/cedselementdetails.aspx?termid=21368")</f>
        <v>https://ceds.ed.gov/cedselementdetails.aspx?termid=21368</v>
      </c>
      <c r="Q3857" s="22">
        <v>59515</v>
      </c>
    </row>
    <row r="3858" spans="1:17" ht="115.2" x14ac:dyDescent="0.3">
      <c r="A3858" s="22" t="s">
        <v>7881</v>
      </c>
      <c r="B3858" s="22" t="s">
        <v>7900</v>
      </c>
      <c r="C3858" s="22"/>
      <c r="D3858" s="22" t="s">
        <v>7710</v>
      </c>
      <c r="E3858" s="22" t="s">
        <v>1259</v>
      </c>
      <c r="F3858" s="24" t="s">
        <v>8009</v>
      </c>
      <c r="G3858" s="23" t="s">
        <v>32</v>
      </c>
      <c r="H3858" s="22"/>
      <c r="I3858" s="22"/>
      <c r="J3858" s="22" t="s">
        <v>118</v>
      </c>
      <c r="K3858" s="24"/>
      <c r="L3858" s="24" t="s">
        <v>8010</v>
      </c>
      <c r="M3858" s="25" t="s">
        <v>1260</v>
      </c>
      <c r="N3858" s="22"/>
      <c r="O3858" s="22" t="s">
        <v>1261</v>
      </c>
      <c r="P3858" s="22" t="str">
        <f>HYPERLINK("https://ceds.ed.gov/cedselementdetails.aspx?termid=21971")</f>
        <v>https://ceds.ed.gov/cedselementdetails.aspx?termid=21971</v>
      </c>
      <c r="Q3858" s="22">
        <v>59422</v>
      </c>
    </row>
    <row r="3859" spans="1:17" ht="28.8" x14ac:dyDescent="0.3">
      <c r="A3859" s="22" t="s">
        <v>7881</v>
      </c>
      <c r="B3859" s="22" t="s">
        <v>7900</v>
      </c>
      <c r="C3859" s="22"/>
      <c r="D3859" s="22" t="s">
        <v>7710</v>
      </c>
      <c r="E3859" s="22" t="s">
        <v>1255</v>
      </c>
      <c r="F3859" s="24" t="s">
        <v>1256</v>
      </c>
      <c r="G3859" s="23" t="s">
        <v>32</v>
      </c>
      <c r="H3859" s="22"/>
      <c r="I3859" s="22"/>
      <c r="J3859" s="22" t="s">
        <v>118</v>
      </c>
      <c r="K3859" s="24"/>
      <c r="L3859" s="24"/>
      <c r="M3859" s="25" t="s">
        <v>1257</v>
      </c>
      <c r="N3859" s="22"/>
      <c r="O3859" s="22" t="s">
        <v>1258</v>
      </c>
      <c r="P3859" s="22" t="str">
        <f>HYPERLINK("https://ceds.ed.gov/cedselementdetails.aspx?termid=21972")</f>
        <v>https://ceds.ed.gov/cedselementdetails.aspx?termid=21972</v>
      </c>
      <c r="Q3859" s="22">
        <v>59423</v>
      </c>
    </row>
    <row r="3860" spans="1:17" ht="100.8" x14ac:dyDescent="0.3">
      <c r="A3860" s="22" t="s">
        <v>7881</v>
      </c>
      <c r="B3860" s="22" t="s">
        <v>7900</v>
      </c>
      <c r="C3860" s="22"/>
      <c r="D3860" s="22" t="s">
        <v>7710</v>
      </c>
      <c r="E3860" s="22" t="s">
        <v>1275</v>
      </c>
      <c r="F3860" s="24" t="s">
        <v>8011</v>
      </c>
      <c r="G3860" s="23" t="s">
        <v>32</v>
      </c>
      <c r="H3860" s="22"/>
      <c r="I3860" s="22"/>
      <c r="J3860" s="22" t="s">
        <v>328</v>
      </c>
      <c r="K3860" s="24"/>
      <c r="L3860" s="24"/>
      <c r="M3860" s="25" t="s">
        <v>1276</v>
      </c>
      <c r="N3860" s="22"/>
      <c r="O3860" s="22" t="s">
        <v>1277</v>
      </c>
      <c r="P3860" s="22" t="str">
        <f>HYPERLINK("https://ceds.ed.gov/cedselementdetails.aspx?termid=22185")</f>
        <v>https://ceds.ed.gov/cedselementdetails.aspx?termid=22185</v>
      </c>
      <c r="Q3860" s="22">
        <v>60844</v>
      </c>
    </row>
    <row r="3861" spans="1:17" ht="57.6" x14ac:dyDescent="0.3">
      <c r="A3861" s="22" t="s">
        <v>7881</v>
      </c>
      <c r="B3861" s="22" t="s">
        <v>7900</v>
      </c>
      <c r="C3861" s="22"/>
      <c r="D3861" s="22" t="s">
        <v>7710</v>
      </c>
      <c r="E3861" s="22" t="s">
        <v>1285</v>
      </c>
      <c r="F3861" s="24" t="s">
        <v>1286</v>
      </c>
      <c r="G3861" s="26" t="s">
        <v>8642</v>
      </c>
      <c r="H3861" s="24" t="s">
        <v>1289</v>
      </c>
      <c r="I3861" s="22"/>
      <c r="J3861" s="22"/>
      <c r="K3861" s="24"/>
      <c r="L3861" s="24"/>
      <c r="M3861" s="25" t="s">
        <v>1287</v>
      </c>
      <c r="N3861" s="22"/>
      <c r="O3861" s="22" t="s">
        <v>1288</v>
      </c>
      <c r="P3861" s="22" t="str">
        <f>HYPERLINK("https://ceds.ed.gov/cedselementdetails.aspx?termid=21564")</f>
        <v>https://ceds.ed.gov/cedselementdetails.aspx?termid=21564</v>
      </c>
      <c r="Q3861" s="22">
        <v>59224</v>
      </c>
    </row>
    <row r="3862" spans="1:17" ht="43.2" x14ac:dyDescent="0.3">
      <c r="A3862" s="22" t="s">
        <v>7881</v>
      </c>
      <c r="B3862" s="22" t="s">
        <v>7900</v>
      </c>
      <c r="C3862" s="22"/>
      <c r="D3862" s="22" t="s">
        <v>7710</v>
      </c>
      <c r="E3862" s="22" t="s">
        <v>3134</v>
      </c>
      <c r="F3862" s="24" t="s">
        <v>3135</v>
      </c>
      <c r="G3862" s="23" t="s">
        <v>32</v>
      </c>
      <c r="H3862" s="22"/>
      <c r="I3862" s="22"/>
      <c r="J3862" s="22" t="s">
        <v>113</v>
      </c>
      <c r="K3862" s="24"/>
      <c r="L3862" s="24"/>
      <c r="M3862" s="25" t="s">
        <v>3136</v>
      </c>
      <c r="N3862" s="22"/>
      <c r="O3862" s="22" t="s">
        <v>3137</v>
      </c>
      <c r="P3862" s="22" t="str">
        <f>HYPERLINK("https://ceds.ed.gov/cedselementdetails.aspx?termid=22011")</f>
        <v>https://ceds.ed.gov/cedselementdetails.aspx?termid=22011</v>
      </c>
      <c r="Q3862" s="22">
        <v>59447</v>
      </c>
    </row>
    <row r="3863" spans="1:17" ht="43.2" x14ac:dyDescent="0.3">
      <c r="A3863" s="22" t="s">
        <v>7881</v>
      </c>
      <c r="B3863" s="22" t="s">
        <v>7900</v>
      </c>
      <c r="C3863" s="22"/>
      <c r="D3863" s="22" t="s">
        <v>7710</v>
      </c>
      <c r="E3863" s="22" t="s">
        <v>4810</v>
      </c>
      <c r="F3863" s="24" t="s">
        <v>4811</v>
      </c>
      <c r="G3863" s="23" t="s">
        <v>32</v>
      </c>
      <c r="H3863" s="24" t="s">
        <v>638</v>
      </c>
      <c r="I3863" s="22"/>
      <c r="J3863" s="22" t="s">
        <v>780</v>
      </c>
      <c r="K3863" s="24"/>
      <c r="L3863" s="24"/>
      <c r="M3863" s="25" t="s">
        <v>4812</v>
      </c>
      <c r="N3863" s="22"/>
      <c r="O3863" s="22" t="s">
        <v>4813</v>
      </c>
      <c r="P3863" s="22" t="str">
        <f>HYPERLINK("https://ceds.ed.gov/cedselementdetails.aspx?termid=21369")</f>
        <v>https://ceds.ed.gov/cedselementdetails.aspx?termid=21369</v>
      </c>
      <c r="Q3863" s="22">
        <v>61027</v>
      </c>
    </row>
    <row r="3864" spans="1:17" ht="158.4" x14ac:dyDescent="0.3">
      <c r="A3864" s="22" t="s">
        <v>7881</v>
      </c>
      <c r="B3864" s="22" t="s">
        <v>7900</v>
      </c>
      <c r="C3864" s="22" t="s">
        <v>7901</v>
      </c>
      <c r="D3864" s="22" t="s">
        <v>7710</v>
      </c>
      <c r="E3864" s="22" t="s">
        <v>4050</v>
      </c>
      <c r="F3864" s="24" t="s">
        <v>4051</v>
      </c>
      <c r="G3864" s="23" t="s">
        <v>32</v>
      </c>
      <c r="H3864" s="24" t="s">
        <v>4054</v>
      </c>
      <c r="I3864" s="22"/>
      <c r="J3864" s="22" t="s">
        <v>7536</v>
      </c>
      <c r="K3864" s="24"/>
      <c r="L3864" s="24" t="s">
        <v>8200</v>
      </c>
      <c r="M3864" s="25" t="s">
        <v>4052</v>
      </c>
      <c r="N3864" s="22"/>
      <c r="O3864" s="22" t="s">
        <v>4053</v>
      </c>
      <c r="P3864" s="22" t="str">
        <f>HYPERLINK("https://ceds.ed.gov/cedselementdetails.aspx?termid=21115")</f>
        <v>https://ceds.ed.gov/cedselementdetails.aspx?termid=21115</v>
      </c>
      <c r="Q3864" s="22">
        <v>61860</v>
      </c>
    </row>
    <row r="3865" spans="1:17" ht="158.4" x14ac:dyDescent="0.3">
      <c r="A3865" s="22" t="s">
        <v>7881</v>
      </c>
      <c r="B3865" s="22" t="s">
        <v>7900</v>
      </c>
      <c r="C3865" s="22" t="s">
        <v>7901</v>
      </c>
      <c r="D3865" s="22" t="s">
        <v>7710</v>
      </c>
      <c r="E3865" s="22" t="s">
        <v>4973</v>
      </c>
      <c r="F3865" s="24" t="s">
        <v>4974</v>
      </c>
      <c r="G3865" s="23" t="s">
        <v>32</v>
      </c>
      <c r="H3865" s="24" t="s">
        <v>4054</v>
      </c>
      <c r="I3865" s="22"/>
      <c r="J3865" s="22" t="s">
        <v>7536</v>
      </c>
      <c r="K3865" s="24"/>
      <c r="L3865" s="24" t="s">
        <v>8207</v>
      </c>
      <c r="M3865" s="25" t="s">
        <v>4975</v>
      </c>
      <c r="N3865" s="22" t="s">
        <v>4976</v>
      </c>
      <c r="O3865" s="22" t="s">
        <v>4977</v>
      </c>
      <c r="P3865" s="22" t="str">
        <f>HYPERLINK("https://ceds.ed.gov/cedselementdetails.aspx?termid=21172")</f>
        <v>https://ceds.ed.gov/cedselementdetails.aspx?termid=21172</v>
      </c>
      <c r="Q3865" s="22">
        <v>61864</v>
      </c>
    </row>
    <row r="3866" spans="1:17" ht="172.8" x14ac:dyDescent="0.3">
      <c r="A3866" s="22" t="s">
        <v>7881</v>
      </c>
      <c r="B3866" s="22" t="s">
        <v>7900</v>
      </c>
      <c r="C3866" s="22" t="s">
        <v>7901</v>
      </c>
      <c r="D3866" s="22" t="s">
        <v>7710</v>
      </c>
      <c r="E3866" s="22" t="s">
        <v>5835</v>
      </c>
      <c r="F3866" s="24" t="s">
        <v>5836</v>
      </c>
      <c r="G3866" s="23" t="s">
        <v>32</v>
      </c>
      <c r="H3866" s="22"/>
      <c r="I3866" s="22" t="s">
        <v>172</v>
      </c>
      <c r="J3866" s="22" t="s">
        <v>132</v>
      </c>
      <c r="K3866" s="24" t="s">
        <v>7946</v>
      </c>
      <c r="L3866" s="24" t="s">
        <v>8043</v>
      </c>
      <c r="M3866" s="25" t="s">
        <v>5837</v>
      </c>
      <c r="N3866" s="22"/>
      <c r="O3866" s="22" t="s">
        <v>5838</v>
      </c>
      <c r="P3866" s="22" t="str">
        <f>HYPERLINK("https://ceds.ed.gov/cedselementdetails.aspx?termid=22551")</f>
        <v>https://ceds.ed.gov/cedselementdetails.aspx?termid=22551</v>
      </c>
      <c r="Q3866" s="22">
        <v>61911</v>
      </c>
    </row>
    <row r="3867" spans="1:17" ht="259.2" x14ac:dyDescent="0.3">
      <c r="A3867" s="22" t="s">
        <v>7881</v>
      </c>
      <c r="B3867" s="22" t="s">
        <v>7900</v>
      </c>
      <c r="C3867" s="22" t="s">
        <v>7901</v>
      </c>
      <c r="D3867" s="22" t="s">
        <v>7710</v>
      </c>
      <c r="E3867" s="22" t="s">
        <v>5831</v>
      </c>
      <c r="F3867" s="24" t="s">
        <v>5832</v>
      </c>
      <c r="G3867" s="26" t="s">
        <v>8494</v>
      </c>
      <c r="H3867" s="22"/>
      <c r="I3867" s="22" t="s">
        <v>172</v>
      </c>
      <c r="J3867" s="22"/>
      <c r="K3867" s="24" t="s">
        <v>7946</v>
      </c>
      <c r="L3867" s="24"/>
      <c r="M3867" s="25" t="s">
        <v>5833</v>
      </c>
      <c r="N3867" s="22"/>
      <c r="O3867" s="22" t="s">
        <v>5834</v>
      </c>
      <c r="P3867" s="22" t="str">
        <f>HYPERLINK("https://ceds.ed.gov/cedselementdetails.aspx?termid=22550")</f>
        <v>https://ceds.ed.gov/cedselementdetails.aspx?termid=22550</v>
      </c>
      <c r="Q3867" s="22">
        <v>61906</v>
      </c>
    </row>
    <row r="3868" spans="1:17" ht="172.8" x14ac:dyDescent="0.3">
      <c r="A3868" s="22" t="s">
        <v>7881</v>
      </c>
      <c r="B3868" s="22" t="s">
        <v>7900</v>
      </c>
      <c r="C3868" s="22" t="s">
        <v>7899</v>
      </c>
      <c r="D3868" s="22" t="s">
        <v>7710</v>
      </c>
      <c r="E3868" s="22" t="s">
        <v>1159</v>
      </c>
      <c r="F3868" s="24" t="s">
        <v>1160</v>
      </c>
      <c r="G3868" s="23" t="s">
        <v>32</v>
      </c>
      <c r="H3868" s="22" t="s">
        <v>812</v>
      </c>
      <c r="I3868" s="22"/>
      <c r="J3868" s="22" t="s">
        <v>132</v>
      </c>
      <c r="K3868" s="24"/>
      <c r="L3868" s="24" t="s">
        <v>7945</v>
      </c>
      <c r="M3868" s="25" t="s">
        <v>1161</v>
      </c>
      <c r="N3868" s="22"/>
      <c r="O3868" s="22" t="s">
        <v>1162</v>
      </c>
      <c r="P3868" s="22" t="str">
        <f>HYPERLINK("https://ceds.ed.gov/cedselementdetails.aspx?termid=21693")</f>
        <v>https://ceds.ed.gov/cedselementdetails.aspx?termid=21693</v>
      </c>
      <c r="Q3868" s="22">
        <v>62700</v>
      </c>
    </row>
    <row r="3869" spans="1:17" ht="28.8" x14ac:dyDescent="0.3">
      <c r="A3869" s="22" t="s">
        <v>7881</v>
      </c>
      <c r="B3869" s="22" t="s">
        <v>7900</v>
      </c>
      <c r="C3869" s="22" t="s">
        <v>7899</v>
      </c>
      <c r="D3869" s="22" t="s">
        <v>7710</v>
      </c>
      <c r="E3869" s="22" t="s">
        <v>1163</v>
      </c>
      <c r="F3869" s="24" t="s">
        <v>1164</v>
      </c>
      <c r="G3869" s="23" t="s">
        <v>32</v>
      </c>
      <c r="H3869" s="22" t="s">
        <v>812</v>
      </c>
      <c r="I3869" s="22"/>
      <c r="J3869" s="22" t="s">
        <v>1165</v>
      </c>
      <c r="K3869" s="24"/>
      <c r="L3869" s="24"/>
      <c r="M3869" s="25" t="s">
        <v>1166</v>
      </c>
      <c r="N3869" s="22"/>
      <c r="O3869" s="22" t="s">
        <v>1167</v>
      </c>
      <c r="P3869" s="22" t="str">
        <f>HYPERLINK("https://ceds.ed.gov/cedselementdetails.aspx?termid=21694")</f>
        <v>https://ceds.ed.gov/cedselementdetails.aspx?termid=21694</v>
      </c>
      <c r="Q3869" s="22">
        <v>62701</v>
      </c>
    </row>
    <row r="3870" spans="1:17" ht="43.2" x14ac:dyDescent="0.3">
      <c r="A3870" s="22" t="s">
        <v>7881</v>
      </c>
      <c r="B3870" s="22" t="s">
        <v>7900</v>
      </c>
      <c r="C3870" s="22" t="s">
        <v>7899</v>
      </c>
      <c r="D3870" s="22" t="s">
        <v>7710</v>
      </c>
      <c r="E3870" s="22" t="s">
        <v>1168</v>
      </c>
      <c r="F3870" s="24" t="s">
        <v>1169</v>
      </c>
      <c r="G3870" s="23" t="s">
        <v>32</v>
      </c>
      <c r="H3870" s="24" t="s">
        <v>93</v>
      </c>
      <c r="I3870" s="22"/>
      <c r="J3870" s="22" t="s">
        <v>85</v>
      </c>
      <c r="K3870" s="24"/>
      <c r="L3870" s="24"/>
      <c r="M3870" s="25" t="s">
        <v>1170</v>
      </c>
      <c r="N3870" s="22"/>
      <c r="O3870" s="22" t="s">
        <v>1171</v>
      </c>
      <c r="P3870" s="22" t="str">
        <f>HYPERLINK("https://ceds.ed.gov/cedselementdetails.aspx?termid=21408")</f>
        <v>https://ceds.ed.gov/cedselementdetails.aspx?termid=21408</v>
      </c>
      <c r="Q3870" s="22">
        <v>62698</v>
      </c>
    </row>
    <row r="3871" spans="1:17" ht="43.2" x14ac:dyDescent="0.3">
      <c r="A3871" s="22" t="s">
        <v>7881</v>
      </c>
      <c r="B3871" s="22" t="s">
        <v>7900</v>
      </c>
      <c r="C3871" s="22" t="s">
        <v>7899</v>
      </c>
      <c r="D3871" s="22" t="s">
        <v>7710</v>
      </c>
      <c r="E3871" s="22" t="s">
        <v>1176</v>
      </c>
      <c r="F3871" s="24" t="s">
        <v>1177</v>
      </c>
      <c r="G3871" s="23" t="s">
        <v>32</v>
      </c>
      <c r="H3871" s="24" t="s">
        <v>93</v>
      </c>
      <c r="I3871" s="22"/>
      <c r="J3871" s="22" t="s">
        <v>85</v>
      </c>
      <c r="K3871" s="24"/>
      <c r="L3871" s="24"/>
      <c r="M3871" s="25" t="s">
        <v>1178</v>
      </c>
      <c r="N3871" s="22"/>
      <c r="O3871" s="22" t="s">
        <v>1179</v>
      </c>
      <c r="P3871" s="22" t="str">
        <f>HYPERLINK("https://ceds.ed.gov/cedselementdetails.aspx?termid=21409")</f>
        <v>https://ceds.ed.gov/cedselementdetails.aspx?termid=21409</v>
      </c>
      <c r="Q3871" s="22">
        <v>62699</v>
      </c>
    </row>
    <row r="3872" spans="1:17" ht="409.6" x14ac:dyDescent="0.3">
      <c r="A3872" s="22" t="s">
        <v>7881</v>
      </c>
      <c r="B3872" s="22" t="s">
        <v>7900</v>
      </c>
      <c r="C3872" s="22" t="s">
        <v>7899</v>
      </c>
      <c r="D3872" s="22" t="s">
        <v>7710</v>
      </c>
      <c r="E3872" s="22" t="s">
        <v>1172</v>
      </c>
      <c r="F3872" s="24" t="s">
        <v>1173</v>
      </c>
      <c r="G3872" s="26" t="s">
        <v>8636</v>
      </c>
      <c r="H3872" s="24" t="s">
        <v>93</v>
      </c>
      <c r="I3872" s="22"/>
      <c r="J3872" s="22" t="s">
        <v>85</v>
      </c>
      <c r="K3872" s="24"/>
      <c r="L3872" s="24"/>
      <c r="M3872" s="25" t="s">
        <v>1174</v>
      </c>
      <c r="N3872" s="22"/>
      <c r="O3872" s="22" t="s">
        <v>1175</v>
      </c>
      <c r="P3872" s="22" t="str">
        <f>HYPERLINK("https://ceds.ed.gov/cedselementdetails.aspx?termid=21407")</f>
        <v>https://ceds.ed.gov/cedselementdetails.aspx?termid=21407</v>
      </c>
      <c r="Q3872" s="22">
        <v>62697</v>
      </c>
    </row>
    <row r="3873" spans="1:17" ht="43.2" x14ac:dyDescent="0.3">
      <c r="A3873" s="22" t="s">
        <v>7881</v>
      </c>
      <c r="B3873" s="22" t="s">
        <v>7900</v>
      </c>
      <c r="C3873" s="22" t="s">
        <v>7899</v>
      </c>
      <c r="D3873" s="22" t="s">
        <v>7710</v>
      </c>
      <c r="E3873" s="22" t="s">
        <v>1154</v>
      </c>
      <c r="F3873" s="24" t="s">
        <v>1155</v>
      </c>
      <c r="G3873" s="23" t="s">
        <v>32</v>
      </c>
      <c r="H3873" s="22"/>
      <c r="I3873" s="22"/>
      <c r="J3873" s="22" t="s">
        <v>328</v>
      </c>
      <c r="K3873" s="24"/>
      <c r="L3873" s="24"/>
      <c r="M3873" s="25" t="s">
        <v>1157</v>
      </c>
      <c r="N3873" s="22"/>
      <c r="O3873" s="22" t="s">
        <v>1158</v>
      </c>
      <c r="P3873" s="22" t="str">
        <f>HYPERLINK("https://ceds.ed.gov/cedselementdetails.aspx?termid=22184")</f>
        <v>https://ceds.ed.gov/cedselementdetails.aspx?termid=22184</v>
      </c>
      <c r="Q3873" s="22">
        <v>62702</v>
      </c>
    </row>
    <row r="3874" spans="1:17" ht="57.6" x14ac:dyDescent="0.3">
      <c r="A3874" s="22" t="s">
        <v>7881</v>
      </c>
      <c r="B3874" s="22" t="s">
        <v>7902</v>
      </c>
      <c r="C3874" s="22"/>
      <c r="D3874" s="22" t="s">
        <v>7710</v>
      </c>
      <c r="E3874" s="22" t="s">
        <v>1246</v>
      </c>
      <c r="F3874" s="24" t="s">
        <v>1247</v>
      </c>
      <c r="G3874" s="23" t="s">
        <v>32</v>
      </c>
      <c r="H3874" s="22"/>
      <c r="I3874" s="22"/>
      <c r="J3874" s="22" t="s">
        <v>113</v>
      </c>
      <c r="K3874" s="24"/>
      <c r="L3874" s="24" t="s">
        <v>1248</v>
      </c>
      <c r="M3874" s="25" t="s">
        <v>1249</v>
      </c>
      <c r="N3874" s="22"/>
      <c r="O3874" s="22" t="s">
        <v>1250</v>
      </c>
      <c r="P3874" s="22" t="str">
        <f>HYPERLINK("https://ceds.ed.gov/cedselementdetails.aspx?termid=22061")</f>
        <v>https://ceds.ed.gov/cedselementdetails.aspx?termid=22061</v>
      </c>
      <c r="Q3874" s="22">
        <v>59496</v>
      </c>
    </row>
    <row r="3875" spans="1:17" ht="115.2" x14ac:dyDescent="0.3">
      <c r="A3875" s="22" t="s">
        <v>7881</v>
      </c>
      <c r="B3875" s="22" t="s">
        <v>7902</v>
      </c>
      <c r="C3875" s="22"/>
      <c r="D3875" s="22" t="s">
        <v>7710</v>
      </c>
      <c r="E3875" s="22" t="s">
        <v>617</v>
      </c>
      <c r="F3875" s="24" t="s">
        <v>618</v>
      </c>
      <c r="G3875" s="26" t="s">
        <v>8612</v>
      </c>
      <c r="H3875" s="24" t="s">
        <v>622</v>
      </c>
      <c r="I3875" s="22"/>
      <c r="J3875" s="22"/>
      <c r="K3875" s="24"/>
      <c r="L3875" s="24"/>
      <c r="M3875" s="25" t="s">
        <v>620</v>
      </c>
      <c r="N3875" s="22"/>
      <c r="O3875" s="22" t="s">
        <v>621</v>
      </c>
      <c r="P3875" s="22" t="str">
        <f>HYPERLINK("https://ceds.ed.gov/cedselementdetails.aspx?termid=21158")</f>
        <v>https://ceds.ed.gov/cedselementdetails.aspx?termid=21158</v>
      </c>
      <c r="Q3875" s="22">
        <v>61785</v>
      </c>
    </row>
    <row r="3876" spans="1:17" x14ac:dyDescent="0.3">
      <c r="A3876" s="22" t="s">
        <v>7881</v>
      </c>
      <c r="B3876" s="22" t="s">
        <v>7902</v>
      </c>
      <c r="C3876" s="22"/>
      <c r="D3876" s="22" t="s">
        <v>7710</v>
      </c>
      <c r="E3876" s="22" t="s">
        <v>1213</v>
      </c>
      <c r="F3876" s="24" t="s">
        <v>1214</v>
      </c>
      <c r="G3876" s="23" t="s">
        <v>32</v>
      </c>
      <c r="H3876" s="22"/>
      <c r="I3876" s="22"/>
      <c r="J3876" s="22" t="s">
        <v>845</v>
      </c>
      <c r="K3876" s="24"/>
      <c r="L3876" s="24"/>
      <c r="M3876" s="25" t="s">
        <v>1215</v>
      </c>
      <c r="N3876" s="22"/>
      <c r="O3876" s="22" t="s">
        <v>1216</v>
      </c>
      <c r="P3876" s="22" t="str">
        <f>HYPERLINK("https://ceds.ed.gov/cedselementdetails.aspx?termid=22019")</f>
        <v>https://ceds.ed.gov/cedselementdetails.aspx?termid=22019</v>
      </c>
      <c r="Q3876" s="22">
        <v>59455</v>
      </c>
    </row>
    <row r="3877" spans="1:17" ht="72" x14ac:dyDescent="0.3">
      <c r="A3877" s="22" t="s">
        <v>7881</v>
      </c>
      <c r="B3877" s="22" t="s">
        <v>7902</v>
      </c>
      <c r="C3877" s="22"/>
      <c r="D3877" s="22" t="s">
        <v>7710</v>
      </c>
      <c r="E3877" s="22" t="s">
        <v>1235</v>
      </c>
      <c r="F3877" s="24" t="s">
        <v>1236</v>
      </c>
      <c r="G3877" s="26" t="s">
        <v>22</v>
      </c>
      <c r="H3877" s="22"/>
      <c r="I3877" s="22"/>
      <c r="J3877" s="22"/>
      <c r="K3877" s="24"/>
      <c r="L3877" s="24"/>
      <c r="M3877" s="25" t="s">
        <v>1237</v>
      </c>
      <c r="N3877" s="22"/>
      <c r="O3877" s="22" t="s">
        <v>1238</v>
      </c>
      <c r="P3877" s="22" t="str">
        <f>HYPERLINK("https://ceds.ed.gov/cedselementdetails.aspx?termid=22018")</f>
        <v>https://ceds.ed.gov/cedselementdetails.aspx?termid=22018</v>
      </c>
      <c r="Q3877" s="22">
        <v>59454</v>
      </c>
    </row>
    <row r="3878" spans="1:17" ht="244.8" x14ac:dyDescent="0.3">
      <c r="A3878" s="22" t="s">
        <v>7881</v>
      </c>
      <c r="B3878" s="22" t="s">
        <v>7902</v>
      </c>
      <c r="C3878" s="22"/>
      <c r="D3878" s="22" t="s">
        <v>7710</v>
      </c>
      <c r="E3878" s="22" t="s">
        <v>1242</v>
      </c>
      <c r="F3878" s="24" t="s">
        <v>1243</v>
      </c>
      <c r="G3878" s="23" t="s">
        <v>32</v>
      </c>
      <c r="H3878" s="22"/>
      <c r="I3878" s="22"/>
      <c r="J3878" s="22" t="s">
        <v>132</v>
      </c>
      <c r="K3878" s="24"/>
      <c r="L3878" s="24" t="s">
        <v>8006</v>
      </c>
      <c r="M3878" s="25" t="s">
        <v>1244</v>
      </c>
      <c r="N3878" s="22"/>
      <c r="O3878" s="22" t="s">
        <v>1245</v>
      </c>
      <c r="P3878" s="22" t="str">
        <f>HYPERLINK("https://ceds.ed.gov/cedselementdetails.aspx?termid=22119")</f>
        <v>https://ceds.ed.gov/cedselementdetails.aspx?termid=22119</v>
      </c>
      <c r="Q3878" s="22">
        <v>60477</v>
      </c>
    </row>
    <row r="3879" spans="1:17" ht="144" x14ac:dyDescent="0.3">
      <c r="A3879" s="22" t="s">
        <v>7881</v>
      </c>
      <c r="B3879" s="22" t="s">
        <v>7902</v>
      </c>
      <c r="C3879" s="22"/>
      <c r="D3879" s="22" t="s">
        <v>7710</v>
      </c>
      <c r="E3879" s="22" t="s">
        <v>410</v>
      </c>
      <c r="F3879" s="24" t="s">
        <v>411</v>
      </c>
      <c r="G3879" s="26" t="s">
        <v>8606</v>
      </c>
      <c r="H3879" s="24" t="s">
        <v>93</v>
      </c>
      <c r="I3879" s="22"/>
      <c r="J3879" s="22"/>
      <c r="K3879" s="24"/>
      <c r="L3879" s="24"/>
      <c r="M3879" s="25" t="s">
        <v>413</v>
      </c>
      <c r="N3879" s="22"/>
      <c r="O3879" s="22" t="s">
        <v>414</v>
      </c>
      <c r="P3879" s="22" t="str">
        <f>HYPERLINK("https://ceds.ed.gov/cedselementdetails.aspx?termid=21374")</f>
        <v>https://ceds.ed.gov/cedselementdetails.aspx?termid=21374</v>
      </c>
      <c r="Q3879" s="22">
        <v>59220</v>
      </c>
    </row>
    <row r="3880" spans="1:17" ht="43.2" x14ac:dyDescent="0.3">
      <c r="A3880" s="22" t="s">
        <v>7881</v>
      </c>
      <c r="B3880" s="22" t="s">
        <v>7902</v>
      </c>
      <c r="C3880" s="22"/>
      <c r="D3880" s="22" t="s">
        <v>7710</v>
      </c>
      <c r="E3880" s="22" t="s">
        <v>82</v>
      </c>
      <c r="F3880" s="24" t="s">
        <v>83</v>
      </c>
      <c r="G3880" s="23" t="s">
        <v>32</v>
      </c>
      <c r="H3880" s="22"/>
      <c r="I3880" s="22"/>
      <c r="J3880" s="22" t="s">
        <v>85</v>
      </c>
      <c r="K3880" s="24"/>
      <c r="L3880" s="24"/>
      <c r="M3880" s="25" t="s">
        <v>86</v>
      </c>
      <c r="N3880" s="22"/>
      <c r="O3880" s="22" t="s">
        <v>87</v>
      </c>
      <c r="P3880" s="22" t="str">
        <f>HYPERLINK("https://ceds.ed.gov/cedselementdetails.aspx?termid=22116")</f>
        <v>https://ceds.ed.gov/cedselementdetails.aspx?termid=22116</v>
      </c>
      <c r="Q3880" s="22">
        <v>60701</v>
      </c>
    </row>
    <row r="3881" spans="1:17" ht="172.8" x14ac:dyDescent="0.3">
      <c r="A3881" s="22" t="s">
        <v>7881</v>
      </c>
      <c r="B3881" s="22" t="s">
        <v>7902</v>
      </c>
      <c r="C3881" s="22"/>
      <c r="D3881" s="22" t="s">
        <v>7710</v>
      </c>
      <c r="E3881" s="22" t="s">
        <v>6625</v>
      </c>
      <c r="F3881" s="24" t="s">
        <v>280</v>
      </c>
      <c r="G3881" s="23" t="s">
        <v>32</v>
      </c>
      <c r="H3881" s="24" t="s">
        <v>6624</v>
      </c>
      <c r="I3881" s="22" t="s">
        <v>172</v>
      </c>
      <c r="J3881" s="22" t="s">
        <v>132</v>
      </c>
      <c r="K3881" s="24" t="s">
        <v>7946</v>
      </c>
      <c r="L3881" s="24" t="s">
        <v>7945</v>
      </c>
      <c r="M3881" s="25" t="s">
        <v>6626</v>
      </c>
      <c r="N3881" s="22"/>
      <c r="O3881" s="22" t="s">
        <v>6627</v>
      </c>
      <c r="P3881" s="22" t="str">
        <f>HYPERLINK("https://ceds.ed.gov/cedselementdetails.aspx?termid=21155")</f>
        <v>https://ceds.ed.gov/cedselementdetails.aspx?termid=21155</v>
      </c>
      <c r="Q3881" s="22">
        <v>59588</v>
      </c>
    </row>
    <row r="3882" spans="1:17" ht="187.2" x14ac:dyDescent="0.3">
      <c r="A3882" s="22" t="s">
        <v>7881</v>
      </c>
      <c r="B3882" s="22" t="s">
        <v>7902</v>
      </c>
      <c r="C3882" s="22"/>
      <c r="D3882" s="22" t="s">
        <v>7710</v>
      </c>
      <c r="E3882" s="22" t="s">
        <v>6621</v>
      </c>
      <c r="F3882" s="24" t="s">
        <v>275</v>
      </c>
      <c r="G3882" s="26" t="s">
        <v>8521</v>
      </c>
      <c r="H3882" s="24" t="s">
        <v>6624</v>
      </c>
      <c r="I3882" s="22" t="s">
        <v>172</v>
      </c>
      <c r="J3882" s="22"/>
      <c r="K3882" s="24" t="s">
        <v>7946</v>
      </c>
      <c r="L3882" s="24"/>
      <c r="M3882" s="25" t="s">
        <v>6622</v>
      </c>
      <c r="N3882" s="22"/>
      <c r="O3882" s="22" t="s">
        <v>6623</v>
      </c>
      <c r="P3882" s="22" t="str">
        <f>HYPERLINK("https://ceds.ed.gov/cedselementdetails.aspx?termid=21161")</f>
        <v>https://ceds.ed.gov/cedselementdetails.aspx?termid=21161</v>
      </c>
      <c r="Q3882" s="22">
        <v>59585</v>
      </c>
    </row>
    <row r="3883" spans="1:17" ht="172.8" x14ac:dyDescent="0.3">
      <c r="A3883" s="22" t="s">
        <v>7881</v>
      </c>
      <c r="B3883" s="22" t="s">
        <v>7902</v>
      </c>
      <c r="C3883" s="22"/>
      <c r="D3883" s="22" t="s">
        <v>7710</v>
      </c>
      <c r="E3883" s="22" t="s">
        <v>5343</v>
      </c>
      <c r="F3883" s="24" t="s">
        <v>5344</v>
      </c>
      <c r="G3883" s="23" t="s">
        <v>32</v>
      </c>
      <c r="H3883" s="24" t="s">
        <v>5342</v>
      </c>
      <c r="I3883" s="22" t="s">
        <v>172</v>
      </c>
      <c r="J3883" s="22" t="s">
        <v>132</v>
      </c>
      <c r="K3883" s="24" t="s">
        <v>7946</v>
      </c>
      <c r="L3883" s="24" t="s">
        <v>8043</v>
      </c>
      <c r="M3883" s="25" t="s">
        <v>5345</v>
      </c>
      <c r="N3883" s="22" t="s">
        <v>5346</v>
      </c>
      <c r="O3883" s="22" t="s">
        <v>5347</v>
      </c>
      <c r="P3883" s="22" t="str">
        <f>HYPERLINK("https://ceds.ed.gov/cedselementdetails.aspx?termid=21153")</f>
        <v>https://ceds.ed.gov/cedselementdetails.aspx?termid=21153</v>
      </c>
      <c r="Q3883" s="22">
        <v>59594</v>
      </c>
    </row>
    <row r="3884" spans="1:17" ht="172.8" x14ac:dyDescent="0.3">
      <c r="A3884" s="22" t="s">
        <v>7881</v>
      </c>
      <c r="B3884" s="22" t="s">
        <v>7902</v>
      </c>
      <c r="C3884" s="22"/>
      <c r="D3884" s="22" t="s">
        <v>7710</v>
      </c>
      <c r="E3884" s="22" t="s">
        <v>5337</v>
      </c>
      <c r="F3884" s="24" t="s">
        <v>5338</v>
      </c>
      <c r="G3884" s="26" t="s">
        <v>8472</v>
      </c>
      <c r="H3884" s="24" t="s">
        <v>5342</v>
      </c>
      <c r="I3884" s="22" t="s">
        <v>172</v>
      </c>
      <c r="J3884" s="22"/>
      <c r="K3884" s="24" t="s">
        <v>7946</v>
      </c>
      <c r="L3884" s="24"/>
      <c r="M3884" s="25" t="s">
        <v>5339</v>
      </c>
      <c r="N3884" s="22" t="s">
        <v>5340</v>
      </c>
      <c r="O3884" s="22" t="s">
        <v>5341</v>
      </c>
      <c r="P3884" s="22" t="str">
        <f>HYPERLINK("https://ceds.ed.gov/cedselementdetails.aspx?termid=21159")</f>
        <v>https://ceds.ed.gov/cedselementdetails.aspx?termid=21159</v>
      </c>
      <c r="Q3884" s="22">
        <v>59591</v>
      </c>
    </row>
    <row r="3885" spans="1:17" ht="172.8" x14ac:dyDescent="0.3">
      <c r="A3885" s="22" t="s">
        <v>7881</v>
      </c>
      <c r="B3885" s="22" t="s">
        <v>7902</v>
      </c>
      <c r="C3885" s="22"/>
      <c r="D3885" s="22" t="s">
        <v>7710</v>
      </c>
      <c r="E3885" s="22" t="s">
        <v>6949</v>
      </c>
      <c r="F3885" s="24" t="s">
        <v>6950</v>
      </c>
      <c r="G3885" s="23" t="s">
        <v>32</v>
      </c>
      <c r="H3885" s="22"/>
      <c r="I3885" s="22" t="s">
        <v>172</v>
      </c>
      <c r="J3885" s="22" t="s">
        <v>132</v>
      </c>
      <c r="K3885" s="24" t="s">
        <v>7946</v>
      </c>
      <c r="L3885" s="24" t="s">
        <v>8043</v>
      </c>
      <c r="M3885" s="25" t="s">
        <v>6951</v>
      </c>
      <c r="N3885" s="22"/>
      <c r="O3885" s="22" t="s">
        <v>6952</v>
      </c>
      <c r="P3885" s="22" t="str">
        <f>HYPERLINK("https://ceds.ed.gov/cedselementdetails.aspx?termid=22462")</f>
        <v>https://ceds.ed.gov/cedselementdetails.aspx?termid=22462</v>
      </c>
      <c r="Q3885" s="22">
        <v>61921</v>
      </c>
    </row>
    <row r="3886" spans="1:17" ht="100.8" x14ac:dyDescent="0.3">
      <c r="A3886" s="22" t="s">
        <v>7881</v>
      </c>
      <c r="B3886" s="22" t="s">
        <v>7902</v>
      </c>
      <c r="C3886" s="22"/>
      <c r="D3886" s="22" t="s">
        <v>7710</v>
      </c>
      <c r="E3886" s="22" t="s">
        <v>6946</v>
      </c>
      <c r="F3886" s="24" t="s">
        <v>8328</v>
      </c>
      <c r="G3886" s="26" t="s">
        <v>8534</v>
      </c>
      <c r="H3886" s="22"/>
      <c r="I3886" s="22" t="s">
        <v>172</v>
      </c>
      <c r="J3886" s="22"/>
      <c r="K3886" s="24" t="s">
        <v>8329</v>
      </c>
      <c r="L3886" s="24"/>
      <c r="M3886" s="25" t="s">
        <v>6947</v>
      </c>
      <c r="N3886" s="22"/>
      <c r="O3886" s="22" t="s">
        <v>6948</v>
      </c>
      <c r="P3886" s="22" t="str">
        <f>HYPERLINK("https://ceds.ed.gov/cedselementdetails.aspx?termid=22463")</f>
        <v>https://ceds.ed.gov/cedselementdetails.aspx?termid=22463</v>
      </c>
      <c r="Q3886" s="22">
        <v>61920</v>
      </c>
    </row>
    <row r="3887" spans="1:17" ht="43.2" x14ac:dyDescent="0.3">
      <c r="A3887" s="22" t="s">
        <v>7881</v>
      </c>
      <c r="B3887" s="22" t="s">
        <v>7902</v>
      </c>
      <c r="C3887" s="22"/>
      <c r="D3887" s="22" t="s">
        <v>7710</v>
      </c>
      <c r="E3887" s="22" t="s">
        <v>546</v>
      </c>
      <c r="F3887" s="24" t="s">
        <v>547</v>
      </c>
      <c r="G3887" s="23" t="s">
        <v>32</v>
      </c>
      <c r="H3887" s="24" t="s">
        <v>93</v>
      </c>
      <c r="I3887" s="22"/>
      <c r="J3887" s="22" t="s">
        <v>85</v>
      </c>
      <c r="K3887" s="24"/>
      <c r="L3887" s="24"/>
      <c r="M3887" s="25" t="s">
        <v>549</v>
      </c>
      <c r="N3887" s="22"/>
      <c r="O3887" s="22" t="s">
        <v>550</v>
      </c>
      <c r="P3887" s="22" t="str">
        <f>HYPERLINK("https://ceds.ed.gov/cedselementdetails.aspx?termid=21365")</f>
        <v>https://ceds.ed.gov/cedselementdetails.aspx?termid=21365</v>
      </c>
      <c r="Q3887" s="22">
        <v>61781</v>
      </c>
    </row>
    <row r="3888" spans="1:17" ht="216" x14ac:dyDescent="0.3">
      <c r="A3888" s="22" t="s">
        <v>7881</v>
      </c>
      <c r="B3888" s="22" t="s">
        <v>7902</v>
      </c>
      <c r="C3888" s="22"/>
      <c r="D3888" s="22" t="s">
        <v>7710</v>
      </c>
      <c r="E3888" s="22" t="s">
        <v>1200</v>
      </c>
      <c r="F3888" s="24" t="s">
        <v>1201</v>
      </c>
      <c r="G3888" s="23" t="s">
        <v>32</v>
      </c>
      <c r="H3888" s="22"/>
      <c r="I3888" s="22"/>
      <c r="J3888" s="22" t="s">
        <v>132</v>
      </c>
      <c r="K3888" s="24"/>
      <c r="L3888" s="24" t="s">
        <v>8002</v>
      </c>
      <c r="M3888" s="25" t="s">
        <v>1203</v>
      </c>
      <c r="N3888" s="22"/>
      <c r="O3888" s="22" t="s">
        <v>1204</v>
      </c>
      <c r="P3888" s="22" t="str">
        <f>HYPERLINK("https://ceds.ed.gov/cedselementdetails.aspx?termid=21889")</f>
        <v>https://ceds.ed.gov/cedselementdetails.aspx?termid=21889</v>
      </c>
      <c r="Q3888" s="22">
        <v>60340</v>
      </c>
    </row>
    <row r="3889" spans="1:17" ht="409.6" x14ac:dyDescent="0.3">
      <c r="A3889" s="22" t="s">
        <v>7881</v>
      </c>
      <c r="B3889" s="22" t="s">
        <v>7902</v>
      </c>
      <c r="C3889" s="22"/>
      <c r="D3889" s="22" t="s">
        <v>7710</v>
      </c>
      <c r="E3889" s="22" t="s">
        <v>1221</v>
      </c>
      <c r="F3889" s="24" t="s">
        <v>1222</v>
      </c>
      <c r="G3889" s="26" t="s">
        <v>8401</v>
      </c>
      <c r="H3889" s="22"/>
      <c r="I3889" s="22" t="s">
        <v>172</v>
      </c>
      <c r="J3889" s="22"/>
      <c r="K3889" s="24" t="s">
        <v>8003</v>
      </c>
      <c r="L3889" s="24" t="s">
        <v>8004</v>
      </c>
      <c r="M3889" s="25" t="s">
        <v>1223</v>
      </c>
      <c r="N3889" s="22"/>
      <c r="O3889" s="22" t="s">
        <v>1224</v>
      </c>
      <c r="P3889" s="22" t="str">
        <f>HYPERLINK("https://ceds.ed.gov/cedselementdetails.aspx?termid=22063")</f>
        <v>https://ceds.ed.gov/cedselementdetails.aspx?termid=22063</v>
      </c>
      <c r="Q3889" s="22">
        <v>59498</v>
      </c>
    </row>
    <row r="3890" spans="1:17" ht="28.8" x14ac:dyDescent="0.3">
      <c r="A3890" s="22" t="s">
        <v>7881</v>
      </c>
      <c r="B3890" s="22" t="s">
        <v>7902</v>
      </c>
      <c r="C3890" s="22"/>
      <c r="D3890" s="22" t="s">
        <v>7710</v>
      </c>
      <c r="E3890" s="22" t="s">
        <v>1217</v>
      </c>
      <c r="F3890" s="24" t="s">
        <v>1218</v>
      </c>
      <c r="G3890" s="23" t="s">
        <v>32</v>
      </c>
      <c r="H3890" s="22"/>
      <c r="I3890" s="22"/>
      <c r="J3890" s="22" t="s">
        <v>317</v>
      </c>
      <c r="K3890" s="24"/>
      <c r="L3890" s="24"/>
      <c r="M3890" s="25" t="s">
        <v>1219</v>
      </c>
      <c r="N3890" s="22"/>
      <c r="O3890" s="22" t="s">
        <v>1220</v>
      </c>
      <c r="P3890" s="22" t="str">
        <f>HYPERLINK("https://ceds.ed.gov/cedselementdetails.aspx?termid=22017")</f>
        <v>https://ceds.ed.gov/cedselementdetails.aspx?termid=22017</v>
      </c>
      <c r="Q3890" s="22">
        <v>59453</v>
      </c>
    </row>
    <row r="3891" spans="1:17" ht="43.2" x14ac:dyDescent="0.3">
      <c r="A3891" s="22" t="s">
        <v>7881</v>
      </c>
      <c r="B3891" s="22" t="s">
        <v>7902</v>
      </c>
      <c r="C3891" s="22"/>
      <c r="D3891" s="22" t="s">
        <v>7710</v>
      </c>
      <c r="E3891" s="22" t="s">
        <v>1225</v>
      </c>
      <c r="F3891" s="24" t="s">
        <v>1226</v>
      </c>
      <c r="G3891" s="26" t="s">
        <v>8639</v>
      </c>
      <c r="H3891" s="24" t="s">
        <v>503</v>
      </c>
      <c r="I3891" s="22"/>
      <c r="J3891" s="22"/>
      <c r="K3891" s="24"/>
      <c r="L3891" s="24"/>
      <c r="M3891" s="25" t="s">
        <v>1227</v>
      </c>
      <c r="N3891" s="22"/>
      <c r="O3891" s="22" t="s">
        <v>1228</v>
      </c>
      <c r="P3891" s="22" t="str">
        <f>HYPERLINK("https://ceds.ed.gov/cedselementdetails.aspx?termid=21025")</f>
        <v>https://ceds.ed.gov/cedselementdetails.aspx?termid=21025</v>
      </c>
      <c r="Q3891" s="22">
        <v>59185</v>
      </c>
    </row>
    <row r="3892" spans="1:17" ht="115.2" x14ac:dyDescent="0.3">
      <c r="A3892" s="22" t="s">
        <v>7881</v>
      </c>
      <c r="B3892" s="22" t="s">
        <v>7902</v>
      </c>
      <c r="C3892" s="22"/>
      <c r="D3892" s="22" t="s">
        <v>7710</v>
      </c>
      <c r="E3892" s="22" t="s">
        <v>1139</v>
      </c>
      <c r="F3892" s="24" t="s">
        <v>1140</v>
      </c>
      <c r="G3892" s="26" t="s">
        <v>8635</v>
      </c>
      <c r="H3892" s="24" t="s">
        <v>638</v>
      </c>
      <c r="I3892" s="22"/>
      <c r="J3892" s="22"/>
      <c r="K3892" s="24"/>
      <c r="L3892" s="24"/>
      <c r="M3892" s="25" t="s">
        <v>1142</v>
      </c>
      <c r="N3892" s="22"/>
      <c r="O3892" s="22" t="s">
        <v>1143</v>
      </c>
      <c r="P3892" s="22" t="str">
        <f>HYPERLINK("https://ceds.ed.gov/cedselementdetails.aspx?termid=21377")</f>
        <v>https://ceds.ed.gov/cedselementdetails.aspx?termid=21377</v>
      </c>
      <c r="Q3892" s="22">
        <v>61806</v>
      </c>
    </row>
    <row r="3893" spans="1:17" ht="345.6" x14ac:dyDescent="0.3">
      <c r="A3893" s="22" t="s">
        <v>7881</v>
      </c>
      <c r="B3893" s="22" t="s">
        <v>7902</v>
      </c>
      <c r="C3893" s="22"/>
      <c r="D3893" s="22" t="s">
        <v>7710</v>
      </c>
      <c r="E3893" s="22" t="s">
        <v>4189</v>
      </c>
      <c r="F3893" s="24" t="s">
        <v>4190</v>
      </c>
      <c r="G3893" s="26" t="s">
        <v>8457</v>
      </c>
      <c r="H3893" s="24" t="s">
        <v>4193</v>
      </c>
      <c r="I3893" s="22" t="s">
        <v>172</v>
      </c>
      <c r="J3893" s="22"/>
      <c r="K3893" s="24" t="s">
        <v>7995</v>
      </c>
      <c r="L3893" s="24"/>
      <c r="M3893" s="25" t="s">
        <v>4191</v>
      </c>
      <c r="N3893" s="22"/>
      <c r="O3893" s="22" t="s">
        <v>4192</v>
      </c>
      <c r="P3893" s="22" t="str">
        <f>HYPERLINK("https://ceds.ed.gov/cedselementdetails.aspx?termid=21126")</f>
        <v>https://ceds.ed.gov/cedselementdetails.aspx?termid=21126</v>
      </c>
      <c r="Q3893" s="22">
        <v>59219</v>
      </c>
    </row>
    <row r="3894" spans="1:17" ht="158.4" x14ac:dyDescent="0.3">
      <c r="A3894" s="22" t="s">
        <v>7881</v>
      </c>
      <c r="B3894" s="22" t="s">
        <v>7902</v>
      </c>
      <c r="C3894" s="22"/>
      <c r="D3894" s="22" t="s">
        <v>7710</v>
      </c>
      <c r="E3894" s="22" t="s">
        <v>1205</v>
      </c>
      <c r="F3894" s="24" t="s">
        <v>1206</v>
      </c>
      <c r="G3894" s="26" t="s">
        <v>8638</v>
      </c>
      <c r="H3894" s="22"/>
      <c r="I3894" s="22"/>
      <c r="J3894" s="22"/>
      <c r="K3894" s="24"/>
      <c r="L3894" s="24"/>
      <c r="M3894" s="25" t="s">
        <v>1207</v>
      </c>
      <c r="N3894" s="22"/>
      <c r="O3894" s="22" t="s">
        <v>1208</v>
      </c>
      <c r="P3894" s="22" t="str">
        <f>HYPERLINK("https://ceds.ed.gov/cedselementdetails.aspx?termid=22516")</f>
        <v>https://ceds.ed.gov/cedselementdetails.aspx?termid=22516</v>
      </c>
      <c r="Q3894" s="22">
        <v>61808</v>
      </c>
    </row>
    <row r="3895" spans="1:17" ht="43.2" x14ac:dyDescent="0.3">
      <c r="A3895" s="22" t="s">
        <v>7881</v>
      </c>
      <c r="B3895" s="22" t="s">
        <v>7902</v>
      </c>
      <c r="C3895" s="22"/>
      <c r="D3895" s="22" t="s">
        <v>7710</v>
      </c>
      <c r="E3895" s="22" t="s">
        <v>1209</v>
      </c>
      <c r="F3895" s="24" t="s">
        <v>1210</v>
      </c>
      <c r="G3895" s="23" t="s">
        <v>32</v>
      </c>
      <c r="H3895" s="22"/>
      <c r="I3895" s="22"/>
      <c r="J3895" s="22" t="s">
        <v>845</v>
      </c>
      <c r="K3895" s="24"/>
      <c r="L3895" s="24"/>
      <c r="M3895" s="25" t="s">
        <v>1211</v>
      </c>
      <c r="N3895" s="22"/>
      <c r="O3895" s="22" t="s">
        <v>1212</v>
      </c>
      <c r="P3895" s="22" t="str">
        <f>HYPERLINK("https://ceds.ed.gov/cedselementdetails.aspx?termid=22517")</f>
        <v>https://ceds.ed.gov/cedselementdetails.aspx?termid=22517</v>
      </c>
      <c r="Q3895" s="22">
        <v>61810</v>
      </c>
    </row>
    <row r="3896" spans="1:17" ht="129.6" x14ac:dyDescent="0.3">
      <c r="A3896" s="22" t="s">
        <v>7881</v>
      </c>
      <c r="B3896" s="22" t="s">
        <v>7902</v>
      </c>
      <c r="C3896" s="22"/>
      <c r="D3896" s="22" t="s">
        <v>7710</v>
      </c>
      <c r="E3896" s="22" t="s">
        <v>1229</v>
      </c>
      <c r="F3896" s="24" t="s">
        <v>1230</v>
      </c>
      <c r="G3896" s="26" t="s">
        <v>8640</v>
      </c>
      <c r="H3896" s="24" t="s">
        <v>1234</v>
      </c>
      <c r="I3896" s="22"/>
      <c r="J3896" s="22"/>
      <c r="K3896" s="24"/>
      <c r="L3896" s="24" t="s">
        <v>1231</v>
      </c>
      <c r="M3896" s="25" t="s">
        <v>1232</v>
      </c>
      <c r="N3896" s="22"/>
      <c r="O3896" s="22" t="s">
        <v>1233</v>
      </c>
      <c r="P3896" s="22" t="str">
        <f>HYPERLINK("https://ceds.ed.gov/cedselementdetails.aspx?termid=21531")</f>
        <v>https://ceds.ed.gov/cedselementdetails.aspx?termid=21531</v>
      </c>
      <c r="Q3896" s="22">
        <v>59221</v>
      </c>
    </row>
    <row r="3897" spans="1:17" ht="115.2" x14ac:dyDescent="0.3">
      <c r="A3897" s="22" t="s">
        <v>7881</v>
      </c>
      <c r="B3897" s="22" t="s">
        <v>7902</v>
      </c>
      <c r="C3897" s="22"/>
      <c r="D3897" s="22" t="s">
        <v>7710</v>
      </c>
      <c r="E3897" s="22" t="s">
        <v>6357</v>
      </c>
      <c r="F3897" s="24" t="s">
        <v>6358</v>
      </c>
      <c r="G3897" s="26" t="s">
        <v>9124</v>
      </c>
      <c r="H3897" s="22"/>
      <c r="I3897" s="22"/>
      <c r="J3897" s="22"/>
      <c r="K3897" s="24"/>
      <c r="L3897" s="24"/>
      <c r="M3897" s="25" t="s">
        <v>6359</v>
      </c>
      <c r="N3897" s="22"/>
      <c r="O3897" s="22" t="s">
        <v>6360</v>
      </c>
      <c r="P3897" s="22" t="str">
        <f>HYPERLINK("https://ceds.ed.gov/cedselementdetails.aspx?termid=21228")</f>
        <v>https://ceds.ed.gov/cedselementdetails.aspx?termid=21228</v>
      </c>
      <c r="Q3897" s="22">
        <v>61028</v>
      </c>
    </row>
    <row r="3898" spans="1:17" ht="115.2" x14ac:dyDescent="0.3">
      <c r="A3898" s="22" t="s">
        <v>7881</v>
      </c>
      <c r="B3898" s="22" t="s">
        <v>7902</v>
      </c>
      <c r="C3898" s="22"/>
      <c r="D3898" s="22" t="s">
        <v>7710</v>
      </c>
      <c r="E3898" s="22" t="s">
        <v>1239</v>
      </c>
      <c r="F3898" s="24" t="s">
        <v>8005</v>
      </c>
      <c r="G3898" s="23" t="s">
        <v>32</v>
      </c>
      <c r="H3898" s="22"/>
      <c r="I3898" s="22"/>
      <c r="J3898" s="22" t="s">
        <v>118</v>
      </c>
      <c r="K3898" s="24"/>
      <c r="L3898" s="24"/>
      <c r="M3898" s="25" t="s">
        <v>1240</v>
      </c>
      <c r="N3898" s="22"/>
      <c r="O3898" s="22" t="s">
        <v>1241</v>
      </c>
      <c r="P3898" s="22" t="str">
        <f>HYPERLINK("https://ceds.ed.gov/cedselementdetails.aspx?termid=22062")</f>
        <v>https://ceds.ed.gov/cedselementdetails.aspx?termid=22062</v>
      </c>
      <c r="Q3898" s="22">
        <v>59497</v>
      </c>
    </row>
    <row r="3899" spans="1:17" ht="57.6" x14ac:dyDescent="0.3">
      <c r="A3899" s="22" t="s">
        <v>7881</v>
      </c>
      <c r="B3899" s="22" t="s">
        <v>7902</v>
      </c>
      <c r="C3899" s="22"/>
      <c r="D3899" s="22" t="s">
        <v>7710</v>
      </c>
      <c r="E3899" s="22" t="s">
        <v>6617</v>
      </c>
      <c r="F3899" s="24" t="s">
        <v>6618</v>
      </c>
      <c r="G3899" s="26" t="s">
        <v>22</v>
      </c>
      <c r="H3899" s="22"/>
      <c r="I3899" s="22"/>
      <c r="J3899" s="22"/>
      <c r="K3899" s="24"/>
      <c r="L3899" s="24"/>
      <c r="M3899" s="25" t="s">
        <v>6619</v>
      </c>
      <c r="N3899" s="22"/>
      <c r="O3899" s="22" t="s">
        <v>6620</v>
      </c>
      <c r="P3899" s="22" t="str">
        <f>HYPERLINK("https://ceds.ed.gov/cedselementdetails.aspx?termid=22744")</f>
        <v>https://ceds.ed.gov/cedselementdetails.aspx?termid=22744</v>
      </c>
      <c r="Q3899" s="22">
        <v>62991</v>
      </c>
    </row>
    <row r="3900" spans="1:17" ht="57.6" x14ac:dyDescent="0.3">
      <c r="A3900" s="22" t="s">
        <v>7881</v>
      </c>
      <c r="B3900" s="22" t="s">
        <v>7902</v>
      </c>
      <c r="C3900" s="22"/>
      <c r="D3900" s="22" t="s">
        <v>7710</v>
      </c>
      <c r="E3900" s="22" t="s">
        <v>4985</v>
      </c>
      <c r="F3900" s="24" t="s">
        <v>4986</v>
      </c>
      <c r="G3900" s="26" t="s">
        <v>22</v>
      </c>
      <c r="H3900" s="22"/>
      <c r="I3900" s="22"/>
      <c r="J3900" s="22"/>
      <c r="K3900" s="24"/>
      <c r="L3900" s="24"/>
      <c r="M3900" s="25" t="s">
        <v>4987</v>
      </c>
      <c r="N3900" s="22"/>
      <c r="O3900" s="22" t="s">
        <v>4988</v>
      </c>
      <c r="P3900" s="22" t="str">
        <f>HYPERLINK("https://ceds.ed.gov/cedselementdetails.aspx?termid=22743")</f>
        <v>https://ceds.ed.gov/cedselementdetails.aspx?termid=22743</v>
      </c>
      <c r="Q3900" s="22">
        <v>62972</v>
      </c>
    </row>
    <row r="3901" spans="1:17" ht="57.6" x14ac:dyDescent="0.3">
      <c r="A3901" s="22" t="s">
        <v>7881</v>
      </c>
      <c r="B3901" s="22" t="s">
        <v>7902</v>
      </c>
      <c r="C3901" s="22"/>
      <c r="D3901" s="22" t="s">
        <v>7710</v>
      </c>
      <c r="E3901" s="22" t="s">
        <v>6975</v>
      </c>
      <c r="F3901" s="24" t="s">
        <v>6976</v>
      </c>
      <c r="G3901" s="26" t="s">
        <v>22</v>
      </c>
      <c r="H3901" s="22"/>
      <c r="I3901" s="22"/>
      <c r="J3901" s="22"/>
      <c r="K3901" s="24"/>
      <c r="L3901" s="24"/>
      <c r="M3901" s="25" t="s">
        <v>6977</v>
      </c>
      <c r="N3901" s="22"/>
      <c r="O3901" s="22" t="s">
        <v>6978</v>
      </c>
      <c r="P3901" s="22" t="str">
        <f>HYPERLINK("https://ceds.ed.gov/cedselementdetails.aspx?termid=22742")</f>
        <v>https://ceds.ed.gov/cedselementdetails.aspx?termid=22742</v>
      </c>
      <c r="Q3901" s="22">
        <v>62994</v>
      </c>
    </row>
    <row r="3902" spans="1:17" ht="115.2" x14ac:dyDescent="0.3">
      <c r="A3902" s="22" t="s">
        <v>7881</v>
      </c>
      <c r="B3902" s="22" t="s">
        <v>7903</v>
      </c>
      <c r="C3902" s="22"/>
      <c r="D3902" s="22" t="s">
        <v>7710</v>
      </c>
      <c r="E3902" s="22" t="s">
        <v>1033</v>
      </c>
      <c r="F3902" s="24" t="s">
        <v>1034</v>
      </c>
      <c r="G3902" s="23" t="s">
        <v>7423</v>
      </c>
      <c r="H3902" s="22"/>
      <c r="I3902" s="22"/>
      <c r="J3902" s="22"/>
      <c r="K3902" s="24"/>
      <c r="L3902" s="24" t="s">
        <v>7994</v>
      </c>
      <c r="M3902" s="25" t="s">
        <v>1036</v>
      </c>
      <c r="N3902" s="22"/>
      <c r="O3902" s="22" t="s">
        <v>1037</v>
      </c>
      <c r="P3902" s="22" t="str">
        <f>HYPERLINK("https://ceds.ed.gov/cedselementdetails.aspx?termid=22025")</f>
        <v>https://ceds.ed.gov/cedselementdetails.aspx?termid=22025</v>
      </c>
      <c r="Q3902" s="22">
        <v>59463</v>
      </c>
    </row>
    <row r="3903" spans="1:17" ht="28.8" x14ac:dyDescent="0.3">
      <c r="A3903" s="22" t="s">
        <v>7881</v>
      </c>
      <c r="B3903" s="22" t="s">
        <v>7903</v>
      </c>
      <c r="C3903" s="22"/>
      <c r="D3903" s="22" t="s">
        <v>7710</v>
      </c>
      <c r="E3903" s="22" t="s">
        <v>1101</v>
      </c>
      <c r="F3903" s="24" t="s">
        <v>1102</v>
      </c>
      <c r="G3903" s="23" t="s">
        <v>32</v>
      </c>
      <c r="H3903" s="22"/>
      <c r="I3903" s="22"/>
      <c r="J3903" s="22" t="s">
        <v>328</v>
      </c>
      <c r="K3903" s="24"/>
      <c r="L3903" s="24"/>
      <c r="M3903" s="25" t="s">
        <v>1103</v>
      </c>
      <c r="N3903" s="22"/>
      <c r="O3903" s="22" t="s">
        <v>1104</v>
      </c>
      <c r="P3903" s="22" t="str">
        <f>HYPERLINK("https://ceds.ed.gov/cedselementdetails.aspx?termid=22101")</f>
        <v>https://ceds.ed.gov/cedselementdetails.aspx?termid=22101</v>
      </c>
      <c r="Q3903" s="22">
        <v>59541</v>
      </c>
    </row>
    <row r="3904" spans="1:17" ht="43.2" x14ac:dyDescent="0.3">
      <c r="A3904" s="22" t="s">
        <v>7881</v>
      </c>
      <c r="B3904" s="22" t="s">
        <v>7903</v>
      </c>
      <c r="C3904" s="22"/>
      <c r="D3904" s="22" t="s">
        <v>7710</v>
      </c>
      <c r="E3904" s="22" t="s">
        <v>1180</v>
      </c>
      <c r="F3904" s="24" t="s">
        <v>1181</v>
      </c>
      <c r="G3904" s="26" t="s">
        <v>22</v>
      </c>
      <c r="H3904" s="22"/>
      <c r="I3904" s="22"/>
      <c r="J3904" s="22"/>
      <c r="K3904" s="24"/>
      <c r="L3904" s="24" t="s">
        <v>1182</v>
      </c>
      <c r="M3904" s="25" t="s">
        <v>1183</v>
      </c>
      <c r="N3904" s="22"/>
      <c r="O3904" s="22" t="s">
        <v>1184</v>
      </c>
      <c r="P3904" s="22" t="str">
        <f>HYPERLINK("https://ceds.ed.gov/cedselementdetails.aspx?termid=22008")</f>
        <v>https://ceds.ed.gov/cedselementdetails.aspx?termid=22008</v>
      </c>
      <c r="Q3904" s="22">
        <v>59444</v>
      </c>
    </row>
    <row r="3905" spans="1:17" ht="43.2" x14ac:dyDescent="0.3">
      <c r="A3905" s="22" t="s">
        <v>7881</v>
      </c>
      <c r="B3905" s="22" t="s">
        <v>7903</v>
      </c>
      <c r="C3905" s="22"/>
      <c r="D3905" s="22" t="s">
        <v>7710</v>
      </c>
      <c r="E3905" s="22" t="s">
        <v>1185</v>
      </c>
      <c r="F3905" s="24" t="s">
        <v>1186</v>
      </c>
      <c r="G3905" s="26" t="s">
        <v>22</v>
      </c>
      <c r="H3905" s="22"/>
      <c r="I3905" s="22"/>
      <c r="J3905" s="22"/>
      <c r="K3905" s="24"/>
      <c r="L3905" s="24" t="s">
        <v>1182</v>
      </c>
      <c r="M3905" s="25" t="s">
        <v>1187</v>
      </c>
      <c r="N3905" s="22"/>
      <c r="O3905" s="22" t="s">
        <v>1188</v>
      </c>
      <c r="P3905" s="22" t="str">
        <f>HYPERLINK("https://ceds.ed.gov/cedselementdetails.aspx?termid=22007")</f>
        <v>https://ceds.ed.gov/cedselementdetails.aspx?termid=22007</v>
      </c>
      <c r="Q3905" s="22">
        <v>59443</v>
      </c>
    </row>
    <row r="3906" spans="1:17" ht="86.4" x14ac:dyDescent="0.3">
      <c r="A3906" s="22" t="s">
        <v>7881</v>
      </c>
      <c r="B3906" s="22" t="s">
        <v>7903</v>
      </c>
      <c r="C3906" s="22" t="s">
        <v>7904</v>
      </c>
      <c r="D3906" s="22" t="s">
        <v>7710</v>
      </c>
      <c r="E3906" s="22" t="s">
        <v>976</v>
      </c>
      <c r="F3906" s="24" t="s">
        <v>977</v>
      </c>
      <c r="G3906" s="26" t="s">
        <v>8621</v>
      </c>
      <c r="H3906" s="22"/>
      <c r="I3906" s="22"/>
      <c r="J3906" s="22"/>
      <c r="K3906" s="24"/>
      <c r="L3906" s="24"/>
      <c r="M3906" s="25" t="s">
        <v>979</v>
      </c>
      <c r="N3906" s="22"/>
      <c r="O3906" s="22" t="s">
        <v>980</v>
      </c>
      <c r="P3906" s="22" t="str">
        <f>HYPERLINK("https://ceds.ed.gov/cedselementdetails.aspx?termid=22045")</f>
        <v>https://ceds.ed.gov/cedselementdetails.aspx?termid=22045</v>
      </c>
      <c r="Q3906" s="22">
        <v>59482</v>
      </c>
    </row>
    <row r="3907" spans="1:17" ht="57.6" x14ac:dyDescent="0.3">
      <c r="A3907" s="22" t="s">
        <v>7881</v>
      </c>
      <c r="B3907" s="22" t="s">
        <v>7903</v>
      </c>
      <c r="C3907" s="22" t="s">
        <v>7904</v>
      </c>
      <c r="D3907" s="22" t="s">
        <v>7710</v>
      </c>
      <c r="E3907" s="22" t="s">
        <v>1005</v>
      </c>
      <c r="F3907" s="24" t="s">
        <v>1006</v>
      </c>
      <c r="G3907" s="26" t="s">
        <v>22</v>
      </c>
      <c r="H3907" s="22"/>
      <c r="I3907" s="22"/>
      <c r="J3907" s="22"/>
      <c r="K3907" s="24"/>
      <c r="L3907" s="24"/>
      <c r="M3907" s="25" t="s">
        <v>1007</v>
      </c>
      <c r="N3907" s="22"/>
      <c r="O3907" s="22" t="s">
        <v>1008</v>
      </c>
      <c r="P3907" s="22" t="str">
        <f>HYPERLINK("https://ceds.ed.gov/cedselementdetails.aspx?termid=22050")</f>
        <v>https://ceds.ed.gov/cedselementdetails.aspx?termid=22050</v>
      </c>
      <c r="Q3907" s="22">
        <v>59486</v>
      </c>
    </row>
    <row r="3908" spans="1:17" ht="72" x14ac:dyDescent="0.3">
      <c r="A3908" s="22" t="s">
        <v>7881</v>
      </c>
      <c r="B3908" s="22" t="s">
        <v>7903</v>
      </c>
      <c r="C3908" s="22" t="s">
        <v>7904</v>
      </c>
      <c r="D3908" s="22" t="s">
        <v>7710</v>
      </c>
      <c r="E3908" s="22" t="s">
        <v>1013</v>
      </c>
      <c r="F3908" s="24" t="s">
        <v>1014</v>
      </c>
      <c r="G3908" s="26" t="s">
        <v>8625</v>
      </c>
      <c r="H3908" s="22"/>
      <c r="I3908" s="22"/>
      <c r="J3908" s="22"/>
      <c r="K3908" s="24"/>
      <c r="L3908" s="24"/>
      <c r="M3908" s="25" t="s">
        <v>1015</v>
      </c>
      <c r="N3908" s="22"/>
      <c r="O3908" s="22" t="s">
        <v>1016</v>
      </c>
      <c r="P3908" s="22" t="str">
        <f>HYPERLINK("https://ceds.ed.gov/cedselementdetails.aspx?termid=22026")</f>
        <v>https://ceds.ed.gov/cedselementdetails.aspx?termid=22026</v>
      </c>
      <c r="Q3908" s="22">
        <v>59464</v>
      </c>
    </row>
    <row r="3909" spans="1:17" ht="115.2" x14ac:dyDescent="0.3">
      <c r="A3909" s="22" t="s">
        <v>7881</v>
      </c>
      <c r="B3909" s="22" t="s">
        <v>7903</v>
      </c>
      <c r="C3909" s="22" t="s">
        <v>7904</v>
      </c>
      <c r="D3909" s="22" t="s">
        <v>7710</v>
      </c>
      <c r="E3909" s="22" t="s">
        <v>1025</v>
      </c>
      <c r="F3909" s="24" t="s">
        <v>1026</v>
      </c>
      <c r="G3909" s="23" t="s">
        <v>7423</v>
      </c>
      <c r="H3909" s="22"/>
      <c r="I3909" s="22"/>
      <c r="J3909" s="22"/>
      <c r="K3909" s="24"/>
      <c r="L3909" s="24" t="s">
        <v>7994</v>
      </c>
      <c r="M3909" s="25" t="s">
        <v>1027</v>
      </c>
      <c r="N3909" s="22"/>
      <c r="O3909" s="22" t="s">
        <v>1028</v>
      </c>
      <c r="P3909" s="22" t="str">
        <f>HYPERLINK("https://ceds.ed.gov/cedselementdetails.aspx?termid=22042")</f>
        <v>https://ceds.ed.gov/cedselementdetails.aspx?termid=22042</v>
      </c>
      <c r="Q3909" s="22">
        <v>59479</v>
      </c>
    </row>
    <row r="3910" spans="1:17" ht="115.2" x14ac:dyDescent="0.3">
      <c r="A3910" s="22" t="s">
        <v>7881</v>
      </c>
      <c r="B3910" s="22" t="s">
        <v>7903</v>
      </c>
      <c r="C3910" s="22" t="s">
        <v>7904</v>
      </c>
      <c r="D3910" s="22" t="s">
        <v>7710</v>
      </c>
      <c r="E3910" s="22" t="s">
        <v>1029</v>
      </c>
      <c r="F3910" s="24" t="s">
        <v>1030</v>
      </c>
      <c r="G3910" s="23" t="s">
        <v>7423</v>
      </c>
      <c r="H3910" s="22"/>
      <c r="I3910" s="22"/>
      <c r="J3910" s="22"/>
      <c r="K3910" s="24"/>
      <c r="L3910" s="24" t="s">
        <v>7994</v>
      </c>
      <c r="M3910" s="25" t="s">
        <v>1031</v>
      </c>
      <c r="N3910" s="22"/>
      <c r="O3910" s="22" t="s">
        <v>1032</v>
      </c>
      <c r="P3910" s="22" t="str">
        <f>HYPERLINK("https://ceds.ed.gov/cedselementdetails.aspx?termid=22043")</f>
        <v>https://ceds.ed.gov/cedselementdetails.aspx?termid=22043</v>
      </c>
      <c r="Q3910" s="22">
        <v>59480</v>
      </c>
    </row>
    <row r="3911" spans="1:17" ht="158.4" x14ac:dyDescent="0.3">
      <c r="A3911" s="22" t="s">
        <v>7881</v>
      </c>
      <c r="B3911" s="22" t="s">
        <v>7903</v>
      </c>
      <c r="C3911" s="22" t="s">
        <v>7904</v>
      </c>
      <c r="D3911" s="22" t="s">
        <v>7710</v>
      </c>
      <c r="E3911" s="22" t="s">
        <v>1089</v>
      </c>
      <c r="F3911" s="24" t="s">
        <v>1090</v>
      </c>
      <c r="G3911" s="26" t="s">
        <v>8632</v>
      </c>
      <c r="H3911" s="22"/>
      <c r="I3911" s="22"/>
      <c r="J3911" s="22"/>
      <c r="K3911" s="24"/>
      <c r="L3911" s="24"/>
      <c r="M3911" s="25" t="s">
        <v>1091</v>
      </c>
      <c r="N3911" s="22"/>
      <c r="O3911" s="22" t="s">
        <v>1092</v>
      </c>
      <c r="P3911" s="22" t="str">
        <f>HYPERLINK("https://ceds.ed.gov/cedselementdetails.aspx?termid=22027")</f>
        <v>https://ceds.ed.gov/cedselementdetails.aspx?termid=22027</v>
      </c>
      <c r="Q3911" s="22">
        <v>59465</v>
      </c>
    </row>
    <row r="3912" spans="1:17" ht="72" x14ac:dyDescent="0.3">
      <c r="A3912" s="22" t="s">
        <v>7881</v>
      </c>
      <c r="B3912" s="22" t="s">
        <v>7903</v>
      </c>
      <c r="C3912" s="22" t="s">
        <v>7904</v>
      </c>
      <c r="D3912" s="22" t="s">
        <v>7710</v>
      </c>
      <c r="E3912" s="22" t="s">
        <v>1109</v>
      </c>
      <c r="F3912" s="24" t="s">
        <v>1110</v>
      </c>
      <c r="G3912" s="26" t="s">
        <v>8634</v>
      </c>
      <c r="H3912" s="22"/>
      <c r="I3912" s="22"/>
      <c r="J3912" s="22"/>
      <c r="K3912" s="24"/>
      <c r="L3912" s="24"/>
      <c r="M3912" s="25" t="s">
        <v>1111</v>
      </c>
      <c r="N3912" s="22"/>
      <c r="O3912" s="22" t="s">
        <v>1112</v>
      </c>
      <c r="P3912" s="22" t="str">
        <f>HYPERLINK("https://ceds.ed.gov/cedselementdetails.aspx?termid=22049")</f>
        <v>https://ceds.ed.gov/cedselementdetails.aspx?termid=22049</v>
      </c>
      <c r="Q3912" s="22">
        <v>59485</v>
      </c>
    </row>
    <row r="3913" spans="1:17" ht="100.8" x14ac:dyDescent="0.3">
      <c r="A3913" s="22" t="s">
        <v>7881</v>
      </c>
      <c r="B3913" s="22" t="s">
        <v>7903</v>
      </c>
      <c r="C3913" s="22" t="s">
        <v>7905</v>
      </c>
      <c r="D3913" s="22" t="s">
        <v>7710</v>
      </c>
      <c r="E3913" s="22" t="s">
        <v>1096</v>
      </c>
      <c r="F3913" s="24" t="s">
        <v>7998</v>
      </c>
      <c r="G3913" s="23" t="s">
        <v>32</v>
      </c>
      <c r="H3913" s="22"/>
      <c r="I3913" s="22"/>
      <c r="J3913" s="22" t="s">
        <v>1098</v>
      </c>
      <c r="K3913" s="24"/>
      <c r="L3913" s="24"/>
      <c r="M3913" s="25" t="s">
        <v>1099</v>
      </c>
      <c r="N3913" s="22"/>
      <c r="O3913" s="22" t="s">
        <v>1100</v>
      </c>
      <c r="P3913" s="22" t="str">
        <f>HYPERLINK("https://ceds.ed.gov/cedselementdetails.aspx?termid=22055")</f>
        <v>https://ceds.ed.gov/cedselementdetails.aspx?termid=22055</v>
      </c>
      <c r="Q3913" s="22">
        <v>59490</v>
      </c>
    </row>
    <row r="3914" spans="1:17" ht="43.2" x14ac:dyDescent="0.3">
      <c r="A3914" s="22" t="s">
        <v>7881</v>
      </c>
      <c r="B3914" s="22" t="s">
        <v>7903</v>
      </c>
      <c r="C3914" s="22" t="s">
        <v>7906</v>
      </c>
      <c r="D3914" s="22" t="s">
        <v>7710</v>
      </c>
      <c r="E3914" s="22" t="s">
        <v>1053</v>
      </c>
      <c r="F3914" s="24" t="s">
        <v>1054</v>
      </c>
      <c r="G3914" s="23" t="s">
        <v>32</v>
      </c>
      <c r="H3914" s="22"/>
      <c r="I3914" s="22"/>
      <c r="J3914" s="22" t="s">
        <v>317</v>
      </c>
      <c r="K3914" s="24"/>
      <c r="L3914" s="24"/>
      <c r="M3914" s="25" t="s">
        <v>1055</v>
      </c>
      <c r="N3914" s="22"/>
      <c r="O3914" s="22" t="s">
        <v>1056</v>
      </c>
      <c r="P3914" s="22" t="str">
        <f>HYPERLINK("https://ceds.ed.gov/cedselementdetails.aspx?termid=22037")</f>
        <v>https://ceds.ed.gov/cedselementdetails.aspx?termid=22037</v>
      </c>
      <c r="Q3914" s="22">
        <v>59475</v>
      </c>
    </row>
    <row r="3915" spans="1:17" ht="43.2" x14ac:dyDescent="0.3">
      <c r="A3915" s="22" t="s">
        <v>7881</v>
      </c>
      <c r="B3915" s="22" t="s">
        <v>7903</v>
      </c>
      <c r="C3915" s="22" t="s">
        <v>7906</v>
      </c>
      <c r="D3915" s="22" t="s">
        <v>7710</v>
      </c>
      <c r="E3915" s="22" t="s">
        <v>1057</v>
      </c>
      <c r="F3915" s="24" t="s">
        <v>1058</v>
      </c>
      <c r="G3915" s="26" t="s">
        <v>8629</v>
      </c>
      <c r="H3915" s="22"/>
      <c r="I3915" s="22"/>
      <c r="J3915" s="22"/>
      <c r="K3915" s="24"/>
      <c r="L3915" s="24"/>
      <c r="M3915" s="25" t="s">
        <v>1059</v>
      </c>
      <c r="N3915" s="22"/>
      <c r="O3915" s="22" t="s">
        <v>1060</v>
      </c>
      <c r="P3915" s="22" t="str">
        <f>HYPERLINK("https://ceds.ed.gov/cedselementdetails.aspx?termid=22036")</f>
        <v>https://ceds.ed.gov/cedselementdetails.aspx?termid=22036</v>
      </c>
      <c r="Q3915" s="22">
        <v>59474</v>
      </c>
    </row>
    <row r="3916" spans="1:17" ht="43.2" x14ac:dyDescent="0.3">
      <c r="A3916" s="22" t="s">
        <v>7881</v>
      </c>
      <c r="B3916" s="22" t="s">
        <v>7903</v>
      </c>
      <c r="C3916" s="22" t="s">
        <v>7906</v>
      </c>
      <c r="D3916" s="22" t="s">
        <v>7710</v>
      </c>
      <c r="E3916" s="22" t="s">
        <v>987</v>
      </c>
      <c r="F3916" s="24" t="s">
        <v>988</v>
      </c>
      <c r="G3916" s="23" t="s">
        <v>32</v>
      </c>
      <c r="H3916" s="22"/>
      <c r="I3916" s="22"/>
      <c r="J3916" s="22" t="s">
        <v>990</v>
      </c>
      <c r="K3916" s="24"/>
      <c r="L3916" s="24"/>
      <c r="M3916" s="25" t="s">
        <v>991</v>
      </c>
      <c r="N3916" s="22"/>
      <c r="O3916" s="22" t="s">
        <v>992</v>
      </c>
      <c r="P3916" s="22" t="str">
        <f>HYPERLINK("https://ceds.ed.gov/cedselementdetails.aspx?termid=22040")</f>
        <v>https://ceds.ed.gov/cedselementdetails.aspx?termid=22040</v>
      </c>
      <c r="Q3916" s="22">
        <v>59477</v>
      </c>
    </row>
    <row r="3917" spans="1:17" ht="43.2" x14ac:dyDescent="0.3">
      <c r="A3917" s="22" t="s">
        <v>7881</v>
      </c>
      <c r="B3917" s="22" t="s">
        <v>7903</v>
      </c>
      <c r="C3917" s="22" t="s">
        <v>7906</v>
      </c>
      <c r="D3917" s="22" t="s">
        <v>7710</v>
      </c>
      <c r="E3917" s="22" t="s">
        <v>993</v>
      </c>
      <c r="F3917" s="24" t="s">
        <v>994</v>
      </c>
      <c r="G3917" s="26" t="s">
        <v>8622</v>
      </c>
      <c r="H3917" s="22"/>
      <c r="I3917" s="22"/>
      <c r="J3917" s="22"/>
      <c r="K3917" s="24"/>
      <c r="L3917" s="24"/>
      <c r="M3917" s="25" t="s">
        <v>995</v>
      </c>
      <c r="N3917" s="22"/>
      <c r="O3917" s="22" t="s">
        <v>996</v>
      </c>
      <c r="P3917" s="22" t="str">
        <f>HYPERLINK("https://ceds.ed.gov/cedselementdetails.aspx?termid=22035")</f>
        <v>https://ceds.ed.gov/cedselementdetails.aspx?termid=22035</v>
      </c>
      <c r="Q3917" s="22">
        <v>59473</v>
      </c>
    </row>
    <row r="3918" spans="1:17" ht="100.8" x14ac:dyDescent="0.3">
      <c r="A3918" s="22" t="s">
        <v>7881</v>
      </c>
      <c r="B3918" s="22" t="s">
        <v>7903</v>
      </c>
      <c r="C3918" s="22" t="s">
        <v>7906</v>
      </c>
      <c r="D3918" s="22" t="s">
        <v>7710</v>
      </c>
      <c r="E3918" s="22" t="s">
        <v>997</v>
      </c>
      <c r="F3918" s="24" t="s">
        <v>998</v>
      </c>
      <c r="G3918" s="26" t="s">
        <v>8623</v>
      </c>
      <c r="H3918" s="22"/>
      <c r="I3918" s="22"/>
      <c r="J3918" s="22"/>
      <c r="K3918" s="24"/>
      <c r="L3918" s="24"/>
      <c r="M3918" s="25" t="s">
        <v>999</v>
      </c>
      <c r="N3918" s="22"/>
      <c r="O3918" s="22" t="s">
        <v>1000</v>
      </c>
      <c r="P3918" s="22" t="str">
        <f>HYPERLINK("https://ceds.ed.gov/cedselementdetails.aspx?termid=22038")</f>
        <v>https://ceds.ed.gov/cedselementdetails.aspx?termid=22038</v>
      </c>
      <c r="Q3918" s="22">
        <v>59476</v>
      </c>
    </row>
    <row r="3919" spans="1:17" ht="57.6" x14ac:dyDescent="0.3">
      <c r="A3919" s="22" t="s">
        <v>7881</v>
      </c>
      <c r="B3919" s="22" t="s">
        <v>7903</v>
      </c>
      <c r="C3919" s="22" t="s">
        <v>7906</v>
      </c>
      <c r="D3919" s="22" t="s">
        <v>7710</v>
      </c>
      <c r="E3919" s="22" t="s">
        <v>1001</v>
      </c>
      <c r="F3919" s="24" t="s">
        <v>1002</v>
      </c>
      <c r="G3919" s="26" t="s">
        <v>8624</v>
      </c>
      <c r="H3919" s="22"/>
      <c r="I3919" s="22"/>
      <c r="J3919" s="22"/>
      <c r="K3919" s="24"/>
      <c r="L3919" s="24"/>
      <c r="M3919" s="25" t="s">
        <v>1003</v>
      </c>
      <c r="N3919" s="22"/>
      <c r="O3919" s="22" t="s">
        <v>1004</v>
      </c>
      <c r="P3919" s="22" t="str">
        <f>HYPERLINK("https://ceds.ed.gov/cedselementdetails.aspx?termid=22041")</f>
        <v>https://ceds.ed.gov/cedselementdetails.aspx?termid=22041</v>
      </c>
      <c r="Q3919" s="22">
        <v>59478</v>
      </c>
    </row>
    <row r="3920" spans="1:17" ht="57.6" x14ac:dyDescent="0.3">
      <c r="A3920" s="22" t="s">
        <v>7881</v>
      </c>
      <c r="B3920" s="22" t="s">
        <v>7903</v>
      </c>
      <c r="C3920" s="22" t="s">
        <v>7906</v>
      </c>
      <c r="D3920" s="22" t="s">
        <v>7710</v>
      </c>
      <c r="E3920" s="22" t="s">
        <v>1021</v>
      </c>
      <c r="F3920" s="24" t="s">
        <v>1022</v>
      </c>
      <c r="G3920" s="26" t="s">
        <v>22</v>
      </c>
      <c r="H3920" s="22"/>
      <c r="I3920" s="22"/>
      <c r="J3920" s="22"/>
      <c r="K3920" s="24"/>
      <c r="L3920" s="24"/>
      <c r="M3920" s="25" t="s">
        <v>1023</v>
      </c>
      <c r="N3920" s="22"/>
      <c r="O3920" s="22" t="s">
        <v>1024</v>
      </c>
      <c r="P3920" s="22" t="str">
        <f>HYPERLINK("https://ceds.ed.gov/cedselementdetails.aspx?termid=22033")</f>
        <v>https://ceds.ed.gov/cedselementdetails.aspx?termid=22033</v>
      </c>
      <c r="Q3920" s="22">
        <v>59471</v>
      </c>
    </row>
    <row r="3921" spans="1:17" ht="57.6" x14ac:dyDescent="0.3">
      <c r="A3921" s="22" t="s">
        <v>7881</v>
      </c>
      <c r="B3921" s="22" t="s">
        <v>7903</v>
      </c>
      <c r="C3921" s="22" t="s">
        <v>7906</v>
      </c>
      <c r="D3921" s="22" t="s">
        <v>7710</v>
      </c>
      <c r="E3921" s="22" t="s">
        <v>1038</v>
      </c>
      <c r="F3921" s="24" t="s">
        <v>1039</v>
      </c>
      <c r="G3921" s="23" t="s">
        <v>32</v>
      </c>
      <c r="H3921" s="22"/>
      <c r="I3921" s="22"/>
      <c r="J3921" s="22" t="s">
        <v>984</v>
      </c>
      <c r="K3921" s="24"/>
      <c r="L3921" s="24"/>
      <c r="M3921" s="25" t="s">
        <v>1040</v>
      </c>
      <c r="N3921" s="22"/>
      <c r="O3921" s="22" t="s">
        <v>1041</v>
      </c>
      <c r="P3921" s="22" t="str">
        <f>HYPERLINK("https://ceds.ed.gov/cedselementdetails.aspx?termid=22056")</f>
        <v>https://ceds.ed.gov/cedselementdetails.aspx?termid=22056</v>
      </c>
      <c r="Q3921" s="22">
        <v>59491</v>
      </c>
    </row>
    <row r="3922" spans="1:17" ht="72" x14ac:dyDescent="0.3">
      <c r="A3922" s="22" t="s">
        <v>7881</v>
      </c>
      <c r="B3922" s="22" t="s">
        <v>7903</v>
      </c>
      <c r="C3922" s="22" t="s">
        <v>7906</v>
      </c>
      <c r="D3922" s="22" t="s">
        <v>7710</v>
      </c>
      <c r="E3922" s="22" t="s">
        <v>1042</v>
      </c>
      <c r="F3922" s="24" t="s">
        <v>1043</v>
      </c>
      <c r="G3922" s="26" t="s">
        <v>8627</v>
      </c>
      <c r="H3922" s="22"/>
      <c r="I3922" s="22"/>
      <c r="J3922" s="22"/>
      <c r="K3922" s="24"/>
      <c r="L3922" s="24"/>
      <c r="M3922" s="25" t="s">
        <v>1044</v>
      </c>
      <c r="N3922" s="22"/>
      <c r="O3922" s="22" t="s">
        <v>1045</v>
      </c>
      <c r="P3922" s="22" t="str">
        <f>HYPERLINK("https://ceds.ed.gov/cedselementdetails.aspx?termid=22029")</f>
        <v>https://ceds.ed.gov/cedselementdetails.aspx?termid=22029</v>
      </c>
      <c r="Q3922" s="22">
        <v>59467</v>
      </c>
    </row>
    <row r="3923" spans="1:17" ht="57.6" x14ac:dyDescent="0.3">
      <c r="A3923" s="22" t="s">
        <v>7881</v>
      </c>
      <c r="B3923" s="22" t="s">
        <v>7903</v>
      </c>
      <c r="C3923" s="22" t="s">
        <v>7906</v>
      </c>
      <c r="D3923" s="22" t="s">
        <v>7710</v>
      </c>
      <c r="E3923" s="22" t="s">
        <v>1046</v>
      </c>
      <c r="F3923" s="24" t="s">
        <v>1047</v>
      </c>
      <c r="G3923" s="23" t="s">
        <v>32</v>
      </c>
      <c r="H3923" s="22"/>
      <c r="I3923" s="22"/>
      <c r="J3923" s="22" t="s">
        <v>990</v>
      </c>
      <c r="K3923" s="24"/>
      <c r="L3923" s="24"/>
      <c r="M3923" s="25" t="s">
        <v>1048</v>
      </c>
      <c r="N3923" s="22"/>
      <c r="O3923" s="22" t="s">
        <v>1049</v>
      </c>
      <c r="P3923" s="22" t="str">
        <f>HYPERLINK("https://ceds.ed.gov/cedselementdetails.aspx?termid=22034")</f>
        <v>https://ceds.ed.gov/cedselementdetails.aspx?termid=22034</v>
      </c>
      <c r="Q3923" s="22">
        <v>59472</v>
      </c>
    </row>
    <row r="3924" spans="1:17" ht="57.6" x14ac:dyDescent="0.3">
      <c r="A3924" s="22" t="s">
        <v>7881</v>
      </c>
      <c r="B3924" s="22" t="s">
        <v>7903</v>
      </c>
      <c r="C3924" s="22" t="s">
        <v>7906</v>
      </c>
      <c r="D3924" s="22" t="s">
        <v>7710</v>
      </c>
      <c r="E3924" s="22" t="s">
        <v>1050</v>
      </c>
      <c r="F3924" s="24" t="s">
        <v>7996</v>
      </c>
      <c r="G3924" s="26" t="s">
        <v>8628</v>
      </c>
      <c r="H3924" s="22"/>
      <c r="I3924" s="22"/>
      <c r="J3924" s="22"/>
      <c r="K3924" s="24"/>
      <c r="L3924" s="24"/>
      <c r="M3924" s="25" t="s">
        <v>1051</v>
      </c>
      <c r="N3924" s="22"/>
      <c r="O3924" s="22" t="s">
        <v>1052</v>
      </c>
      <c r="P3924" s="22" t="str">
        <f>HYPERLINK("https://ceds.ed.gov/cedselementdetails.aspx?termid=22051")</f>
        <v>https://ceds.ed.gov/cedselementdetails.aspx?termid=22051</v>
      </c>
      <c r="Q3924" s="22">
        <v>59487</v>
      </c>
    </row>
    <row r="3925" spans="1:17" ht="43.2" x14ac:dyDescent="0.3">
      <c r="A3925" s="22" t="s">
        <v>7881</v>
      </c>
      <c r="B3925" s="22" t="s">
        <v>7903</v>
      </c>
      <c r="C3925" s="22" t="s">
        <v>7906</v>
      </c>
      <c r="D3925" s="22" t="s">
        <v>7710</v>
      </c>
      <c r="E3925" s="22" t="s">
        <v>1065</v>
      </c>
      <c r="F3925" s="24" t="s">
        <v>1066</v>
      </c>
      <c r="G3925" s="23" t="s">
        <v>32</v>
      </c>
      <c r="H3925" s="22"/>
      <c r="I3925" s="22"/>
      <c r="J3925" s="22" t="s">
        <v>990</v>
      </c>
      <c r="K3925" s="24"/>
      <c r="L3925" s="24"/>
      <c r="M3925" s="25" t="s">
        <v>1067</v>
      </c>
      <c r="N3925" s="22"/>
      <c r="O3925" s="22" t="s">
        <v>1068</v>
      </c>
      <c r="P3925" s="22" t="str">
        <f>HYPERLINK("https://ceds.ed.gov/cedselementdetails.aspx?termid=22031")</f>
        <v>https://ceds.ed.gov/cedselementdetails.aspx?termid=22031</v>
      </c>
      <c r="Q3925" s="22">
        <v>59469</v>
      </c>
    </row>
    <row r="3926" spans="1:17" ht="57.6" x14ac:dyDescent="0.3">
      <c r="A3926" s="22" t="s">
        <v>7881</v>
      </c>
      <c r="B3926" s="22" t="s">
        <v>7903</v>
      </c>
      <c r="C3926" s="22" t="s">
        <v>7906</v>
      </c>
      <c r="D3926" s="22" t="s">
        <v>7710</v>
      </c>
      <c r="E3926" s="22" t="s">
        <v>1069</v>
      </c>
      <c r="F3926" s="24" t="s">
        <v>1070</v>
      </c>
      <c r="G3926" s="26" t="s">
        <v>22</v>
      </c>
      <c r="H3926" s="22"/>
      <c r="I3926" s="22"/>
      <c r="J3926" s="22"/>
      <c r="K3926" s="24"/>
      <c r="L3926" s="24"/>
      <c r="M3926" s="25" t="s">
        <v>1071</v>
      </c>
      <c r="N3926" s="22"/>
      <c r="O3926" s="22" t="s">
        <v>1072</v>
      </c>
      <c r="P3926" s="22" t="str">
        <f>HYPERLINK("https://ceds.ed.gov/cedselementdetails.aspx?termid=22048")</f>
        <v>https://ceds.ed.gov/cedselementdetails.aspx?termid=22048</v>
      </c>
      <c r="Q3926" s="22">
        <v>59484</v>
      </c>
    </row>
    <row r="3927" spans="1:17" ht="43.2" x14ac:dyDescent="0.3">
      <c r="A3927" s="22" t="s">
        <v>7881</v>
      </c>
      <c r="B3927" s="22" t="s">
        <v>7903</v>
      </c>
      <c r="C3927" s="22" t="s">
        <v>7906</v>
      </c>
      <c r="D3927" s="22" t="s">
        <v>7710</v>
      </c>
      <c r="E3927" s="22" t="s">
        <v>1073</v>
      </c>
      <c r="F3927" s="24" t="s">
        <v>1074</v>
      </c>
      <c r="G3927" s="26" t="s">
        <v>8630</v>
      </c>
      <c r="H3927" s="22"/>
      <c r="I3927" s="22"/>
      <c r="J3927" s="22"/>
      <c r="K3927" s="24"/>
      <c r="L3927" s="24"/>
      <c r="M3927" s="25" t="s">
        <v>1075</v>
      </c>
      <c r="N3927" s="22"/>
      <c r="O3927" s="22" t="s">
        <v>1076</v>
      </c>
      <c r="P3927" s="22" t="str">
        <f>HYPERLINK("https://ceds.ed.gov/cedselementdetails.aspx?termid=22044")</f>
        <v>https://ceds.ed.gov/cedselementdetails.aspx?termid=22044</v>
      </c>
      <c r="Q3927" s="22">
        <v>59481</v>
      </c>
    </row>
    <row r="3928" spans="1:17" ht="86.4" x14ac:dyDescent="0.3">
      <c r="A3928" s="22" t="s">
        <v>7881</v>
      </c>
      <c r="B3928" s="22" t="s">
        <v>7903</v>
      </c>
      <c r="C3928" s="22" t="s">
        <v>7906</v>
      </c>
      <c r="D3928" s="22" t="s">
        <v>7710</v>
      </c>
      <c r="E3928" s="22" t="s">
        <v>1077</v>
      </c>
      <c r="F3928" s="24" t="s">
        <v>1078</v>
      </c>
      <c r="G3928" s="23" t="s">
        <v>32</v>
      </c>
      <c r="H3928" s="22"/>
      <c r="I3928" s="22"/>
      <c r="J3928" s="22" t="s">
        <v>50</v>
      </c>
      <c r="K3928" s="24"/>
      <c r="L3928" s="24"/>
      <c r="M3928" s="25" t="s">
        <v>1079</v>
      </c>
      <c r="N3928" s="22"/>
      <c r="O3928" s="22" t="s">
        <v>1080</v>
      </c>
      <c r="P3928" s="22" t="str">
        <f>HYPERLINK("https://ceds.ed.gov/cedselementdetails.aspx?termid=22053")</f>
        <v>https://ceds.ed.gov/cedselementdetails.aspx?termid=22053</v>
      </c>
      <c r="Q3928" s="22">
        <v>59489</v>
      </c>
    </row>
    <row r="3929" spans="1:17" ht="43.2" x14ac:dyDescent="0.3">
      <c r="A3929" s="22" t="s">
        <v>7881</v>
      </c>
      <c r="B3929" s="22" t="s">
        <v>7903</v>
      </c>
      <c r="C3929" s="22" t="s">
        <v>7906</v>
      </c>
      <c r="D3929" s="22" t="s">
        <v>7710</v>
      </c>
      <c r="E3929" s="22" t="s">
        <v>1081</v>
      </c>
      <c r="F3929" s="24" t="s">
        <v>1082</v>
      </c>
      <c r="G3929" s="23" t="s">
        <v>32</v>
      </c>
      <c r="H3929" s="22"/>
      <c r="I3929" s="22"/>
      <c r="J3929" s="22" t="s">
        <v>317</v>
      </c>
      <c r="K3929" s="24"/>
      <c r="L3929" s="24"/>
      <c r="M3929" s="25" t="s">
        <v>1083</v>
      </c>
      <c r="N3929" s="22"/>
      <c r="O3929" s="22" t="s">
        <v>1084</v>
      </c>
      <c r="P3929" s="22" t="str">
        <f>HYPERLINK("https://ceds.ed.gov/cedselementdetails.aspx?termid=22030")</f>
        <v>https://ceds.ed.gov/cedselementdetails.aspx?termid=22030</v>
      </c>
      <c r="Q3929" s="22">
        <v>59468</v>
      </c>
    </row>
    <row r="3930" spans="1:17" ht="43.2" x14ac:dyDescent="0.3">
      <c r="A3930" s="22" t="s">
        <v>7881</v>
      </c>
      <c r="B3930" s="22" t="s">
        <v>7903</v>
      </c>
      <c r="C3930" s="22" t="s">
        <v>7906</v>
      </c>
      <c r="D3930" s="22" t="s">
        <v>7710</v>
      </c>
      <c r="E3930" s="22" t="s">
        <v>1085</v>
      </c>
      <c r="F3930" s="24" t="s">
        <v>1086</v>
      </c>
      <c r="G3930" s="26" t="s">
        <v>8631</v>
      </c>
      <c r="H3930" s="22"/>
      <c r="I3930" s="22"/>
      <c r="J3930" s="22"/>
      <c r="K3930" s="24"/>
      <c r="L3930" s="24"/>
      <c r="M3930" s="25" t="s">
        <v>1087</v>
      </c>
      <c r="N3930" s="22"/>
      <c r="O3930" s="22" t="s">
        <v>1088</v>
      </c>
      <c r="P3930" s="22" t="str">
        <f>HYPERLINK("https://ceds.ed.gov/cedselementdetails.aspx?termid=22046")</f>
        <v>https://ceds.ed.gov/cedselementdetails.aspx?termid=22046</v>
      </c>
      <c r="Q3930" s="22">
        <v>59483</v>
      </c>
    </row>
    <row r="3931" spans="1:17" ht="43.2" x14ac:dyDescent="0.3">
      <c r="A3931" s="22" t="s">
        <v>7881</v>
      </c>
      <c r="B3931" s="22" t="s">
        <v>7903</v>
      </c>
      <c r="C3931" s="22" t="s">
        <v>7906</v>
      </c>
      <c r="D3931" s="22" t="s">
        <v>7710</v>
      </c>
      <c r="E3931" s="22" t="s">
        <v>1113</v>
      </c>
      <c r="F3931" s="24" t="s">
        <v>1114</v>
      </c>
      <c r="G3931" s="23" t="s">
        <v>32</v>
      </c>
      <c r="H3931" s="22"/>
      <c r="I3931" s="22"/>
      <c r="J3931" s="22" t="s">
        <v>990</v>
      </c>
      <c r="K3931" s="24"/>
      <c r="L3931" s="24"/>
      <c r="M3931" s="25" t="s">
        <v>1115</v>
      </c>
      <c r="N3931" s="22"/>
      <c r="O3931" s="22" t="s">
        <v>1116</v>
      </c>
      <c r="P3931" s="22" t="str">
        <f>HYPERLINK("https://ceds.ed.gov/cedselementdetails.aspx?termid=22032")</f>
        <v>https://ceds.ed.gov/cedselementdetails.aspx?termid=22032</v>
      </c>
      <c r="Q3931" s="22">
        <v>59470</v>
      </c>
    </row>
    <row r="3932" spans="1:17" ht="86.4" x14ac:dyDescent="0.3">
      <c r="A3932" s="22" t="s">
        <v>7881</v>
      </c>
      <c r="B3932" s="22" t="s">
        <v>7903</v>
      </c>
      <c r="C3932" s="22" t="s">
        <v>7906</v>
      </c>
      <c r="D3932" s="22" t="s">
        <v>7710</v>
      </c>
      <c r="E3932" s="22" t="s">
        <v>1093</v>
      </c>
      <c r="F3932" s="24" t="s">
        <v>7997</v>
      </c>
      <c r="G3932" s="23" t="s">
        <v>32</v>
      </c>
      <c r="H3932" s="22"/>
      <c r="I3932" s="22"/>
      <c r="J3932" s="22" t="s">
        <v>328</v>
      </c>
      <c r="K3932" s="24"/>
      <c r="L3932" s="24"/>
      <c r="M3932" s="25" t="s">
        <v>1094</v>
      </c>
      <c r="N3932" s="22"/>
      <c r="O3932" s="22" t="s">
        <v>1095</v>
      </c>
      <c r="P3932" s="22" t="str">
        <f>HYPERLINK("https://ceds.ed.gov/cedselementdetails.aspx?termid=22052")</f>
        <v>https://ceds.ed.gov/cedselementdetails.aspx?termid=22052</v>
      </c>
      <c r="Q3932" s="22">
        <v>59488</v>
      </c>
    </row>
    <row r="3933" spans="1:17" ht="72" x14ac:dyDescent="0.3">
      <c r="A3933" s="22" t="s">
        <v>7881</v>
      </c>
      <c r="B3933" s="22" t="s">
        <v>7903</v>
      </c>
      <c r="C3933" s="22" t="s">
        <v>7906</v>
      </c>
      <c r="D3933" s="22" t="s">
        <v>7710</v>
      </c>
      <c r="E3933" s="22" t="s">
        <v>1105</v>
      </c>
      <c r="F3933" s="24" t="s">
        <v>1106</v>
      </c>
      <c r="G3933" s="26" t="s">
        <v>8633</v>
      </c>
      <c r="H3933" s="22"/>
      <c r="I3933" s="22"/>
      <c r="J3933" s="22"/>
      <c r="K3933" s="24"/>
      <c r="L3933" s="24"/>
      <c r="M3933" s="25" t="s">
        <v>1107</v>
      </c>
      <c r="N3933" s="22"/>
      <c r="O3933" s="22" t="s">
        <v>1108</v>
      </c>
      <c r="P3933" s="22" t="str">
        <f>HYPERLINK("https://ceds.ed.gov/cedselementdetails.aspx?termid=22028")</f>
        <v>https://ceds.ed.gov/cedselementdetails.aspx?termid=22028</v>
      </c>
      <c r="Q3933" s="22">
        <v>59466</v>
      </c>
    </row>
    <row r="3934" spans="1:17" ht="43.2" x14ac:dyDescent="0.3">
      <c r="A3934" s="22" t="s">
        <v>7881</v>
      </c>
      <c r="B3934" s="22" t="s">
        <v>7903</v>
      </c>
      <c r="C3934" s="22" t="s">
        <v>7907</v>
      </c>
      <c r="D3934" s="22" t="s">
        <v>7710</v>
      </c>
      <c r="E3934" s="22" t="s">
        <v>981</v>
      </c>
      <c r="F3934" s="24" t="s">
        <v>982</v>
      </c>
      <c r="G3934" s="23" t="s">
        <v>32</v>
      </c>
      <c r="H3934" s="22"/>
      <c r="I3934" s="22"/>
      <c r="J3934" s="22" t="s">
        <v>984</v>
      </c>
      <c r="K3934" s="24"/>
      <c r="L3934" s="24"/>
      <c r="M3934" s="25" t="s">
        <v>985</v>
      </c>
      <c r="N3934" s="22"/>
      <c r="O3934" s="22" t="s">
        <v>986</v>
      </c>
      <c r="P3934" s="22" t="str">
        <f>HYPERLINK("https://ceds.ed.gov/cedselementdetails.aspx?termid=22059")</f>
        <v>https://ceds.ed.gov/cedselementdetails.aspx?termid=22059</v>
      </c>
      <c r="Q3934" s="22">
        <v>59494</v>
      </c>
    </row>
    <row r="3935" spans="1:17" ht="43.2" x14ac:dyDescent="0.3">
      <c r="A3935" s="22" t="s">
        <v>7881</v>
      </c>
      <c r="B3935" s="22" t="s">
        <v>7903</v>
      </c>
      <c r="C3935" s="22" t="s">
        <v>7907</v>
      </c>
      <c r="D3935" s="22" t="s">
        <v>7710</v>
      </c>
      <c r="E3935" s="22" t="s">
        <v>1009</v>
      </c>
      <c r="F3935" s="24" t="s">
        <v>1010</v>
      </c>
      <c r="G3935" s="23" t="s">
        <v>32</v>
      </c>
      <c r="H3935" s="22"/>
      <c r="I3935" s="22"/>
      <c r="J3935" s="22" t="s">
        <v>984</v>
      </c>
      <c r="K3935" s="24"/>
      <c r="L3935" s="24"/>
      <c r="M3935" s="25" t="s">
        <v>1011</v>
      </c>
      <c r="N3935" s="22"/>
      <c r="O3935" s="22" t="s">
        <v>1012</v>
      </c>
      <c r="P3935" s="22" t="str">
        <f>HYPERLINK("https://ceds.ed.gov/cedselementdetails.aspx?termid=22058")</f>
        <v>https://ceds.ed.gov/cedselementdetails.aspx?termid=22058</v>
      </c>
      <c r="Q3935" s="22">
        <v>59493</v>
      </c>
    </row>
    <row r="3936" spans="1:17" ht="57.6" x14ac:dyDescent="0.3">
      <c r="A3936" s="22" t="s">
        <v>7881</v>
      </c>
      <c r="B3936" s="22" t="s">
        <v>7903</v>
      </c>
      <c r="C3936" s="22" t="s">
        <v>7907</v>
      </c>
      <c r="D3936" s="22" t="s">
        <v>7710</v>
      </c>
      <c r="E3936" s="22" t="s">
        <v>1017</v>
      </c>
      <c r="F3936" s="24" t="s">
        <v>1018</v>
      </c>
      <c r="G3936" s="26" t="s">
        <v>8626</v>
      </c>
      <c r="H3936" s="22"/>
      <c r="I3936" s="22"/>
      <c r="J3936" s="22"/>
      <c r="K3936" s="24"/>
      <c r="L3936" s="24"/>
      <c r="M3936" s="25" t="s">
        <v>1019</v>
      </c>
      <c r="N3936" s="22"/>
      <c r="O3936" s="22" t="s">
        <v>1020</v>
      </c>
      <c r="P3936" s="22" t="str">
        <f>HYPERLINK("https://ceds.ed.gov/cedselementdetails.aspx?termid=22060")</f>
        <v>https://ceds.ed.gov/cedselementdetails.aspx?termid=22060</v>
      </c>
      <c r="Q3936" s="22">
        <v>59495</v>
      </c>
    </row>
    <row r="3937" spans="1:17" ht="43.2" x14ac:dyDescent="0.3">
      <c r="A3937" s="22" t="s">
        <v>7881</v>
      </c>
      <c r="B3937" s="22" t="s">
        <v>7903</v>
      </c>
      <c r="C3937" s="22" t="s">
        <v>7907</v>
      </c>
      <c r="D3937" s="22" t="s">
        <v>7710</v>
      </c>
      <c r="E3937" s="22" t="s">
        <v>1061</v>
      </c>
      <c r="F3937" s="24" t="s">
        <v>1062</v>
      </c>
      <c r="G3937" s="23" t="s">
        <v>32</v>
      </c>
      <c r="H3937" s="22"/>
      <c r="I3937" s="22"/>
      <c r="J3937" s="22" t="s">
        <v>984</v>
      </c>
      <c r="K3937" s="24"/>
      <c r="L3937" s="24"/>
      <c r="M3937" s="25" t="s">
        <v>1063</v>
      </c>
      <c r="N3937" s="22"/>
      <c r="O3937" s="22" t="s">
        <v>1064</v>
      </c>
      <c r="P3937" s="22" t="str">
        <f>HYPERLINK("https://ceds.ed.gov/cedselementdetails.aspx?termid=22057")</f>
        <v>https://ceds.ed.gov/cedselementdetails.aspx?termid=22057</v>
      </c>
      <c r="Q3937" s="22">
        <v>59492</v>
      </c>
    </row>
    <row r="3938" spans="1:17" ht="172.8" x14ac:dyDescent="0.3">
      <c r="A3938" s="22" t="s">
        <v>7881</v>
      </c>
      <c r="B3938" s="22" t="s">
        <v>7908</v>
      </c>
      <c r="C3938" s="22"/>
      <c r="D3938" s="22" t="s">
        <v>7710</v>
      </c>
      <c r="E3938" s="22" t="s">
        <v>623</v>
      </c>
      <c r="F3938" s="24" t="s">
        <v>7972</v>
      </c>
      <c r="G3938" s="23" t="s">
        <v>32</v>
      </c>
      <c r="H3938" s="24" t="s">
        <v>627</v>
      </c>
      <c r="I3938" s="22" t="s">
        <v>172</v>
      </c>
      <c r="J3938" s="22" t="s">
        <v>780</v>
      </c>
      <c r="K3938" s="24" t="s">
        <v>7973</v>
      </c>
      <c r="L3938" s="24" t="s">
        <v>7945</v>
      </c>
      <c r="M3938" s="25" t="s">
        <v>625</v>
      </c>
      <c r="N3938" s="22"/>
      <c r="O3938" s="22" t="s">
        <v>626</v>
      </c>
      <c r="P3938" s="22" t="str">
        <f>HYPERLINK("https://ceds.ed.gov/cedselementdetails.aspx?termid=21152")</f>
        <v>https://ceds.ed.gov/cedselementdetails.aspx?termid=21152</v>
      </c>
      <c r="Q3938" s="22">
        <v>59542</v>
      </c>
    </row>
    <row r="3939" spans="1:17" ht="115.2" x14ac:dyDescent="0.3">
      <c r="A3939" s="22" t="s">
        <v>7881</v>
      </c>
      <c r="B3939" s="22" t="s">
        <v>7908</v>
      </c>
      <c r="C3939" s="22"/>
      <c r="D3939" s="22" t="s">
        <v>7710</v>
      </c>
      <c r="E3939" s="22" t="s">
        <v>617</v>
      </c>
      <c r="F3939" s="24" t="s">
        <v>618</v>
      </c>
      <c r="G3939" s="26" t="s">
        <v>8612</v>
      </c>
      <c r="H3939" s="24" t="s">
        <v>622</v>
      </c>
      <c r="I3939" s="22"/>
      <c r="J3939" s="22"/>
      <c r="K3939" s="24"/>
      <c r="L3939" s="24"/>
      <c r="M3939" s="25" t="s">
        <v>620</v>
      </c>
      <c r="N3939" s="22"/>
      <c r="O3939" s="22" t="s">
        <v>621</v>
      </c>
      <c r="P3939" s="22" t="str">
        <f>HYPERLINK("https://ceds.ed.gov/cedselementdetails.aspx?termid=21158")</f>
        <v>https://ceds.ed.gov/cedselementdetails.aspx?termid=21158</v>
      </c>
      <c r="Q3939" s="22">
        <v>59183</v>
      </c>
    </row>
    <row r="3940" spans="1:17" ht="43.2" x14ac:dyDescent="0.3">
      <c r="A3940" s="22" t="s">
        <v>7881</v>
      </c>
      <c r="B3940" s="22" t="s">
        <v>7908</v>
      </c>
      <c r="C3940" s="22"/>
      <c r="D3940" s="22" t="s">
        <v>7710</v>
      </c>
      <c r="E3940" s="22" t="s">
        <v>420</v>
      </c>
      <c r="F3940" s="24" t="s">
        <v>421</v>
      </c>
      <c r="G3940" s="23" t="s">
        <v>32</v>
      </c>
      <c r="H3940" s="22"/>
      <c r="I3940" s="22"/>
      <c r="J3940" s="22" t="s">
        <v>85</v>
      </c>
      <c r="K3940" s="24"/>
      <c r="L3940" s="24"/>
      <c r="M3940" s="25" t="s">
        <v>422</v>
      </c>
      <c r="N3940" s="22"/>
      <c r="O3940" s="22" t="s">
        <v>423</v>
      </c>
      <c r="P3940" s="22" t="str">
        <f>HYPERLINK("https://ceds.ed.gov/cedselementdetails.aspx?termid=21962")</f>
        <v>https://ceds.ed.gov/cedselementdetails.aspx?termid=21962</v>
      </c>
      <c r="Q3940" s="22">
        <v>60849</v>
      </c>
    </row>
    <row r="3941" spans="1:17" x14ac:dyDescent="0.3">
      <c r="A3941" s="22" t="s">
        <v>7881</v>
      </c>
      <c r="B3941" s="22" t="s">
        <v>7908</v>
      </c>
      <c r="C3941" s="22"/>
      <c r="D3941" s="22" t="s">
        <v>7710</v>
      </c>
      <c r="E3941" s="22" t="s">
        <v>433</v>
      </c>
      <c r="F3941" s="24" t="s">
        <v>434</v>
      </c>
      <c r="G3941" s="23" t="s">
        <v>32</v>
      </c>
      <c r="H3941" s="22"/>
      <c r="I3941" s="22"/>
      <c r="J3941" s="22" t="s">
        <v>85</v>
      </c>
      <c r="K3941" s="24"/>
      <c r="L3941" s="24"/>
      <c r="M3941" s="25" t="s">
        <v>435</v>
      </c>
      <c r="N3941" s="22"/>
      <c r="O3941" s="22" t="s">
        <v>436</v>
      </c>
      <c r="P3941" s="22" t="str">
        <f>HYPERLINK("https://ceds.ed.gov/cedselementdetails.aspx?termid=21978")</f>
        <v>https://ceds.ed.gov/cedselementdetails.aspx?termid=21978</v>
      </c>
      <c r="Q3941" s="22">
        <v>59429</v>
      </c>
    </row>
    <row r="3942" spans="1:17" ht="43.2" x14ac:dyDescent="0.3">
      <c r="A3942" s="22" t="s">
        <v>7881</v>
      </c>
      <c r="B3942" s="22" t="s">
        <v>7908</v>
      </c>
      <c r="C3942" s="22"/>
      <c r="D3942" s="22" t="s">
        <v>7710</v>
      </c>
      <c r="E3942" s="22" t="s">
        <v>449</v>
      </c>
      <c r="F3942" s="24" t="s">
        <v>450</v>
      </c>
      <c r="G3942" s="23" t="s">
        <v>32</v>
      </c>
      <c r="H3942" s="22"/>
      <c r="I3942" s="22"/>
      <c r="J3942" s="22" t="s">
        <v>430</v>
      </c>
      <c r="K3942" s="24"/>
      <c r="L3942" s="24"/>
      <c r="M3942" s="25" t="s">
        <v>451</v>
      </c>
      <c r="N3942" s="22"/>
      <c r="O3942" s="22" t="s">
        <v>452</v>
      </c>
      <c r="P3942" s="22" t="str">
        <f>HYPERLINK("https://ceds.ed.gov/cedselementdetails.aspx?termid=21964")</f>
        <v>https://ceds.ed.gov/cedselementdetails.aspx?termid=21964</v>
      </c>
      <c r="Q3942" s="22">
        <v>60854</v>
      </c>
    </row>
    <row r="3943" spans="1:17" ht="43.2" x14ac:dyDescent="0.3">
      <c r="A3943" s="22" t="s">
        <v>7881</v>
      </c>
      <c r="B3943" s="22" t="s">
        <v>7908</v>
      </c>
      <c r="C3943" s="22"/>
      <c r="D3943" s="22" t="s">
        <v>7710</v>
      </c>
      <c r="E3943" s="22" t="s">
        <v>428</v>
      </c>
      <c r="F3943" s="24" t="s">
        <v>429</v>
      </c>
      <c r="G3943" s="23" t="s">
        <v>32</v>
      </c>
      <c r="H3943" s="22"/>
      <c r="I3943" s="22"/>
      <c r="J3943" s="22" t="s">
        <v>430</v>
      </c>
      <c r="K3943" s="24"/>
      <c r="L3943" s="24"/>
      <c r="M3943" s="25" t="s">
        <v>431</v>
      </c>
      <c r="N3943" s="22"/>
      <c r="O3943" s="22" t="s">
        <v>432</v>
      </c>
      <c r="P3943" s="22" t="str">
        <f>HYPERLINK("https://ceds.ed.gov/cedselementdetails.aspx?termid=21966")</f>
        <v>https://ceds.ed.gov/cedselementdetails.aspx?termid=21966</v>
      </c>
      <c r="Q3943" s="22">
        <v>60851</v>
      </c>
    </row>
    <row r="3944" spans="1:17" ht="43.2" x14ac:dyDescent="0.3">
      <c r="A3944" s="22" t="s">
        <v>7881</v>
      </c>
      <c r="B3944" s="22" t="s">
        <v>7908</v>
      </c>
      <c r="C3944" s="22"/>
      <c r="D3944" s="22" t="s">
        <v>7710</v>
      </c>
      <c r="E3944" s="22" t="s">
        <v>445</v>
      </c>
      <c r="F3944" s="24" t="s">
        <v>446</v>
      </c>
      <c r="G3944" s="23" t="s">
        <v>32</v>
      </c>
      <c r="H3944" s="22"/>
      <c r="I3944" s="22"/>
      <c r="J3944" s="22" t="s">
        <v>118</v>
      </c>
      <c r="K3944" s="24"/>
      <c r="L3944" s="24"/>
      <c r="M3944" s="25" t="s">
        <v>447</v>
      </c>
      <c r="N3944" s="22"/>
      <c r="O3944" s="22" t="s">
        <v>448</v>
      </c>
      <c r="P3944" s="22" t="str">
        <f>HYPERLINK("https://ceds.ed.gov/cedselementdetails.aspx?termid=21963")</f>
        <v>https://ceds.ed.gov/cedselementdetails.aspx?termid=21963</v>
      </c>
      <c r="Q3944" s="22">
        <v>60853</v>
      </c>
    </row>
    <row r="3945" spans="1:17" ht="43.2" x14ac:dyDescent="0.3">
      <c r="A3945" s="22" t="s">
        <v>7881</v>
      </c>
      <c r="B3945" s="22" t="s">
        <v>7908</v>
      </c>
      <c r="C3945" s="22"/>
      <c r="D3945" s="22" t="s">
        <v>7710</v>
      </c>
      <c r="E3945" s="22" t="s">
        <v>424</v>
      </c>
      <c r="F3945" s="24" t="s">
        <v>425</v>
      </c>
      <c r="G3945" s="23" t="s">
        <v>32</v>
      </c>
      <c r="H3945" s="22"/>
      <c r="I3945" s="22"/>
      <c r="J3945" s="22" t="s">
        <v>118</v>
      </c>
      <c r="K3945" s="24"/>
      <c r="L3945" s="24"/>
      <c r="M3945" s="25" t="s">
        <v>426</v>
      </c>
      <c r="N3945" s="22"/>
      <c r="O3945" s="22" t="s">
        <v>427</v>
      </c>
      <c r="P3945" s="22" t="str">
        <f>HYPERLINK("https://ceds.ed.gov/cedselementdetails.aspx?termid=21965")</f>
        <v>https://ceds.ed.gov/cedselementdetails.aspx?termid=21965</v>
      </c>
      <c r="Q3945" s="22">
        <v>60850</v>
      </c>
    </row>
    <row r="3946" spans="1:17" ht="72" x14ac:dyDescent="0.3">
      <c r="A3946" s="22" t="s">
        <v>7881</v>
      </c>
      <c r="B3946" s="22" t="s">
        <v>7908</v>
      </c>
      <c r="C3946" s="22"/>
      <c r="D3946" s="22" t="s">
        <v>7710</v>
      </c>
      <c r="E3946" s="22" t="s">
        <v>415</v>
      </c>
      <c r="F3946" s="24" t="s">
        <v>416</v>
      </c>
      <c r="G3946" s="23" t="s">
        <v>32</v>
      </c>
      <c r="H3946" s="22"/>
      <c r="I3946" s="22"/>
      <c r="J3946" s="22" t="s">
        <v>157</v>
      </c>
      <c r="K3946" s="24"/>
      <c r="L3946" s="24" t="s">
        <v>7964</v>
      </c>
      <c r="M3946" s="25" t="s">
        <v>418</v>
      </c>
      <c r="N3946" s="22"/>
      <c r="O3946" s="22" t="s">
        <v>419</v>
      </c>
      <c r="P3946" s="22" t="str">
        <f>HYPERLINK("https://ceds.ed.gov/cedselementdetails.aspx?termid=21968")</f>
        <v>https://ceds.ed.gov/cedselementdetails.aspx?termid=21968</v>
      </c>
      <c r="Q3946" s="22">
        <v>60848</v>
      </c>
    </row>
    <row r="3947" spans="1:17" ht="172.8" x14ac:dyDescent="0.3">
      <c r="A3947" s="22" t="s">
        <v>7881</v>
      </c>
      <c r="B3947" s="22" t="s">
        <v>7908</v>
      </c>
      <c r="C3947" s="22"/>
      <c r="D3947" s="22" t="s">
        <v>7710</v>
      </c>
      <c r="E3947" s="22" t="s">
        <v>6625</v>
      </c>
      <c r="F3947" s="24" t="s">
        <v>280</v>
      </c>
      <c r="G3947" s="23" t="s">
        <v>32</v>
      </c>
      <c r="H3947" s="24" t="s">
        <v>6624</v>
      </c>
      <c r="I3947" s="22" t="s">
        <v>172</v>
      </c>
      <c r="J3947" s="22" t="s">
        <v>132</v>
      </c>
      <c r="K3947" s="24" t="s">
        <v>7946</v>
      </c>
      <c r="L3947" s="24" t="s">
        <v>7945</v>
      </c>
      <c r="M3947" s="25" t="s">
        <v>6626</v>
      </c>
      <c r="N3947" s="22"/>
      <c r="O3947" s="22" t="s">
        <v>6627</v>
      </c>
      <c r="P3947" s="22" t="str">
        <f>HYPERLINK("https://ceds.ed.gov/cedselementdetails.aspx?termid=21155")</f>
        <v>https://ceds.ed.gov/cedselementdetails.aspx?termid=21155</v>
      </c>
      <c r="Q3947" s="22">
        <v>59590</v>
      </c>
    </row>
    <row r="3948" spans="1:17" ht="187.2" x14ac:dyDescent="0.3">
      <c r="A3948" s="22" t="s">
        <v>7881</v>
      </c>
      <c r="B3948" s="22" t="s">
        <v>7908</v>
      </c>
      <c r="C3948" s="22"/>
      <c r="D3948" s="22" t="s">
        <v>7710</v>
      </c>
      <c r="E3948" s="22" t="s">
        <v>6621</v>
      </c>
      <c r="F3948" s="24" t="s">
        <v>275</v>
      </c>
      <c r="G3948" s="26" t="s">
        <v>8521</v>
      </c>
      <c r="H3948" s="24" t="s">
        <v>6624</v>
      </c>
      <c r="I3948" s="22" t="s">
        <v>172</v>
      </c>
      <c r="J3948" s="22"/>
      <c r="K3948" s="24" t="s">
        <v>7946</v>
      </c>
      <c r="L3948" s="24"/>
      <c r="M3948" s="25" t="s">
        <v>6622</v>
      </c>
      <c r="N3948" s="22"/>
      <c r="O3948" s="22" t="s">
        <v>6623</v>
      </c>
      <c r="P3948" s="22" t="str">
        <f>HYPERLINK("https://ceds.ed.gov/cedselementdetails.aspx?termid=21161")</f>
        <v>https://ceds.ed.gov/cedselementdetails.aspx?termid=21161</v>
      </c>
      <c r="Q3948" s="22">
        <v>59587</v>
      </c>
    </row>
    <row r="3949" spans="1:17" ht="172.8" x14ac:dyDescent="0.3">
      <c r="A3949" s="22" t="s">
        <v>7881</v>
      </c>
      <c r="B3949" s="22" t="s">
        <v>7908</v>
      </c>
      <c r="C3949" s="22"/>
      <c r="D3949" s="22" t="s">
        <v>7710</v>
      </c>
      <c r="E3949" s="22" t="s">
        <v>5343</v>
      </c>
      <c r="F3949" s="24" t="s">
        <v>5344</v>
      </c>
      <c r="G3949" s="23" t="s">
        <v>32</v>
      </c>
      <c r="H3949" s="24" t="s">
        <v>5342</v>
      </c>
      <c r="I3949" s="22" t="s">
        <v>172</v>
      </c>
      <c r="J3949" s="22" t="s">
        <v>132</v>
      </c>
      <c r="K3949" s="24" t="s">
        <v>7946</v>
      </c>
      <c r="L3949" s="24" t="s">
        <v>8043</v>
      </c>
      <c r="M3949" s="25" t="s">
        <v>5345</v>
      </c>
      <c r="N3949" s="22" t="s">
        <v>5346</v>
      </c>
      <c r="O3949" s="22" t="s">
        <v>5347</v>
      </c>
      <c r="P3949" s="22" t="str">
        <f>HYPERLINK("https://ceds.ed.gov/cedselementdetails.aspx?termid=21153")</f>
        <v>https://ceds.ed.gov/cedselementdetails.aspx?termid=21153</v>
      </c>
      <c r="Q3949" s="22">
        <v>59596</v>
      </c>
    </row>
    <row r="3950" spans="1:17" ht="172.8" x14ac:dyDescent="0.3">
      <c r="A3950" s="22" t="s">
        <v>7881</v>
      </c>
      <c r="B3950" s="22" t="s">
        <v>7908</v>
      </c>
      <c r="C3950" s="22"/>
      <c r="D3950" s="22" t="s">
        <v>7710</v>
      </c>
      <c r="E3950" s="22" t="s">
        <v>5337</v>
      </c>
      <c r="F3950" s="24" t="s">
        <v>5338</v>
      </c>
      <c r="G3950" s="26" t="s">
        <v>8472</v>
      </c>
      <c r="H3950" s="24" t="s">
        <v>5342</v>
      </c>
      <c r="I3950" s="22" t="s">
        <v>172</v>
      </c>
      <c r="J3950" s="22"/>
      <c r="K3950" s="24" t="s">
        <v>7946</v>
      </c>
      <c r="L3950" s="24"/>
      <c r="M3950" s="25" t="s">
        <v>5339</v>
      </c>
      <c r="N3950" s="22" t="s">
        <v>5340</v>
      </c>
      <c r="O3950" s="22" t="s">
        <v>5341</v>
      </c>
      <c r="P3950" s="22" t="str">
        <f>HYPERLINK("https://ceds.ed.gov/cedselementdetails.aspx?termid=21159")</f>
        <v>https://ceds.ed.gov/cedselementdetails.aspx?termid=21159</v>
      </c>
      <c r="Q3950" s="22">
        <v>59593</v>
      </c>
    </row>
    <row r="3951" spans="1:17" ht="28.8" x14ac:dyDescent="0.3">
      <c r="A3951" s="22" t="s">
        <v>7881</v>
      </c>
      <c r="B3951" s="22" t="s">
        <v>7908</v>
      </c>
      <c r="C3951" s="22"/>
      <c r="D3951" s="22" t="s">
        <v>7710</v>
      </c>
      <c r="E3951" s="22" t="s">
        <v>437</v>
      </c>
      <c r="F3951" s="24" t="s">
        <v>438</v>
      </c>
      <c r="G3951" s="23" t="s">
        <v>32</v>
      </c>
      <c r="H3951" s="22"/>
      <c r="I3951" s="22"/>
      <c r="J3951" s="22" t="s">
        <v>157</v>
      </c>
      <c r="K3951" s="24"/>
      <c r="L3951" s="24"/>
      <c r="M3951" s="25" t="s">
        <v>439</v>
      </c>
      <c r="N3951" s="22"/>
      <c r="O3951" s="22" t="s">
        <v>440</v>
      </c>
      <c r="P3951" s="22" t="str">
        <f>HYPERLINK("https://ceds.ed.gov/cedselementdetails.aspx?termid=21967")</f>
        <v>https://ceds.ed.gov/cedselementdetails.aspx?termid=21967</v>
      </c>
      <c r="Q3951" s="22">
        <v>60852</v>
      </c>
    </row>
    <row r="3952" spans="1:17" ht="43.2" x14ac:dyDescent="0.3">
      <c r="A3952" s="22" t="s">
        <v>7881</v>
      </c>
      <c r="B3952" s="22" t="s">
        <v>7908</v>
      </c>
      <c r="C3952" s="22"/>
      <c r="D3952" s="22" t="s">
        <v>7710</v>
      </c>
      <c r="E3952" s="22" t="s">
        <v>441</v>
      </c>
      <c r="F3952" s="24" t="s">
        <v>442</v>
      </c>
      <c r="G3952" s="23" t="s">
        <v>32</v>
      </c>
      <c r="H3952" s="22"/>
      <c r="I3952" s="22"/>
      <c r="J3952" s="22" t="s">
        <v>113</v>
      </c>
      <c r="K3952" s="24"/>
      <c r="L3952" s="24"/>
      <c r="M3952" s="25" t="s">
        <v>443</v>
      </c>
      <c r="N3952" s="22"/>
      <c r="O3952" s="22" t="s">
        <v>444</v>
      </c>
      <c r="P3952" s="22" t="str">
        <f>HYPERLINK("https://ceds.ed.gov/cedselementdetails.aspx?termid=22506")</f>
        <v>https://ceds.ed.gov/cedselementdetails.aspx?termid=22506</v>
      </c>
      <c r="Q3952" s="22">
        <v>62114</v>
      </c>
    </row>
    <row r="3953" spans="1:17" ht="43.2" x14ac:dyDescent="0.3">
      <c r="A3953" s="22" t="s">
        <v>7881</v>
      </c>
      <c r="B3953" s="22" t="s">
        <v>7908</v>
      </c>
      <c r="C3953" s="22"/>
      <c r="D3953" s="22" t="s">
        <v>7710</v>
      </c>
      <c r="E3953" s="22" t="s">
        <v>1315</v>
      </c>
      <c r="F3953" s="24" t="s">
        <v>1316</v>
      </c>
      <c r="G3953" s="26" t="s">
        <v>22</v>
      </c>
      <c r="H3953" s="24" t="s">
        <v>93</v>
      </c>
      <c r="I3953" s="22"/>
      <c r="J3953" s="22"/>
      <c r="K3953" s="24"/>
      <c r="L3953" s="24"/>
      <c r="M3953" s="25" t="s">
        <v>1318</v>
      </c>
      <c r="N3953" s="22"/>
      <c r="O3953" s="22" t="s">
        <v>1319</v>
      </c>
      <c r="P3953" s="22" t="str">
        <f>HYPERLINK("https://ceds.ed.gov/cedselementdetails.aspx?termid=21375")</f>
        <v>https://ceds.ed.gov/cedselementdetails.aspx?termid=21375</v>
      </c>
      <c r="Q3953" s="22">
        <v>59187</v>
      </c>
    </row>
    <row r="3954" spans="1:17" ht="43.2" x14ac:dyDescent="0.3">
      <c r="A3954" s="22" t="s">
        <v>7881</v>
      </c>
      <c r="B3954" s="22" t="s">
        <v>7909</v>
      </c>
      <c r="C3954" s="22"/>
      <c r="D3954" s="22" t="s">
        <v>7710</v>
      </c>
      <c r="E3954" s="22" t="s">
        <v>1370</v>
      </c>
      <c r="F3954" s="24" t="s">
        <v>1371</v>
      </c>
      <c r="G3954" s="26" t="s">
        <v>8646</v>
      </c>
      <c r="H3954" s="22"/>
      <c r="I3954" s="22"/>
      <c r="J3954" s="22"/>
      <c r="K3954" s="24"/>
      <c r="L3954" s="24"/>
      <c r="M3954" s="25" t="s">
        <v>1372</v>
      </c>
      <c r="N3954" s="22"/>
      <c r="O3954" s="22" t="s">
        <v>1373</v>
      </c>
      <c r="P3954" s="22" t="str">
        <f>HYPERLINK("https://ceds.ed.gov/cedselementdetails.aspx?termid=22020")</f>
        <v>https://ceds.ed.gov/cedselementdetails.aspx?termid=22020</v>
      </c>
      <c r="Q3954" s="22">
        <v>59456</v>
      </c>
    </row>
    <row r="3955" spans="1:17" ht="43.2" x14ac:dyDescent="0.3">
      <c r="A3955" s="22" t="s">
        <v>7881</v>
      </c>
      <c r="B3955" s="22" t="s">
        <v>7909</v>
      </c>
      <c r="C3955" s="22"/>
      <c r="D3955" s="22" t="s">
        <v>7710</v>
      </c>
      <c r="E3955" s="22" t="s">
        <v>1338</v>
      </c>
      <c r="F3955" s="24" t="s">
        <v>8016</v>
      </c>
      <c r="G3955" s="23" t="s">
        <v>32</v>
      </c>
      <c r="H3955" s="24" t="s">
        <v>93</v>
      </c>
      <c r="I3955" s="22"/>
      <c r="J3955" s="22" t="s">
        <v>1339</v>
      </c>
      <c r="K3955" s="24"/>
      <c r="L3955" s="24"/>
      <c r="M3955" s="25" t="s">
        <v>1340</v>
      </c>
      <c r="N3955" s="22"/>
      <c r="O3955" s="22" t="s">
        <v>1341</v>
      </c>
      <c r="P3955" s="22" t="str">
        <f>HYPERLINK("https://ceds.ed.gov/cedselementdetails.aspx?termid=21590")</f>
        <v>https://ceds.ed.gov/cedselementdetails.aspx?termid=21590</v>
      </c>
      <c r="Q3955" s="22">
        <v>59441</v>
      </c>
    </row>
    <row r="3956" spans="1:17" ht="172.8" x14ac:dyDescent="0.3">
      <c r="A3956" s="22" t="s">
        <v>7881</v>
      </c>
      <c r="B3956" s="22" t="s">
        <v>7909</v>
      </c>
      <c r="C3956" s="22"/>
      <c r="D3956" s="22" t="s">
        <v>7710</v>
      </c>
      <c r="E3956" s="22" t="s">
        <v>6625</v>
      </c>
      <c r="F3956" s="24" t="s">
        <v>280</v>
      </c>
      <c r="G3956" s="23" t="s">
        <v>32</v>
      </c>
      <c r="H3956" s="24" t="s">
        <v>6624</v>
      </c>
      <c r="I3956" s="22" t="s">
        <v>172</v>
      </c>
      <c r="J3956" s="22" t="s">
        <v>132</v>
      </c>
      <c r="K3956" s="24" t="s">
        <v>7946</v>
      </c>
      <c r="L3956" s="24" t="s">
        <v>7945</v>
      </c>
      <c r="M3956" s="25" t="s">
        <v>6626</v>
      </c>
      <c r="N3956" s="22"/>
      <c r="O3956" s="22" t="s">
        <v>6627</v>
      </c>
      <c r="P3956" s="22" t="str">
        <f>HYPERLINK("https://ceds.ed.gov/cedselementdetails.aspx?termid=21155")</f>
        <v>https://ceds.ed.gov/cedselementdetails.aspx?termid=21155</v>
      </c>
      <c r="Q3956" s="22">
        <v>59589</v>
      </c>
    </row>
    <row r="3957" spans="1:17" ht="187.2" x14ac:dyDescent="0.3">
      <c r="A3957" s="22" t="s">
        <v>7881</v>
      </c>
      <c r="B3957" s="22" t="s">
        <v>7909</v>
      </c>
      <c r="C3957" s="22"/>
      <c r="D3957" s="22" t="s">
        <v>7710</v>
      </c>
      <c r="E3957" s="22" t="s">
        <v>6621</v>
      </c>
      <c r="F3957" s="24" t="s">
        <v>275</v>
      </c>
      <c r="G3957" s="26" t="s">
        <v>8521</v>
      </c>
      <c r="H3957" s="24" t="s">
        <v>6624</v>
      </c>
      <c r="I3957" s="22" t="s">
        <v>172</v>
      </c>
      <c r="J3957" s="22"/>
      <c r="K3957" s="24" t="s">
        <v>7946</v>
      </c>
      <c r="L3957" s="24"/>
      <c r="M3957" s="25" t="s">
        <v>6622</v>
      </c>
      <c r="N3957" s="22"/>
      <c r="O3957" s="22" t="s">
        <v>6623</v>
      </c>
      <c r="P3957" s="22" t="str">
        <f>HYPERLINK("https://ceds.ed.gov/cedselementdetails.aspx?termid=21161")</f>
        <v>https://ceds.ed.gov/cedselementdetails.aspx?termid=21161</v>
      </c>
      <c r="Q3957" s="22">
        <v>59586</v>
      </c>
    </row>
    <row r="3958" spans="1:17" ht="172.8" x14ac:dyDescent="0.3">
      <c r="A3958" s="22" t="s">
        <v>7881</v>
      </c>
      <c r="B3958" s="22" t="s">
        <v>7909</v>
      </c>
      <c r="C3958" s="22"/>
      <c r="D3958" s="22" t="s">
        <v>7710</v>
      </c>
      <c r="E3958" s="22" t="s">
        <v>5343</v>
      </c>
      <c r="F3958" s="24" t="s">
        <v>5344</v>
      </c>
      <c r="G3958" s="23" t="s">
        <v>32</v>
      </c>
      <c r="H3958" s="24" t="s">
        <v>5342</v>
      </c>
      <c r="I3958" s="22" t="s">
        <v>172</v>
      </c>
      <c r="J3958" s="22" t="s">
        <v>132</v>
      </c>
      <c r="K3958" s="24" t="s">
        <v>7946</v>
      </c>
      <c r="L3958" s="24" t="s">
        <v>8043</v>
      </c>
      <c r="M3958" s="25" t="s">
        <v>5345</v>
      </c>
      <c r="N3958" s="22" t="s">
        <v>5346</v>
      </c>
      <c r="O3958" s="22" t="s">
        <v>5347</v>
      </c>
      <c r="P3958" s="22" t="str">
        <f>HYPERLINK("https://ceds.ed.gov/cedselementdetails.aspx?termid=21153")</f>
        <v>https://ceds.ed.gov/cedselementdetails.aspx?termid=21153</v>
      </c>
      <c r="Q3958" s="22">
        <v>59595</v>
      </c>
    </row>
    <row r="3959" spans="1:17" ht="172.8" x14ac:dyDescent="0.3">
      <c r="A3959" s="22" t="s">
        <v>7881</v>
      </c>
      <c r="B3959" s="22" t="s">
        <v>7909</v>
      </c>
      <c r="C3959" s="22"/>
      <c r="D3959" s="22" t="s">
        <v>7710</v>
      </c>
      <c r="E3959" s="22" t="s">
        <v>5337</v>
      </c>
      <c r="F3959" s="24" t="s">
        <v>5338</v>
      </c>
      <c r="G3959" s="26" t="s">
        <v>8472</v>
      </c>
      <c r="H3959" s="24" t="s">
        <v>5342</v>
      </c>
      <c r="I3959" s="22" t="s">
        <v>172</v>
      </c>
      <c r="J3959" s="22"/>
      <c r="K3959" s="24" t="s">
        <v>7946</v>
      </c>
      <c r="L3959" s="24"/>
      <c r="M3959" s="25" t="s">
        <v>5339</v>
      </c>
      <c r="N3959" s="22" t="s">
        <v>5340</v>
      </c>
      <c r="O3959" s="22" t="s">
        <v>5341</v>
      </c>
      <c r="P3959" s="22" t="str">
        <f>HYPERLINK("https://ceds.ed.gov/cedselementdetails.aspx?termid=21159")</f>
        <v>https://ceds.ed.gov/cedselementdetails.aspx?termid=21159</v>
      </c>
      <c r="Q3959" s="22">
        <v>59592</v>
      </c>
    </row>
    <row r="3960" spans="1:17" ht="28.8" x14ac:dyDescent="0.3">
      <c r="A3960" s="22" t="s">
        <v>7881</v>
      </c>
      <c r="B3960" s="22" t="s">
        <v>7909</v>
      </c>
      <c r="C3960" s="22"/>
      <c r="D3960" s="22" t="s">
        <v>7710</v>
      </c>
      <c r="E3960" s="22" t="s">
        <v>1350</v>
      </c>
      <c r="F3960" s="24" t="s">
        <v>1351</v>
      </c>
      <c r="G3960" s="23" t="s">
        <v>32</v>
      </c>
      <c r="H3960" s="22"/>
      <c r="I3960" s="22"/>
      <c r="J3960" s="22" t="s">
        <v>845</v>
      </c>
      <c r="K3960" s="24"/>
      <c r="L3960" s="24"/>
      <c r="M3960" s="25" t="s">
        <v>1352</v>
      </c>
      <c r="N3960" s="22"/>
      <c r="O3960" s="22" t="s">
        <v>1353</v>
      </c>
      <c r="P3960" s="22" t="str">
        <f>HYPERLINK("https://ceds.ed.gov/cedselementdetails.aspx?termid=22021")</f>
        <v>https://ceds.ed.gov/cedselementdetails.aspx?termid=22021</v>
      </c>
      <c r="Q3960" s="22">
        <v>59457</v>
      </c>
    </row>
    <row r="3961" spans="1:17" ht="57.6" x14ac:dyDescent="0.3">
      <c r="A3961" s="22" t="s">
        <v>7881</v>
      </c>
      <c r="B3961" s="22" t="s">
        <v>7909</v>
      </c>
      <c r="C3961" s="22"/>
      <c r="D3961" s="22" t="s">
        <v>7710</v>
      </c>
      <c r="E3961" s="22" t="s">
        <v>1346</v>
      </c>
      <c r="F3961" s="24" t="s">
        <v>1347</v>
      </c>
      <c r="G3961" s="23" t="s">
        <v>32</v>
      </c>
      <c r="H3961" s="22"/>
      <c r="I3961" s="22"/>
      <c r="J3961" s="22" t="s">
        <v>845</v>
      </c>
      <c r="K3961" s="24"/>
      <c r="L3961" s="24" t="s">
        <v>143</v>
      </c>
      <c r="M3961" s="25" t="s">
        <v>1348</v>
      </c>
      <c r="N3961" s="22"/>
      <c r="O3961" s="22" t="s">
        <v>1349</v>
      </c>
      <c r="P3961" s="22" t="str">
        <f>HYPERLINK("https://ceds.ed.gov/cedselementdetails.aspx?termid=22022")</f>
        <v>https://ceds.ed.gov/cedselementdetails.aspx?termid=22022</v>
      </c>
      <c r="Q3961" s="22">
        <v>59458</v>
      </c>
    </row>
    <row r="3962" spans="1:17" ht="43.2" x14ac:dyDescent="0.3">
      <c r="A3962" s="22" t="s">
        <v>7881</v>
      </c>
      <c r="B3962" s="22" t="s">
        <v>7909</v>
      </c>
      <c r="C3962" s="22"/>
      <c r="D3962" s="22" t="s">
        <v>7710</v>
      </c>
      <c r="E3962" s="22" t="s">
        <v>1334</v>
      </c>
      <c r="F3962" s="24" t="s">
        <v>1335</v>
      </c>
      <c r="G3962" s="23" t="s">
        <v>32</v>
      </c>
      <c r="H3962" s="24" t="s">
        <v>93</v>
      </c>
      <c r="I3962" s="22"/>
      <c r="J3962" s="22" t="s">
        <v>849</v>
      </c>
      <c r="K3962" s="24"/>
      <c r="L3962" s="24"/>
      <c r="M3962" s="25" t="s">
        <v>1336</v>
      </c>
      <c r="N3962" s="22"/>
      <c r="O3962" s="22" t="s">
        <v>1337</v>
      </c>
      <c r="P3962" s="22" t="str">
        <f>HYPERLINK("https://ceds.ed.gov/cedselementdetails.aspx?termid=21399")</f>
        <v>https://ceds.ed.gov/cedselementdetails.aspx?termid=21399</v>
      </c>
      <c r="Q3962" s="22">
        <v>59189</v>
      </c>
    </row>
    <row r="3963" spans="1:17" ht="72" x14ac:dyDescent="0.3">
      <c r="A3963" s="22" t="s">
        <v>7881</v>
      </c>
      <c r="B3963" s="22" t="s">
        <v>7909</v>
      </c>
      <c r="C3963" s="22"/>
      <c r="D3963" s="22" t="s">
        <v>7710</v>
      </c>
      <c r="E3963" s="22" t="s">
        <v>1325</v>
      </c>
      <c r="F3963" s="24" t="s">
        <v>1326</v>
      </c>
      <c r="G3963" s="23" t="s">
        <v>32</v>
      </c>
      <c r="H3963" s="22"/>
      <c r="I3963" s="22"/>
      <c r="J3963" s="22" t="s">
        <v>845</v>
      </c>
      <c r="K3963" s="24"/>
      <c r="L3963" s="24" t="s">
        <v>8015</v>
      </c>
      <c r="M3963" s="25" t="s">
        <v>1327</v>
      </c>
      <c r="N3963" s="22"/>
      <c r="O3963" s="22" t="s">
        <v>1328</v>
      </c>
      <c r="P3963" s="22" t="str">
        <f>HYPERLINK("https://ceds.ed.gov/cedselementdetails.aspx?termid=22023")</f>
        <v>https://ceds.ed.gov/cedselementdetails.aspx?termid=22023</v>
      </c>
      <c r="Q3963" s="22">
        <v>59459</v>
      </c>
    </row>
    <row r="3964" spans="1:17" ht="72" x14ac:dyDescent="0.3">
      <c r="A3964" s="22" t="s">
        <v>7881</v>
      </c>
      <c r="B3964" s="22" t="s">
        <v>7909</v>
      </c>
      <c r="C3964" s="22"/>
      <c r="D3964" s="22" t="s">
        <v>7710</v>
      </c>
      <c r="E3964" s="22" t="s">
        <v>1320</v>
      </c>
      <c r="F3964" s="24" t="s">
        <v>1321</v>
      </c>
      <c r="G3964" s="23" t="s">
        <v>32</v>
      </c>
      <c r="H3964" s="22"/>
      <c r="I3964" s="22"/>
      <c r="J3964" s="22" t="s">
        <v>845</v>
      </c>
      <c r="K3964" s="24"/>
      <c r="L3964" s="24" t="s">
        <v>8014</v>
      </c>
      <c r="M3964" s="25" t="s">
        <v>1323</v>
      </c>
      <c r="N3964" s="22"/>
      <c r="O3964" s="22" t="s">
        <v>1324</v>
      </c>
      <c r="P3964" s="22" t="str">
        <f>HYPERLINK("https://ceds.ed.gov/cedselementdetails.aspx?termid=22024")</f>
        <v>https://ceds.ed.gov/cedselementdetails.aspx?termid=22024</v>
      </c>
      <c r="Q3964" s="22">
        <v>59461</v>
      </c>
    </row>
    <row r="3965" spans="1:17" ht="172.8" x14ac:dyDescent="0.3">
      <c r="A3965" s="22" t="s">
        <v>7881</v>
      </c>
      <c r="B3965" s="22" t="s">
        <v>7909</v>
      </c>
      <c r="C3965" s="22"/>
      <c r="D3965" s="22" t="s">
        <v>7710</v>
      </c>
      <c r="E3965" s="22" t="s">
        <v>1329</v>
      </c>
      <c r="F3965" s="24" t="s">
        <v>1330</v>
      </c>
      <c r="G3965" s="23" t="s">
        <v>32</v>
      </c>
      <c r="H3965" s="24" t="s">
        <v>93</v>
      </c>
      <c r="I3965" s="22"/>
      <c r="J3965" s="22" t="s">
        <v>132</v>
      </c>
      <c r="K3965" s="24"/>
      <c r="L3965" s="24" t="s">
        <v>7945</v>
      </c>
      <c r="M3965" s="25" t="s">
        <v>1332</v>
      </c>
      <c r="N3965" s="22"/>
      <c r="O3965" s="22" t="s">
        <v>1333</v>
      </c>
      <c r="P3965" s="22" t="str">
        <f>HYPERLINK("https://ceds.ed.gov/cedselementdetails.aspx?termid=21400")</f>
        <v>https://ceds.ed.gov/cedselementdetails.aspx?termid=21400</v>
      </c>
      <c r="Q3965" s="22">
        <v>59921</v>
      </c>
    </row>
    <row r="3966" spans="1:17" ht="201.6" x14ac:dyDescent="0.3">
      <c r="A3966" s="22" t="s">
        <v>7881</v>
      </c>
      <c r="B3966" s="22" t="s">
        <v>7909</v>
      </c>
      <c r="C3966" s="22"/>
      <c r="D3966" s="22" t="s">
        <v>7710</v>
      </c>
      <c r="E3966" s="22" t="s">
        <v>1342</v>
      </c>
      <c r="F3966" s="24" t="s">
        <v>1343</v>
      </c>
      <c r="G3966" s="23" t="s">
        <v>32</v>
      </c>
      <c r="H3966" s="24" t="s">
        <v>93</v>
      </c>
      <c r="I3966" s="22"/>
      <c r="J3966" s="22" t="s">
        <v>132</v>
      </c>
      <c r="K3966" s="24"/>
      <c r="L3966" s="24" t="s">
        <v>8017</v>
      </c>
      <c r="M3966" s="25" t="s">
        <v>1344</v>
      </c>
      <c r="N3966" s="22"/>
      <c r="O3966" s="22" t="s">
        <v>1345</v>
      </c>
      <c r="P3966" s="22" t="str">
        <f>HYPERLINK("https://ceds.ed.gov/cedselementdetails.aspx?termid=21401")</f>
        <v>https://ceds.ed.gov/cedselementdetails.aspx?termid=21401</v>
      </c>
      <c r="Q3966" s="22">
        <v>59190</v>
      </c>
    </row>
    <row r="3967" spans="1:17" ht="115.2" x14ac:dyDescent="0.3">
      <c r="A3967" s="22" t="s">
        <v>7881</v>
      </c>
      <c r="B3967" s="22" t="s">
        <v>7909</v>
      </c>
      <c r="C3967" s="22"/>
      <c r="D3967" s="22" t="s">
        <v>7710</v>
      </c>
      <c r="E3967" s="22" t="s">
        <v>1366</v>
      </c>
      <c r="F3967" s="24" t="s">
        <v>1367</v>
      </c>
      <c r="G3967" s="26" t="s">
        <v>8645</v>
      </c>
      <c r="H3967" s="22"/>
      <c r="I3967" s="22"/>
      <c r="J3967" s="22"/>
      <c r="K3967" s="24"/>
      <c r="L3967" s="24"/>
      <c r="M3967" s="25" t="s">
        <v>1368</v>
      </c>
      <c r="N3967" s="22"/>
      <c r="O3967" s="22" t="s">
        <v>1369</v>
      </c>
      <c r="P3967" s="22" t="str">
        <f>HYPERLINK("https://ceds.ed.gov/cedselementdetails.aspx?termid=22179")</f>
        <v>https://ceds.ed.gov/cedselementdetails.aspx?termid=22179</v>
      </c>
      <c r="Q3967" s="22">
        <v>59622</v>
      </c>
    </row>
    <row r="3968" spans="1:17" ht="409.6" x14ac:dyDescent="0.3">
      <c r="A3968" s="22" t="s">
        <v>7881</v>
      </c>
      <c r="B3968" s="22" t="s">
        <v>7909</v>
      </c>
      <c r="C3968" s="22"/>
      <c r="D3968" s="22" t="s">
        <v>7710</v>
      </c>
      <c r="E3968" s="22" t="s">
        <v>1358</v>
      </c>
      <c r="F3968" s="24" t="s">
        <v>1359</v>
      </c>
      <c r="G3968" s="26" t="s">
        <v>8644</v>
      </c>
      <c r="H3968" s="24" t="s">
        <v>93</v>
      </c>
      <c r="I3968" s="22"/>
      <c r="J3968" s="22"/>
      <c r="K3968" s="24"/>
      <c r="L3968" s="24"/>
      <c r="M3968" s="25" t="s">
        <v>1360</v>
      </c>
      <c r="N3968" s="22"/>
      <c r="O3968" s="22" t="s">
        <v>1361</v>
      </c>
      <c r="P3968" s="22" t="str">
        <f>HYPERLINK("https://ceds.ed.gov/cedselementdetails.aspx?termid=21380")</f>
        <v>https://ceds.ed.gov/cedselementdetails.aspx?termid=21380</v>
      </c>
      <c r="Q3968" s="22">
        <v>60846</v>
      </c>
    </row>
    <row r="3969" spans="1:17" ht="72" x14ac:dyDescent="0.3">
      <c r="A3969" s="22" t="s">
        <v>7881</v>
      </c>
      <c r="B3969" s="22" t="s">
        <v>7909</v>
      </c>
      <c r="C3969" s="22"/>
      <c r="D3969" s="22" t="s">
        <v>7710</v>
      </c>
      <c r="E3969" s="22" t="s">
        <v>1362</v>
      </c>
      <c r="F3969" s="24" t="s">
        <v>1363</v>
      </c>
      <c r="G3969" s="23" t="s">
        <v>32</v>
      </c>
      <c r="H3969" s="22"/>
      <c r="I3969" s="22"/>
      <c r="J3969" s="22" t="s">
        <v>157</v>
      </c>
      <c r="K3969" s="24"/>
      <c r="L3969" s="24"/>
      <c r="M3969" s="25" t="s">
        <v>1364</v>
      </c>
      <c r="N3969" s="22"/>
      <c r="O3969" s="22" t="s">
        <v>1365</v>
      </c>
      <c r="P3969" s="22" t="str">
        <f>HYPERLINK("https://ceds.ed.gov/cedselementdetails.aspx?termid=22077")</f>
        <v>https://ceds.ed.gov/cedselementdetails.aspx?termid=22077</v>
      </c>
      <c r="Q3969" s="22">
        <v>59518</v>
      </c>
    </row>
    <row r="3970" spans="1:17" ht="129.6" x14ac:dyDescent="0.3">
      <c r="A3970" s="22" t="s">
        <v>7881</v>
      </c>
      <c r="B3970" s="22" t="s">
        <v>7909</v>
      </c>
      <c r="C3970" s="22"/>
      <c r="D3970" s="22" t="s">
        <v>7710</v>
      </c>
      <c r="E3970" s="22" t="s">
        <v>1354</v>
      </c>
      <c r="F3970" s="24" t="s">
        <v>1355</v>
      </c>
      <c r="G3970" s="23" t="s">
        <v>32</v>
      </c>
      <c r="H3970" s="22"/>
      <c r="I3970" s="22"/>
      <c r="J3970" s="22" t="s">
        <v>113</v>
      </c>
      <c r="K3970" s="24"/>
      <c r="L3970" s="24" t="s">
        <v>876</v>
      </c>
      <c r="M3970" s="25" t="s">
        <v>1356</v>
      </c>
      <c r="N3970" s="22"/>
      <c r="O3970" s="22" t="s">
        <v>1357</v>
      </c>
      <c r="P3970" s="22" t="str">
        <f>HYPERLINK("https://ceds.ed.gov/cedselementdetails.aspx?termid=21969")</f>
        <v>https://ceds.ed.gov/cedselementdetails.aspx?termid=21969</v>
      </c>
      <c r="Q3970" s="22">
        <v>59421</v>
      </c>
    </row>
    <row r="3971" spans="1:17" ht="172.8" x14ac:dyDescent="0.3">
      <c r="A3971" s="22" t="s">
        <v>7881</v>
      </c>
      <c r="B3971" s="22" t="s">
        <v>7899</v>
      </c>
      <c r="C3971" s="22"/>
      <c r="D3971" s="22" t="s">
        <v>7710</v>
      </c>
      <c r="E3971" s="22" t="s">
        <v>1159</v>
      </c>
      <c r="F3971" s="24" t="s">
        <v>1160</v>
      </c>
      <c r="G3971" s="23" t="s">
        <v>32</v>
      </c>
      <c r="H3971" s="22" t="s">
        <v>812</v>
      </c>
      <c r="I3971" s="22"/>
      <c r="J3971" s="22" t="s">
        <v>132</v>
      </c>
      <c r="K3971" s="24"/>
      <c r="L3971" s="24" t="s">
        <v>7945</v>
      </c>
      <c r="M3971" s="25" t="s">
        <v>1161</v>
      </c>
      <c r="N3971" s="22"/>
      <c r="O3971" s="22" t="s">
        <v>1162</v>
      </c>
      <c r="P3971" s="22" t="str">
        <f>HYPERLINK("https://ceds.ed.gov/cedselementdetails.aspx?termid=21693")</f>
        <v>https://ceds.ed.gov/cedselementdetails.aspx?termid=21693</v>
      </c>
      <c r="Q3971" s="22">
        <v>59253</v>
      </c>
    </row>
    <row r="3972" spans="1:17" ht="28.8" x14ac:dyDescent="0.3">
      <c r="A3972" s="22" t="s">
        <v>7881</v>
      </c>
      <c r="B3972" s="22" t="s">
        <v>7899</v>
      </c>
      <c r="C3972" s="22"/>
      <c r="D3972" s="22" t="s">
        <v>7710</v>
      </c>
      <c r="E3972" s="22" t="s">
        <v>1163</v>
      </c>
      <c r="F3972" s="24" t="s">
        <v>1164</v>
      </c>
      <c r="G3972" s="23" t="s">
        <v>32</v>
      </c>
      <c r="H3972" s="22" t="s">
        <v>812</v>
      </c>
      <c r="I3972" s="22"/>
      <c r="J3972" s="22" t="s">
        <v>1165</v>
      </c>
      <c r="K3972" s="24"/>
      <c r="L3972" s="24"/>
      <c r="M3972" s="25" t="s">
        <v>1166</v>
      </c>
      <c r="N3972" s="22"/>
      <c r="O3972" s="22" t="s">
        <v>1167</v>
      </c>
      <c r="P3972" s="22" t="str">
        <f>HYPERLINK("https://ceds.ed.gov/cedselementdetails.aspx?termid=21694")</f>
        <v>https://ceds.ed.gov/cedselementdetails.aspx?termid=21694</v>
      </c>
      <c r="Q3972" s="22">
        <v>59254</v>
      </c>
    </row>
    <row r="3973" spans="1:17" ht="43.2" x14ac:dyDescent="0.3">
      <c r="A3973" s="22" t="s">
        <v>7881</v>
      </c>
      <c r="B3973" s="22" t="s">
        <v>7899</v>
      </c>
      <c r="C3973" s="22"/>
      <c r="D3973" s="22" t="s">
        <v>7710</v>
      </c>
      <c r="E3973" s="22" t="s">
        <v>1168</v>
      </c>
      <c r="F3973" s="24" t="s">
        <v>1169</v>
      </c>
      <c r="G3973" s="23" t="s">
        <v>32</v>
      </c>
      <c r="H3973" s="24" t="s">
        <v>93</v>
      </c>
      <c r="I3973" s="22"/>
      <c r="J3973" s="22" t="s">
        <v>85</v>
      </c>
      <c r="K3973" s="24"/>
      <c r="L3973" s="24"/>
      <c r="M3973" s="25" t="s">
        <v>1170</v>
      </c>
      <c r="N3973" s="22"/>
      <c r="O3973" s="22" t="s">
        <v>1171</v>
      </c>
      <c r="P3973" s="22" t="str">
        <f>HYPERLINK("https://ceds.ed.gov/cedselementdetails.aspx?termid=21408")</f>
        <v>https://ceds.ed.gov/cedselementdetails.aspx?termid=21408</v>
      </c>
      <c r="Q3973" s="22">
        <v>59251</v>
      </c>
    </row>
    <row r="3974" spans="1:17" ht="43.2" x14ac:dyDescent="0.3">
      <c r="A3974" s="22" t="s">
        <v>7881</v>
      </c>
      <c r="B3974" s="22" t="s">
        <v>7899</v>
      </c>
      <c r="C3974" s="22"/>
      <c r="D3974" s="22" t="s">
        <v>7710</v>
      </c>
      <c r="E3974" s="22" t="s">
        <v>1176</v>
      </c>
      <c r="F3974" s="24" t="s">
        <v>1177</v>
      </c>
      <c r="G3974" s="23" t="s">
        <v>32</v>
      </c>
      <c r="H3974" s="24" t="s">
        <v>93</v>
      </c>
      <c r="I3974" s="22"/>
      <c r="J3974" s="22" t="s">
        <v>85</v>
      </c>
      <c r="K3974" s="24"/>
      <c r="L3974" s="24"/>
      <c r="M3974" s="25" t="s">
        <v>1178</v>
      </c>
      <c r="N3974" s="22"/>
      <c r="O3974" s="22" t="s">
        <v>1179</v>
      </c>
      <c r="P3974" s="22" t="str">
        <f>HYPERLINK("https://ceds.ed.gov/cedselementdetails.aspx?termid=21409")</f>
        <v>https://ceds.ed.gov/cedselementdetails.aspx?termid=21409</v>
      </c>
      <c r="Q3974" s="22">
        <v>59252</v>
      </c>
    </row>
    <row r="3975" spans="1:17" ht="409.6" x14ac:dyDescent="0.3">
      <c r="A3975" s="22" t="s">
        <v>7881</v>
      </c>
      <c r="B3975" s="22" t="s">
        <v>7899</v>
      </c>
      <c r="C3975" s="22"/>
      <c r="D3975" s="22" t="s">
        <v>7710</v>
      </c>
      <c r="E3975" s="22" t="s">
        <v>1172</v>
      </c>
      <c r="F3975" s="24" t="s">
        <v>1173</v>
      </c>
      <c r="G3975" s="26" t="s">
        <v>8636</v>
      </c>
      <c r="H3975" s="24" t="s">
        <v>93</v>
      </c>
      <c r="I3975" s="22"/>
      <c r="J3975" s="22" t="s">
        <v>85</v>
      </c>
      <c r="K3975" s="24"/>
      <c r="L3975" s="24"/>
      <c r="M3975" s="25" t="s">
        <v>1174</v>
      </c>
      <c r="N3975" s="22"/>
      <c r="O3975" s="22" t="s">
        <v>1175</v>
      </c>
      <c r="P3975" s="22" t="str">
        <f>HYPERLINK("https://ceds.ed.gov/cedselementdetails.aspx?termid=21407")</f>
        <v>https://ceds.ed.gov/cedselementdetails.aspx?termid=21407</v>
      </c>
      <c r="Q3975" s="22">
        <v>59250</v>
      </c>
    </row>
    <row r="3976" spans="1:17" ht="43.2" x14ac:dyDescent="0.3">
      <c r="A3976" s="22" t="s">
        <v>7881</v>
      </c>
      <c r="B3976" s="22" t="s">
        <v>7899</v>
      </c>
      <c r="C3976" s="22"/>
      <c r="D3976" s="22" t="s">
        <v>7710</v>
      </c>
      <c r="E3976" s="22" t="s">
        <v>1154</v>
      </c>
      <c r="F3976" s="24" t="s">
        <v>1155</v>
      </c>
      <c r="G3976" s="23" t="s">
        <v>32</v>
      </c>
      <c r="H3976" s="22"/>
      <c r="I3976" s="22"/>
      <c r="J3976" s="22" t="s">
        <v>328</v>
      </c>
      <c r="K3976" s="24"/>
      <c r="L3976" s="24"/>
      <c r="M3976" s="25" t="s">
        <v>1157</v>
      </c>
      <c r="N3976" s="22"/>
      <c r="O3976" s="22" t="s">
        <v>1158</v>
      </c>
      <c r="P3976" s="22" t="str">
        <f>HYPERLINK("https://ceds.ed.gov/cedselementdetails.aspx?termid=22184")</f>
        <v>https://ceds.ed.gov/cedselementdetails.aspx?termid=22184</v>
      </c>
      <c r="Q3976" s="22">
        <v>60843</v>
      </c>
    </row>
    <row r="3977" spans="1:17" ht="115.2" x14ac:dyDescent="0.3">
      <c r="A3977" s="22" t="s">
        <v>7881</v>
      </c>
      <c r="B3977" s="22" t="s">
        <v>7910</v>
      </c>
      <c r="C3977" s="22"/>
      <c r="D3977" s="22" t="s">
        <v>7710</v>
      </c>
      <c r="E3977" s="22" t="s">
        <v>1131</v>
      </c>
      <c r="F3977" s="24" t="s">
        <v>1132</v>
      </c>
      <c r="G3977" s="23" t="s">
        <v>32</v>
      </c>
      <c r="H3977" s="22"/>
      <c r="I3977" s="22"/>
      <c r="J3977" s="22" t="s">
        <v>132</v>
      </c>
      <c r="K3977" s="24"/>
      <c r="L3977" s="24" t="s">
        <v>7970</v>
      </c>
      <c r="M3977" s="25" t="s">
        <v>1133</v>
      </c>
      <c r="N3977" s="22"/>
      <c r="O3977" s="22" t="s">
        <v>1134</v>
      </c>
      <c r="P3977" s="22" t="str">
        <f>HYPERLINK("https://ceds.ed.gov/cedselementdetails.aspx?termid=22515")</f>
        <v>https://ceds.ed.gov/cedselementdetails.aspx?termid=22515</v>
      </c>
      <c r="Q3977" s="22">
        <v>61804</v>
      </c>
    </row>
    <row r="3978" spans="1:17" ht="28.8" x14ac:dyDescent="0.3">
      <c r="A3978" s="22" t="s">
        <v>7881</v>
      </c>
      <c r="B3978" s="22" t="s">
        <v>7910</v>
      </c>
      <c r="C3978" s="22"/>
      <c r="D3978" s="22" t="s">
        <v>7710</v>
      </c>
      <c r="E3978" s="22" t="s">
        <v>1121</v>
      </c>
      <c r="F3978" s="24" t="s">
        <v>1122</v>
      </c>
      <c r="G3978" s="23" t="s">
        <v>32</v>
      </c>
      <c r="H3978" s="22"/>
      <c r="I3978" s="22"/>
      <c r="J3978" s="22" t="s">
        <v>113</v>
      </c>
      <c r="K3978" s="24"/>
      <c r="L3978" s="24"/>
      <c r="M3978" s="25" t="s">
        <v>1124</v>
      </c>
      <c r="N3978" s="22"/>
      <c r="O3978" s="22" t="s">
        <v>1125</v>
      </c>
      <c r="P3978" s="22" t="str">
        <f>HYPERLINK("https://ceds.ed.gov/cedselementdetails.aspx?termid=22514")</f>
        <v>https://ceds.ed.gov/cedselementdetails.aspx?termid=22514</v>
      </c>
      <c r="Q3978" s="22">
        <v>61802</v>
      </c>
    </row>
    <row r="3979" spans="1:17" ht="72" x14ac:dyDescent="0.3">
      <c r="A3979" s="22" t="s">
        <v>7881</v>
      </c>
      <c r="B3979" s="22" t="s">
        <v>7910</v>
      </c>
      <c r="C3979" s="22"/>
      <c r="D3979" s="22" t="s">
        <v>7710</v>
      </c>
      <c r="E3979" s="22" t="s">
        <v>1325</v>
      </c>
      <c r="F3979" s="24" t="s">
        <v>1326</v>
      </c>
      <c r="G3979" s="23" t="s">
        <v>32</v>
      </c>
      <c r="H3979" s="22"/>
      <c r="I3979" s="22"/>
      <c r="J3979" s="22" t="s">
        <v>845</v>
      </c>
      <c r="K3979" s="24"/>
      <c r="L3979" s="24" t="s">
        <v>8015</v>
      </c>
      <c r="M3979" s="25" t="s">
        <v>1327</v>
      </c>
      <c r="N3979" s="22"/>
      <c r="O3979" s="22" t="s">
        <v>1328</v>
      </c>
      <c r="P3979" s="22" t="str">
        <f>HYPERLINK("https://ceds.ed.gov/cedselementdetails.aspx?termid=22023")</f>
        <v>https://ceds.ed.gov/cedselementdetails.aspx?termid=22023</v>
      </c>
      <c r="Q3979" s="22">
        <v>59460</v>
      </c>
    </row>
    <row r="3980" spans="1:17" ht="72" x14ac:dyDescent="0.3">
      <c r="A3980" s="22" t="s">
        <v>7881</v>
      </c>
      <c r="B3980" s="22" t="s">
        <v>7910</v>
      </c>
      <c r="C3980" s="22"/>
      <c r="D3980" s="22" t="s">
        <v>7710</v>
      </c>
      <c r="E3980" s="22" t="s">
        <v>1320</v>
      </c>
      <c r="F3980" s="24" t="s">
        <v>1321</v>
      </c>
      <c r="G3980" s="23" t="s">
        <v>32</v>
      </c>
      <c r="H3980" s="22"/>
      <c r="I3980" s="22"/>
      <c r="J3980" s="22" t="s">
        <v>845</v>
      </c>
      <c r="K3980" s="24"/>
      <c r="L3980" s="24" t="s">
        <v>8014</v>
      </c>
      <c r="M3980" s="25" t="s">
        <v>1323</v>
      </c>
      <c r="N3980" s="22"/>
      <c r="O3980" s="22" t="s">
        <v>1324</v>
      </c>
      <c r="P3980" s="22" t="str">
        <f>HYPERLINK("https://ceds.ed.gov/cedselementdetails.aspx?termid=22024")</f>
        <v>https://ceds.ed.gov/cedselementdetails.aspx?termid=22024</v>
      </c>
      <c r="Q3980" s="22">
        <v>59462</v>
      </c>
    </row>
    <row r="3981" spans="1:17" ht="43.2" x14ac:dyDescent="0.3">
      <c r="A3981" s="22" t="s">
        <v>7881</v>
      </c>
      <c r="B3981" s="22" t="s">
        <v>7910</v>
      </c>
      <c r="C3981" s="22"/>
      <c r="D3981" s="22" t="s">
        <v>7710</v>
      </c>
      <c r="E3981" s="22" t="s">
        <v>1126</v>
      </c>
      <c r="F3981" s="24" t="s">
        <v>1127</v>
      </c>
      <c r="G3981" s="23" t="s">
        <v>32</v>
      </c>
      <c r="H3981" s="22"/>
      <c r="I3981" s="22"/>
      <c r="J3981" s="22" t="s">
        <v>113</v>
      </c>
      <c r="K3981" s="24"/>
      <c r="L3981" s="24" t="s">
        <v>1128</v>
      </c>
      <c r="M3981" s="25" t="s">
        <v>1129</v>
      </c>
      <c r="N3981" s="22"/>
      <c r="O3981" s="22" t="s">
        <v>1130</v>
      </c>
      <c r="P3981" s="22" t="str">
        <f>HYPERLINK("https://ceds.ed.gov/cedselementdetails.aspx?termid=22006")</f>
        <v>https://ceds.ed.gov/cedselementdetails.aspx?termid=22006</v>
      </c>
      <c r="Q3981" s="22">
        <v>59442</v>
      </c>
    </row>
    <row r="3982" spans="1:17" ht="43.2" x14ac:dyDescent="0.3">
      <c r="A3982" s="22" t="s">
        <v>7881</v>
      </c>
      <c r="B3982" s="22" t="s">
        <v>7910</v>
      </c>
      <c r="C3982" s="22"/>
      <c r="D3982" s="22" t="s">
        <v>7710</v>
      </c>
      <c r="E3982" s="22" t="s">
        <v>1338</v>
      </c>
      <c r="F3982" s="24" t="s">
        <v>8016</v>
      </c>
      <c r="G3982" s="23" t="s">
        <v>32</v>
      </c>
      <c r="H3982" s="24" t="s">
        <v>93</v>
      </c>
      <c r="I3982" s="22"/>
      <c r="J3982" s="22" t="s">
        <v>1339</v>
      </c>
      <c r="K3982" s="24"/>
      <c r="L3982" s="24"/>
      <c r="M3982" s="25" t="s">
        <v>1340</v>
      </c>
      <c r="N3982" s="22"/>
      <c r="O3982" s="22" t="s">
        <v>1341</v>
      </c>
      <c r="P3982" s="22" t="str">
        <f>HYPERLINK("https://ceds.ed.gov/cedselementdetails.aspx?termid=21590")</f>
        <v>https://ceds.ed.gov/cedselementdetails.aspx?termid=21590</v>
      </c>
      <c r="Q3982" s="22">
        <v>59922</v>
      </c>
    </row>
    <row r="3983" spans="1:17" ht="115.2" x14ac:dyDescent="0.3">
      <c r="A3983" s="22" t="s">
        <v>7881</v>
      </c>
      <c r="B3983" s="22" t="s">
        <v>7910</v>
      </c>
      <c r="C3983" s="22"/>
      <c r="D3983" s="22" t="s">
        <v>7710</v>
      </c>
      <c r="E3983" s="22" t="s">
        <v>1139</v>
      </c>
      <c r="F3983" s="24" t="s">
        <v>1140</v>
      </c>
      <c r="G3983" s="26" t="s">
        <v>8635</v>
      </c>
      <c r="H3983" s="24" t="s">
        <v>638</v>
      </c>
      <c r="I3983" s="22"/>
      <c r="J3983" s="22"/>
      <c r="K3983" s="24"/>
      <c r="L3983" s="24"/>
      <c r="M3983" s="25" t="s">
        <v>1142</v>
      </c>
      <c r="N3983" s="22"/>
      <c r="O3983" s="22" t="s">
        <v>1143</v>
      </c>
      <c r="P3983" s="22" t="str">
        <f>HYPERLINK("https://ceds.ed.gov/cedselementdetails.aspx?termid=21377")</f>
        <v>https://ceds.ed.gov/cedselementdetails.aspx?termid=21377</v>
      </c>
      <c r="Q3983" s="22">
        <v>59188</v>
      </c>
    </row>
    <row r="3984" spans="1:17" ht="115.2" x14ac:dyDescent="0.3">
      <c r="A3984" s="22" t="s">
        <v>7881</v>
      </c>
      <c r="B3984" s="22" t="s">
        <v>7910</v>
      </c>
      <c r="C3984" s="22"/>
      <c r="D3984" s="22" t="s">
        <v>7710</v>
      </c>
      <c r="E3984" s="22" t="s">
        <v>1144</v>
      </c>
      <c r="F3984" s="24" t="s">
        <v>7999</v>
      </c>
      <c r="G3984" s="23" t="s">
        <v>32</v>
      </c>
      <c r="H3984" s="22"/>
      <c r="I3984" s="22"/>
      <c r="J3984" s="22" t="s">
        <v>50</v>
      </c>
      <c r="K3984" s="24"/>
      <c r="L3984" s="24" t="s">
        <v>8000</v>
      </c>
      <c r="M3984" s="25" t="s">
        <v>1145</v>
      </c>
      <c r="N3984" s="22"/>
      <c r="O3984" s="22" t="s">
        <v>1146</v>
      </c>
      <c r="P3984" s="22" t="str">
        <f>HYPERLINK("https://ceds.ed.gov/cedselementdetails.aspx?termid=22112")</f>
        <v>https://ceds.ed.gov/cedselementdetails.aspx?termid=22112</v>
      </c>
      <c r="Q3984" s="22">
        <v>60473</v>
      </c>
    </row>
    <row r="3985" spans="1:17" ht="115.2" x14ac:dyDescent="0.3">
      <c r="A3985" s="22" t="s">
        <v>7881</v>
      </c>
      <c r="B3985" s="22" t="s">
        <v>7910</v>
      </c>
      <c r="C3985" s="22"/>
      <c r="D3985" s="22" t="s">
        <v>7710</v>
      </c>
      <c r="E3985" s="22" t="s">
        <v>1135</v>
      </c>
      <c r="F3985" s="24" t="s">
        <v>1136</v>
      </c>
      <c r="G3985" s="23" t="s">
        <v>7423</v>
      </c>
      <c r="H3985" s="24" t="s">
        <v>93</v>
      </c>
      <c r="I3985" s="22"/>
      <c r="J3985" s="22"/>
      <c r="K3985" s="24"/>
      <c r="L3985" s="24" t="s">
        <v>7994</v>
      </c>
      <c r="M3985" s="25" t="s">
        <v>1137</v>
      </c>
      <c r="N3985" s="22"/>
      <c r="O3985" s="22" t="s">
        <v>1138</v>
      </c>
      <c r="P3985" s="22" t="str">
        <f>HYPERLINK("https://ceds.ed.gov/cedselementdetails.aspx?termid=21370")</f>
        <v>https://ceds.ed.gov/cedselementdetails.aspx?termid=21370</v>
      </c>
      <c r="Q3985" s="22">
        <v>59918</v>
      </c>
    </row>
    <row r="3986" spans="1:17" ht="144" x14ac:dyDescent="0.3">
      <c r="A3986" s="22" t="s">
        <v>7881</v>
      </c>
      <c r="B3986" s="22" t="s">
        <v>7910</v>
      </c>
      <c r="C3986" s="22"/>
      <c r="D3986" s="22" t="s">
        <v>7710</v>
      </c>
      <c r="E3986" s="22" t="s">
        <v>410</v>
      </c>
      <c r="F3986" s="24" t="s">
        <v>411</v>
      </c>
      <c r="G3986" s="26" t="s">
        <v>8606</v>
      </c>
      <c r="H3986" s="24" t="s">
        <v>93</v>
      </c>
      <c r="I3986" s="22"/>
      <c r="J3986" s="22"/>
      <c r="K3986" s="24"/>
      <c r="L3986" s="24"/>
      <c r="M3986" s="25" t="s">
        <v>413</v>
      </c>
      <c r="N3986" s="22"/>
      <c r="O3986" s="22" t="s">
        <v>414</v>
      </c>
      <c r="P3986" s="22" t="str">
        <f>HYPERLINK("https://ceds.ed.gov/cedselementdetails.aspx?termid=21374")</f>
        <v>https://ceds.ed.gov/cedselementdetails.aspx?termid=21374</v>
      </c>
      <c r="Q3986" s="22">
        <v>59833</v>
      </c>
    </row>
    <row r="3987" spans="1:17" ht="409.6" x14ac:dyDescent="0.3">
      <c r="A3987" s="22" t="s">
        <v>7881</v>
      </c>
      <c r="B3987" s="22" t="s">
        <v>7910</v>
      </c>
      <c r="C3987" s="22"/>
      <c r="D3987" s="22" t="s">
        <v>7710</v>
      </c>
      <c r="E3987" s="22" t="s">
        <v>88</v>
      </c>
      <c r="F3987" s="24" t="s">
        <v>89</v>
      </c>
      <c r="G3987" s="26" t="s">
        <v>8567</v>
      </c>
      <c r="H3987" s="24" t="s">
        <v>93</v>
      </c>
      <c r="I3987" s="22"/>
      <c r="J3987" s="22"/>
      <c r="K3987" s="24"/>
      <c r="L3987" s="24"/>
      <c r="M3987" s="25" t="s">
        <v>91</v>
      </c>
      <c r="N3987" s="22"/>
      <c r="O3987" s="22" t="s">
        <v>92</v>
      </c>
      <c r="P3987" s="22" t="str">
        <f>HYPERLINK("https://ceds.ed.gov/cedselementdetails.aspx?termid=21376")</f>
        <v>https://ceds.ed.gov/cedselementdetails.aspx?termid=21376</v>
      </c>
      <c r="Q3987" s="22">
        <v>60355</v>
      </c>
    </row>
    <row r="3988" spans="1:17" ht="43.2" x14ac:dyDescent="0.3">
      <c r="A3988" s="22" t="s">
        <v>7881</v>
      </c>
      <c r="B3988" s="22" t="s">
        <v>7910</v>
      </c>
      <c r="C3988" s="22"/>
      <c r="D3988" s="22" t="s">
        <v>7710</v>
      </c>
      <c r="E3988" s="22" t="s">
        <v>82</v>
      </c>
      <c r="F3988" s="24" t="s">
        <v>83</v>
      </c>
      <c r="G3988" s="23" t="s">
        <v>32</v>
      </c>
      <c r="H3988" s="22"/>
      <c r="I3988" s="22"/>
      <c r="J3988" s="22" t="s">
        <v>85</v>
      </c>
      <c r="K3988" s="24"/>
      <c r="L3988" s="24"/>
      <c r="M3988" s="25" t="s">
        <v>86</v>
      </c>
      <c r="N3988" s="22"/>
      <c r="O3988" s="22" t="s">
        <v>87</v>
      </c>
      <c r="P3988" s="22" t="str">
        <f>HYPERLINK("https://ceds.ed.gov/cedselementdetails.aspx?termid=22116")</f>
        <v>https://ceds.ed.gov/cedselementdetails.aspx?termid=22116</v>
      </c>
      <c r="Q3988" s="22">
        <v>60702</v>
      </c>
    </row>
    <row r="3989" spans="1:17" ht="43.2" x14ac:dyDescent="0.3">
      <c r="A3989" s="22" t="s">
        <v>7881</v>
      </c>
      <c r="B3989" s="22" t="s">
        <v>7910</v>
      </c>
      <c r="C3989" s="22"/>
      <c r="D3989" s="22" t="s">
        <v>7710</v>
      </c>
      <c r="E3989" s="22" t="s">
        <v>1151</v>
      </c>
      <c r="F3989" s="24" t="s">
        <v>8001</v>
      </c>
      <c r="G3989" s="23" t="s">
        <v>32</v>
      </c>
      <c r="H3989" s="24" t="s">
        <v>93</v>
      </c>
      <c r="I3989" s="22"/>
      <c r="J3989" s="22" t="s">
        <v>85</v>
      </c>
      <c r="K3989" s="24"/>
      <c r="L3989" s="24"/>
      <c r="M3989" s="25" t="s">
        <v>1152</v>
      </c>
      <c r="N3989" s="22"/>
      <c r="O3989" s="22" t="s">
        <v>1153</v>
      </c>
      <c r="P3989" s="22" t="str">
        <f>HYPERLINK("https://ceds.ed.gov/cedselementdetails.aspx?termid=21398")</f>
        <v>https://ceds.ed.gov/cedselementdetails.aspx?termid=21398</v>
      </c>
      <c r="Q3989" s="22">
        <v>59835</v>
      </c>
    </row>
    <row r="3990" spans="1:17" ht="72" x14ac:dyDescent="0.3">
      <c r="A3990" s="22" t="s">
        <v>7881</v>
      </c>
      <c r="B3990" s="22" t="s">
        <v>7910</v>
      </c>
      <c r="C3990" s="22"/>
      <c r="D3990" s="22" t="s">
        <v>7710</v>
      </c>
      <c r="E3990" s="22" t="s">
        <v>1147</v>
      </c>
      <c r="F3990" s="24" t="s">
        <v>1148</v>
      </c>
      <c r="G3990" s="23" t="s">
        <v>32</v>
      </c>
      <c r="H3990" s="22"/>
      <c r="I3990" s="22"/>
      <c r="J3990" s="22" t="s">
        <v>328</v>
      </c>
      <c r="K3990" s="24"/>
      <c r="L3990" s="24"/>
      <c r="M3990" s="25" t="s">
        <v>1149</v>
      </c>
      <c r="N3990" s="22"/>
      <c r="O3990" s="22" t="s">
        <v>1150</v>
      </c>
      <c r="P3990" s="22" t="str">
        <f>HYPERLINK("https://ceds.ed.gov/cedselementdetails.aspx?termid=22102")</f>
        <v>https://ceds.ed.gov/cedselementdetails.aspx?termid=22102</v>
      </c>
      <c r="Q3990" s="22">
        <v>59544</v>
      </c>
    </row>
    <row r="3991" spans="1:17" ht="129.6" x14ac:dyDescent="0.3">
      <c r="A3991" s="22" t="s">
        <v>7881</v>
      </c>
      <c r="B3991" s="22" t="s">
        <v>7910</v>
      </c>
      <c r="C3991" s="22"/>
      <c r="D3991" s="22" t="s">
        <v>7710</v>
      </c>
      <c r="E3991" s="22" t="s">
        <v>1354</v>
      </c>
      <c r="F3991" s="24" t="s">
        <v>1355</v>
      </c>
      <c r="G3991" s="23" t="s">
        <v>32</v>
      </c>
      <c r="H3991" s="22"/>
      <c r="I3991" s="22"/>
      <c r="J3991" s="22" t="s">
        <v>113</v>
      </c>
      <c r="K3991" s="24"/>
      <c r="L3991" s="24" t="s">
        <v>876</v>
      </c>
      <c r="M3991" s="25" t="s">
        <v>1356</v>
      </c>
      <c r="N3991" s="22"/>
      <c r="O3991" s="22" t="s">
        <v>1357</v>
      </c>
      <c r="P3991" s="22" t="str">
        <f>HYPERLINK("https://ceds.ed.gov/cedselementdetails.aspx?termid=21969")</f>
        <v>https://ceds.ed.gov/cedselementdetails.aspx?termid=21969</v>
      </c>
      <c r="Q3991" s="22">
        <v>59516</v>
      </c>
    </row>
    <row r="3992" spans="1:17" ht="409.6" x14ac:dyDescent="0.3">
      <c r="A3992" s="22" t="s">
        <v>7881</v>
      </c>
      <c r="B3992" s="22" t="s">
        <v>7910</v>
      </c>
      <c r="C3992" s="22"/>
      <c r="D3992" s="22" t="s">
        <v>7710</v>
      </c>
      <c r="E3992" s="22" t="s">
        <v>1358</v>
      </c>
      <c r="F3992" s="24" t="s">
        <v>1359</v>
      </c>
      <c r="G3992" s="26" t="s">
        <v>8644</v>
      </c>
      <c r="H3992" s="24" t="s">
        <v>93</v>
      </c>
      <c r="I3992" s="22"/>
      <c r="J3992" s="22"/>
      <c r="K3992" s="24"/>
      <c r="L3992" s="24"/>
      <c r="M3992" s="25" t="s">
        <v>1360</v>
      </c>
      <c r="N3992" s="22"/>
      <c r="O3992" s="22" t="s">
        <v>1361</v>
      </c>
      <c r="P3992" s="22" t="str">
        <f>HYPERLINK("https://ceds.ed.gov/cedselementdetails.aspx?termid=21380")</f>
        <v>https://ceds.ed.gov/cedselementdetails.aspx?termid=21380</v>
      </c>
      <c r="Q3992" s="22">
        <v>60847</v>
      </c>
    </row>
    <row r="3993" spans="1:17" ht="72" x14ac:dyDescent="0.3">
      <c r="A3993" s="22" t="s">
        <v>7881</v>
      </c>
      <c r="B3993" s="22" t="s">
        <v>7910</v>
      </c>
      <c r="C3993" s="22"/>
      <c r="D3993" s="22" t="s">
        <v>7710</v>
      </c>
      <c r="E3993" s="22" t="s">
        <v>1362</v>
      </c>
      <c r="F3993" s="24" t="s">
        <v>1363</v>
      </c>
      <c r="G3993" s="23" t="s">
        <v>32</v>
      </c>
      <c r="H3993" s="22"/>
      <c r="I3993" s="22"/>
      <c r="J3993" s="22" t="s">
        <v>157</v>
      </c>
      <c r="K3993" s="24"/>
      <c r="L3993" s="24"/>
      <c r="M3993" s="25" t="s">
        <v>1364</v>
      </c>
      <c r="N3993" s="22"/>
      <c r="O3993" s="22" t="s">
        <v>1365</v>
      </c>
      <c r="P3993" s="22" t="str">
        <f>HYPERLINK("https://ceds.ed.gov/cedselementdetails.aspx?termid=22077")</f>
        <v>https://ceds.ed.gov/cedselementdetails.aspx?termid=22077</v>
      </c>
      <c r="Q3993" s="22">
        <v>59517</v>
      </c>
    </row>
    <row r="3994" spans="1:17" ht="172.8" x14ac:dyDescent="0.3">
      <c r="A3994" s="22" t="s">
        <v>7911</v>
      </c>
      <c r="B3994" s="22" t="s">
        <v>7912</v>
      </c>
      <c r="C3994" s="22"/>
      <c r="D3994" s="22" t="s">
        <v>7710</v>
      </c>
      <c r="E3994" s="22" t="s">
        <v>623</v>
      </c>
      <c r="F3994" s="24" t="s">
        <v>7972</v>
      </c>
      <c r="G3994" s="23" t="s">
        <v>32</v>
      </c>
      <c r="H3994" s="24" t="s">
        <v>627</v>
      </c>
      <c r="I3994" s="22" t="s">
        <v>172</v>
      </c>
      <c r="J3994" s="22" t="s">
        <v>780</v>
      </c>
      <c r="K3994" s="24" t="s">
        <v>7973</v>
      </c>
      <c r="L3994" s="24" t="s">
        <v>7945</v>
      </c>
      <c r="M3994" s="25" t="s">
        <v>625</v>
      </c>
      <c r="N3994" s="22"/>
      <c r="O3994" s="22" t="s">
        <v>626</v>
      </c>
      <c r="P3994" s="22" t="str">
        <f>HYPERLINK("https://ceds.ed.gov/cedselementdetails.aspx?termid=21152")</f>
        <v>https://ceds.ed.gov/cedselementdetails.aspx?termid=21152</v>
      </c>
      <c r="Q3994" s="22">
        <v>62811</v>
      </c>
    </row>
    <row r="3995" spans="1:17" ht="115.2" x14ac:dyDescent="0.3">
      <c r="A3995" s="22" t="s">
        <v>7911</v>
      </c>
      <c r="B3995" s="22" t="s">
        <v>7912</v>
      </c>
      <c r="C3995" s="22"/>
      <c r="D3995" s="22" t="s">
        <v>7710</v>
      </c>
      <c r="E3995" s="22" t="s">
        <v>617</v>
      </c>
      <c r="F3995" s="24" t="s">
        <v>618</v>
      </c>
      <c r="G3995" s="26" t="s">
        <v>8612</v>
      </c>
      <c r="H3995" s="24" t="s">
        <v>622</v>
      </c>
      <c r="I3995" s="22"/>
      <c r="J3995" s="22"/>
      <c r="K3995" s="24"/>
      <c r="L3995" s="24"/>
      <c r="M3995" s="25" t="s">
        <v>620</v>
      </c>
      <c r="N3995" s="22"/>
      <c r="O3995" s="22" t="s">
        <v>621</v>
      </c>
      <c r="P3995" s="22" t="str">
        <f>HYPERLINK("https://ceds.ed.gov/cedselementdetails.aspx?termid=21158")</f>
        <v>https://ceds.ed.gov/cedselementdetails.aspx?termid=21158</v>
      </c>
      <c r="Q3995" s="22">
        <v>62781</v>
      </c>
    </row>
    <row r="3996" spans="1:17" ht="43.2" x14ac:dyDescent="0.3">
      <c r="A3996" s="22" t="s">
        <v>7911</v>
      </c>
      <c r="B3996" s="22" t="s">
        <v>7912</v>
      </c>
      <c r="C3996" s="22"/>
      <c r="D3996" s="22" t="s">
        <v>7710</v>
      </c>
      <c r="E3996" s="22" t="s">
        <v>2754</v>
      </c>
      <c r="F3996" s="24" t="s">
        <v>2755</v>
      </c>
      <c r="G3996" s="23" t="s">
        <v>32</v>
      </c>
      <c r="H3996" s="22"/>
      <c r="I3996" s="22"/>
      <c r="J3996" s="22" t="s">
        <v>328</v>
      </c>
      <c r="K3996" s="24"/>
      <c r="L3996" s="24"/>
      <c r="M3996" s="25" t="s">
        <v>2757</v>
      </c>
      <c r="N3996" s="22"/>
      <c r="O3996" s="22" t="s">
        <v>2758</v>
      </c>
      <c r="P3996" s="22" t="str">
        <f>HYPERLINK("https://ceds.ed.gov/cedselementdetails.aspx?termid=22715")</f>
        <v>https://ceds.ed.gov/cedselementdetails.aspx?termid=22715</v>
      </c>
      <c r="Q3996" s="22">
        <v>62883</v>
      </c>
    </row>
    <row r="3997" spans="1:17" ht="43.2" x14ac:dyDescent="0.3">
      <c r="A3997" s="22" t="s">
        <v>7911</v>
      </c>
      <c r="B3997" s="22" t="s">
        <v>7912</v>
      </c>
      <c r="C3997" s="22"/>
      <c r="D3997" s="22" t="s">
        <v>7710</v>
      </c>
      <c r="E3997" s="22" t="s">
        <v>2759</v>
      </c>
      <c r="F3997" s="24" t="s">
        <v>2760</v>
      </c>
      <c r="G3997" s="23" t="s">
        <v>32</v>
      </c>
      <c r="H3997" s="22"/>
      <c r="I3997" s="22"/>
      <c r="J3997" s="22" t="s">
        <v>50</v>
      </c>
      <c r="K3997" s="24"/>
      <c r="L3997" s="24"/>
      <c r="M3997" s="25" t="s">
        <v>2761</v>
      </c>
      <c r="N3997" s="22"/>
      <c r="O3997" s="22" t="s">
        <v>2762</v>
      </c>
      <c r="P3997" s="22" t="str">
        <f>HYPERLINK("https://ceds.ed.gov/cedselementdetails.aspx?termid=22716")</f>
        <v>https://ceds.ed.gov/cedselementdetails.aspx?termid=22716</v>
      </c>
      <c r="Q3997" s="22">
        <v>62884</v>
      </c>
    </row>
    <row r="3998" spans="1:17" ht="57.6" x14ac:dyDescent="0.3">
      <c r="A3998" s="22" t="s">
        <v>7911</v>
      </c>
      <c r="B3998" s="22" t="s">
        <v>7912</v>
      </c>
      <c r="C3998" s="22"/>
      <c r="D3998" s="22" t="s">
        <v>7710</v>
      </c>
      <c r="E3998" s="22" t="s">
        <v>2783</v>
      </c>
      <c r="F3998" s="24" t="s">
        <v>7460</v>
      </c>
      <c r="G3998" s="23" t="s">
        <v>32</v>
      </c>
      <c r="H3998" s="22"/>
      <c r="I3998" s="22"/>
      <c r="J3998" s="22" t="s">
        <v>118</v>
      </c>
      <c r="K3998" s="24"/>
      <c r="L3998" s="24" t="s">
        <v>2784</v>
      </c>
      <c r="M3998" s="25" t="s">
        <v>2785</v>
      </c>
      <c r="N3998" s="22" t="s">
        <v>2786</v>
      </c>
      <c r="O3998" s="22" t="s">
        <v>2787</v>
      </c>
      <c r="P3998" s="22" t="str">
        <f>HYPERLINK("https://ceds.ed.gov/cedselementdetails.aspx?termid=22120")</f>
        <v>https://ceds.ed.gov/cedselementdetails.aspx?termid=22120</v>
      </c>
      <c r="Q3998" s="22">
        <v>62814</v>
      </c>
    </row>
    <row r="3999" spans="1:17" ht="57.6" x14ac:dyDescent="0.3">
      <c r="A3999" s="22" t="s">
        <v>7911</v>
      </c>
      <c r="B3999" s="22" t="s">
        <v>7912</v>
      </c>
      <c r="C3999" s="22"/>
      <c r="D3999" s="22" t="s">
        <v>7710</v>
      </c>
      <c r="E3999" s="22" t="s">
        <v>2767</v>
      </c>
      <c r="F3999" s="24" t="s">
        <v>7457</v>
      </c>
      <c r="G3999" s="23" t="s">
        <v>32</v>
      </c>
      <c r="H3999" s="22"/>
      <c r="I3999" s="22"/>
      <c r="J3999" s="22" t="s">
        <v>118</v>
      </c>
      <c r="K3999" s="24"/>
      <c r="L3999" s="24" t="s">
        <v>143</v>
      </c>
      <c r="M3999" s="25" t="s">
        <v>2768</v>
      </c>
      <c r="N3999" s="22" t="s">
        <v>2769</v>
      </c>
      <c r="O3999" s="22" t="s">
        <v>2770</v>
      </c>
      <c r="P3999" s="22" t="str">
        <f>HYPERLINK("https://ceds.ed.gov/cedselementdetails.aspx?termid=22121")</f>
        <v>https://ceds.ed.gov/cedselementdetails.aspx?termid=22121</v>
      </c>
      <c r="Q3999" s="22">
        <v>62815</v>
      </c>
    </row>
    <row r="4000" spans="1:17" ht="43.2" x14ac:dyDescent="0.3">
      <c r="A4000" s="22" t="s">
        <v>7911</v>
      </c>
      <c r="B4000" s="22" t="s">
        <v>7912</v>
      </c>
      <c r="C4000" s="22"/>
      <c r="D4000" s="22" t="s">
        <v>7710</v>
      </c>
      <c r="E4000" s="22" t="s">
        <v>2788</v>
      </c>
      <c r="F4000" s="24" t="s">
        <v>2789</v>
      </c>
      <c r="G4000" s="23" t="s">
        <v>32</v>
      </c>
      <c r="H4000" s="22"/>
      <c r="I4000" s="22"/>
      <c r="J4000" s="22" t="s">
        <v>118</v>
      </c>
      <c r="K4000" s="24"/>
      <c r="L4000" s="24"/>
      <c r="M4000" s="25" t="s">
        <v>2790</v>
      </c>
      <c r="N4000" s="22"/>
      <c r="O4000" s="22" t="s">
        <v>2791</v>
      </c>
      <c r="P4000" s="22" t="str">
        <f>HYPERLINK("https://ceds.ed.gov/cedselementdetails.aspx?termid=22645")</f>
        <v>https://ceds.ed.gov/cedselementdetails.aspx?termid=22645</v>
      </c>
      <c r="Q4000" s="22">
        <v>62889</v>
      </c>
    </row>
    <row r="4001" spans="1:17" ht="28.8" x14ac:dyDescent="0.3">
      <c r="A4001" s="22" t="s">
        <v>7911</v>
      </c>
      <c r="B4001" s="22" t="s">
        <v>7912</v>
      </c>
      <c r="C4001" s="22"/>
      <c r="D4001" s="22" t="s">
        <v>7710</v>
      </c>
      <c r="E4001" s="22" t="s">
        <v>2763</v>
      </c>
      <c r="F4001" s="24" t="s">
        <v>2764</v>
      </c>
      <c r="G4001" s="23" t="s">
        <v>32</v>
      </c>
      <c r="H4001" s="22"/>
      <c r="I4001" s="22"/>
      <c r="J4001" s="22" t="s">
        <v>113</v>
      </c>
      <c r="K4001" s="24"/>
      <c r="L4001" s="24"/>
      <c r="M4001" s="25" t="s">
        <v>2765</v>
      </c>
      <c r="N4001" s="22"/>
      <c r="O4001" s="22" t="s">
        <v>2766</v>
      </c>
      <c r="P4001" s="22" t="str">
        <f>HYPERLINK("https://ceds.ed.gov/cedselementdetails.aspx?termid=22718")</f>
        <v>https://ceds.ed.gov/cedselementdetails.aspx?termid=22718</v>
      </c>
      <c r="Q4001" s="22">
        <v>62887</v>
      </c>
    </row>
    <row r="4002" spans="1:17" ht="43.2" x14ac:dyDescent="0.3">
      <c r="A4002" s="22" t="s">
        <v>7911</v>
      </c>
      <c r="B4002" s="22" t="s">
        <v>7912</v>
      </c>
      <c r="C4002" s="22"/>
      <c r="D4002" s="22" t="s">
        <v>7710</v>
      </c>
      <c r="E4002" s="22" t="s">
        <v>2771</v>
      </c>
      <c r="F4002" s="24" t="s">
        <v>2772</v>
      </c>
      <c r="G4002" s="23" t="s">
        <v>32</v>
      </c>
      <c r="H4002" s="22"/>
      <c r="I4002" s="22"/>
      <c r="J4002" s="22" t="s">
        <v>50</v>
      </c>
      <c r="K4002" s="24"/>
      <c r="L4002" s="24"/>
      <c r="M4002" s="25" t="s">
        <v>2773</v>
      </c>
      <c r="N4002" s="22"/>
      <c r="O4002" s="22" t="s">
        <v>2774</v>
      </c>
      <c r="P4002" s="22" t="str">
        <f>HYPERLINK("https://ceds.ed.gov/cedselementdetails.aspx?termid=22650")</f>
        <v>https://ceds.ed.gov/cedselementdetails.aspx?termid=22650</v>
      </c>
      <c r="Q4002" s="22">
        <v>62888</v>
      </c>
    </row>
    <row r="4003" spans="1:17" ht="57.6" x14ac:dyDescent="0.3">
      <c r="A4003" s="22" t="s">
        <v>7911</v>
      </c>
      <c r="B4003" s="22" t="s">
        <v>7912</v>
      </c>
      <c r="C4003" s="22"/>
      <c r="D4003" s="22" t="s">
        <v>7710</v>
      </c>
      <c r="E4003" s="22" t="s">
        <v>2775</v>
      </c>
      <c r="F4003" s="24" t="s">
        <v>7458</v>
      </c>
      <c r="G4003" s="23" t="s">
        <v>32</v>
      </c>
      <c r="H4003" s="22"/>
      <c r="I4003" s="22"/>
      <c r="J4003" s="22" t="s">
        <v>2776</v>
      </c>
      <c r="K4003" s="24"/>
      <c r="L4003" s="24"/>
      <c r="M4003" s="25" t="s">
        <v>2777</v>
      </c>
      <c r="N4003" s="22"/>
      <c r="O4003" s="22" t="s">
        <v>2778</v>
      </c>
      <c r="P4003" s="22" t="str">
        <f>HYPERLINK("https://ceds.ed.gov/cedselementdetails.aspx?termid=21898")</f>
        <v>https://ceds.ed.gov/cedselementdetails.aspx?termid=21898</v>
      </c>
      <c r="Q4003" s="22">
        <v>62805</v>
      </c>
    </row>
    <row r="4004" spans="1:17" ht="57.6" x14ac:dyDescent="0.3">
      <c r="A4004" s="22" t="s">
        <v>7911</v>
      </c>
      <c r="B4004" s="22" t="s">
        <v>7912</v>
      </c>
      <c r="C4004" s="22"/>
      <c r="D4004" s="22" t="s">
        <v>7710</v>
      </c>
      <c r="E4004" s="22" t="s">
        <v>2779</v>
      </c>
      <c r="F4004" s="24" t="s">
        <v>7459</v>
      </c>
      <c r="G4004" s="23" t="s">
        <v>32</v>
      </c>
      <c r="H4004" s="22"/>
      <c r="I4004" s="22"/>
      <c r="J4004" s="22" t="s">
        <v>50</v>
      </c>
      <c r="K4004" s="24"/>
      <c r="L4004" s="24" t="s">
        <v>2780</v>
      </c>
      <c r="M4004" s="25" t="s">
        <v>2781</v>
      </c>
      <c r="N4004" s="22"/>
      <c r="O4004" s="22" t="s">
        <v>2782</v>
      </c>
      <c r="P4004" s="22" t="str">
        <f>HYPERLINK("https://ceds.ed.gov/cedselementdetails.aspx?termid=21900")</f>
        <v>https://ceds.ed.gov/cedselementdetails.aspx?termid=21900</v>
      </c>
      <c r="Q4004" s="22">
        <v>62806</v>
      </c>
    </row>
    <row r="4005" spans="1:17" ht="100.8" x14ac:dyDescent="0.3">
      <c r="A4005" s="22" t="s">
        <v>7911</v>
      </c>
      <c r="B4005" s="22" t="s">
        <v>7912</v>
      </c>
      <c r="C4005" s="22"/>
      <c r="D4005" s="22" t="s">
        <v>7710</v>
      </c>
      <c r="E4005" s="22" t="s">
        <v>2916</v>
      </c>
      <c r="F4005" s="24" t="s">
        <v>7473</v>
      </c>
      <c r="G4005" s="23" t="s">
        <v>32</v>
      </c>
      <c r="H4005" s="22"/>
      <c r="I4005" s="22"/>
      <c r="J4005" s="22" t="s">
        <v>113</v>
      </c>
      <c r="K4005" s="24"/>
      <c r="L4005" s="24" t="s">
        <v>2917</v>
      </c>
      <c r="M4005" s="25" t="s">
        <v>2918</v>
      </c>
      <c r="N4005" s="22"/>
      <c r="O4005" s="22" t="s">
        <v>2919</v>
      </c>
      <c r="P4005" s="22" t="str">
        <f>HYPERLINK("https://ceds.ed.gov/cedselementdetails.aspx?termid=21901")</f>
        <v>https://ceds.ed.gov/cedselementdetails.aspx?termid=21901</v>
      </c>
      <c r="Q4005" s="22">
        <v>62807</v>
      </c>
    </row>
    <row r="4006" spans="1:17" ht="43.2" x14ac:dyDescent="0.3">
      <c r="A4006" s="22" t="s">
        <v>7911</v>
      </c>
      <c r="B4006" s="22" t="s">
        <v>7912</v>
      </c>
      <c r="C4006" s="22"/>
      <c r="D4006" s="22" t="s">
        <v>7710</v>
      </c>
      <c r="E4006" s="22" t="s">
        <v>2953</v>
      </c>
      <c r="F4006" s="24" t="s">
        <v>2954</v>
      </c>
      <c r="G4006" s="26" t="s">
        <v>22</v>
      </c>
      <c r="H4006" s="22"/>
      <c r="I4006" s="22"/>
      <c r="J4006" s="22"/>
      <c r="K4006" s="24"/>
      <c r="L4006" s="24"/>
      <c r="M4006" s="25" t="s">
        <v>2955</v>
      </c>
      <c r="N4006" s="22"/>
      <c r="O4006" s="22" t="s">
        <v>2956</v>
      </c>
      <c r="P4006" s="22" t="str">
        <f>HYPERLINK("https://ceds.ed.gov/cedselementdetails.aspx?termid=22732")</f>
        <v>https://ceds.ed.gov/cedselementdetails.aspx?termid=22732</v>
      </c>
      <c r="Q4006" s="22">
        <v>62904</v>
      </c>
    </row>
    <row r="4007" spans="1:17" ht="57.6" x14ac:dyDescent="0.3">
      <c r="A4007" s="22" t="s">
        <v>7911</v>
      </c>
      <c r="B4007" s="22" t="s">
        <v>7912</v>
      </c>
      <c r="C4007" s="22"/>
      <c r="D4007" s="22" t="s">
        <v>7710</v>
      </c>
      <c r="E4007" s="22" t="s">
        <v>2949</v>
      </c>
      <c r="F4007" s="24" t="s">
        <v>7475</v>
      </c>
      <c r="G4007" s="23" t="s">
        <v>32</v>
      </c>
      <c r="H4007" s="22"/>
      <c r="I4007" s="22"/>
      <c r="J4007" s="22" t="s">
        <v>118</v>
      </c>
      <c r="K4007" s="24"/>
      <c r="L4007" s="24" t="s">
        <v>2950</v>
      </c>
      <c r="M4007" s="25" t="s">
        <v>2951</v>
      </c>
      <c r="N4007" s="22"/>
      <c r="O4007" s="22" t="s">
        <v>2952</v>
      </c>
      <c r="P4007" s="22" t="str">
        <f>HYPERLINK("https://ceds.ed.gov/cedselementdetails.aspx?termid=22641")</f>
        <v>https://ceds.ed.gov/cedselementdetails.aspx?termid=22641</v>
      </c>
      <c r="Q4007" s="22">
        <v>62903</v>
      </c>
    </row>
    <row r="4008" spans="1:17" ht="28.8" x14ac:dyDescent="0.3">
      <c r="A4008" s="22" t="s">
        <v>7911</v>
      </c>
      <c r="B4008" s="22" t="s">
        <v>7912</v>
      </c>
      <c r="C4008" s="22"/>
      <c r="D4008" s="22" t="s">
        <v>7710</v>
      </c>
      <c r="E4008" s="22" t="s">
        <v>2957</v>
      </c>
      <c r="F4008" s="24" t="s">
        <v>2958</v>
      </c>
      <c r="G4008" s="23" t="s">
        <v>32</v>
      </c>
      <c r="H4008" s="22"/>
      <c r="I4008" s="22"/>
      <c r="J4008" s="22" t="s">
        <v>328</v>
      </c>
      <c r="K4008" s="24"/>
      <c r="L4008" s="24"/>
      <c r="M4008" s="25" t="s">
        <v>2959</v>
      </c>
      <c r="N4008" s="22"/>
      <c r="O4008" s="22" t="s">
        <v>2960</v>
      </c>
      <c r="P4008" s="22" t="str">
        <f>HYPERLINK("https://ceds.ed.gov/cedselementdetails.aspx?termid=22642")</f>
        <v>https://ceds.ed.gov/cedselementdetails.aspx?termid=22642</v>
      </c>
      <c r="Q4008" s="22">
        <v>62905</v>
      </c>
    </row>
    <row r="4009" spans="1:17" ht="72" x14ac:dyDescent="0.3">
      <c r="A4009" s="22" t="s">
        <v>7911</v>
      </c>
      <c r="B4009" s="22" t="s">
        <v>7912</v>
      </c>
      <c r="C4009" s="22"/>
      <c r="D4009" s="22" t="s">
        <v>7710</v>
      </c>
      <c r="E4009" s="22" t="s">
        <v>5595</v>
      </c>
      <c r="F4009" s="24" t="s">
        <v>5596</v>
      </c>
      <c r="G4009" s="23" t="s">
        <v>32</v>
      </c>
      <c r="H4009" s="24" t="s">
        <v>64</v>
      </c>
      <c r="I4009" s="22"/>
      <c r="J4009" s="22" t="s">
        <v>1518</v>
      </c>
      <c r="K4009" s="24"/>
      <c r="L4009" s="24"/>
      <c r="M4009" s="25" t="s">
        <v>5597</v>
      </c>
      <c r="N4009" s="22"/>
      <c r="O4009" s="22" t="s">
        <v>5598</v>
      </c>
      <c r="P4009" s="22" t="str">
        <f>HYPERLINK("https://ceds.ed.gov/cedselementdetails.aspx?termid=21199")</f>
        <v>https://ceds.ed.gov/cedselementdetails.aspx?termid=21199</v>
      </c>
      <c r="Q4009" s="22">
        <v>62774</v>
      </c>
    </row>
    <row r="4010" spans="1:17" ht="100.8" x14ac:dyDescent="0.3">
      <c r="A4010" s="22" t="s">
        <v>7911</v>
      </c>
      <c r="B4010" s="22" t="s">
        <v>7912</v>
      </c>
      <c r="C4010" s="22"/>
      <c r="D4010" s="22" t="s">
        <v>7710</v>
      </c>
      <c r="E4010" s="22" t="s">
        <v>5599</v>
      </c>
      <c r="F4010" s="24" t="s">
        <v>5600</v>
      </c>
      <c r="G4010" s="23" t="s">
        <v>32</v>
      </c>
      <c r="H4010" s="24" t="s">
        <v>5342</v>
      </c>
      <c r="I4010" s="22"/>
      <c r="J4010" s="22" t="s">
        <v>1518</v>
      </c>
      <c r="K4010" s="24"/>
      <c r="L4010" s="24"/>
      <c r="M4010" s="25" t="s">
        <v>5601</v>
      </c>
      <c r="N4010" s="22"/>
      <c r="O4010" s="22" t="s">
        <v>5602</v>
      </c>
      <c r="P4010" s="22" t="str">
        <f>HYPERLINK("https://ceds.ed.gov/cedselementdetails.aspx?termid=21200")</f>
        <v>https://ceds.ed.gov/cedselementdetails.aspx?termid=21200</v>
      </c>
      <c r="Q4010" s="22">
        <v>62775</v>
      </c>
    </row>
    <row r="4011" spans="1:17" ht="86.4" x14ac:dyDescent="0.3">
      <c r="A4011" s="22" t="s">
        <v>7911</v>
      </c>
      <c r="B4011" s="22" t="s">
        <v>7912</v>
      </c>
      <c r="C4011" s="22"/>
      <c r="D4011" s="22" t="s">
        <v>7710</v>
      </c>
      <c r="E4011" s="22" t="s">
        <v>2932</v>
      </c>
      <c r="F4011" s="24" t="s">
        <v>2933</v>
      </c>
      <c r="G4011" s="23" t="s">
        <v>32</v>
      </c>
      <c r="H4011" s="22"/>
      <c r="I4011" s="22"/>
      <c r="J4011" s="22" t="s">
        <v>50</v>
      </c>
      <c r="K4011" s="24"/>
      <c r="L4011" s="24" t="s">
        <v>8071</v>
      </c>
      <c r="M4011" s="25" t="s">
        <v>2934</v>
      </c>
      <c r="N4011" s="22"/>
      <c r="O4011" s="22" t="s">
        <v>2935</v>
      </c>
      <c r="P4011" s="22" t="str">
        <f>HYPERLINK("https://ceds.ed.gov/cedselementdetails.aspx?termid=22643")</f>
        <v>https://ceds.ed.gov/cedselementdetails.aspx?termid=22643</v>
      </c>
      <c r="Q4011" s="22">
        <v>63160</v>
      </c>
    </row>
    <row r="4012" spans="1:17" ht="100.8" x14ac:dyDescent="0.3">
      <c r="A4012" s="22" t="s">
        <v>7911</v>
      </c>
      <c r="B4012" s="22" t="s">
        <v>7912</v>
      </c>
      <c r="C4012" s="22"/>
      <c r="D4012" s="22" t="s">
        <v>7710</v>
      </c>
      <c r="E4012" s="22" t="s">
        <v>253</v>
      </c>
      <c r="F4012" s="24" t="s">
        <v>7424</v>
      </c>
      <c r="G4012" s="26" t="s">
        <v>8584</v>
      </c>
      <c r="H4012" s="22"/>
      <c r="I4012" s="22"/>
      <c r="J4012" s="22"/>
      <c r="K4012" s="24"/>
      <c r="L4012" s="24"/>
      <c r="M4012" s="25" t="s">
        <v>254</v>
      </c>
      <c r="N4012" s="22"/>
      <c r="O4012" s="22" t="s">
        <v>255</v>
      </c>
      <c r="P4012" s="22" t="str">
        <f>HYPERLINK("https://ceds.ed.gov/cedselementdetails.aspx?termid=21775")</f>
        <v>https://ceds.ed.gov/cedselementdetails.aspx?termid=21775</v>
      </c>
      <c r="Q4012" s="22">
        <v>63496</v>
      </c>
    </row>
    <row r="4013" spans="1:17" ht="28.8" x14ac:dyDescent="0.3">
      <c r="A4013" s="22" t="s">
        <v>7911</v>
      </c>
      <c r="B4013" s="22" t="s">
        <v>7912</v>
      </c>
      <c r="C4013" s="22"/>
      <c r="D4013" s="22" t="s">
        <v>7710</v>
      </c>
      <c r="E4013" s="22" t="s">
        <v>5977</v>
      </c>
      <c r="F4013" s="24" t="s">
        <v>5978</v>
      </c>
      <c r="G4013" s="23" t="s">
        <v>32</v>
      </c>
      <c r="H4013" s="22"/>
      <c r="I4013" s="22"/>
      <c r="J4013" s="22" t="s">
        <v>85</v>
      </c>
      <c r="K4013" s="24"/>
      <c r="L4013" s="24"/>
      <c r="M4013" s="25" t="s">
        <v>5979</v>
      </c>
      <c r="N4013" s="22"/>
      <c r="O4013" s="22" t="s">
        <v>5980</v>
      </c>
      <c r="P4013" s="22" t="str">
        <f>HYPERLINK("https://ceds.ed.gov/cedselementdetails.aspx?termid=22398")</f>
        <v>https://ceds.ed.gov/cedselementdetails.aspx?termid=22398</v>
      </c>
      <c r="Q4013" s="22">
        <v>63497</v>
      </c>
    </row>
    <row r="4014" spans="1:17" ht="172.8" x14ac:dyDescent="0.3">
      <c r="A4014" s="22" t="s">
        <v>7911</v>
      </c>
      <c r="B4014" s="22" t="s">
        <v>7912</v>
      </c>
      <c r="C4014" s="22" t="s">
        <v>7913</v>
      </c>
      <c r="D4014" s="22" t="s">
        <v>7710</v>
      </c>
      <c r="E4014" s="22" t="s">
        <v>5835</v>
      </c>
      <c r="F4014" s="24" t="s">
        <v>5836</v>
      </c>
      <c r="G4014" s="23" t="s">
        <v>32</v>
      </c>
      <c r="H4014" s="22"/>
      <c r="I4014" s="22" t="s">
        <v>172</v>
      </c>
      <c r="J4014" s="22" t="s">
        <v>132</v>
      </c>
      <c r="K4014" s="24" t="s">
        <v>7946</v>
      </c>
      <c r="L4014" s="24" t="s">
        <v>8043</v>
      </c>
      <c r="M4014" s="25" t="s">
        <v>5837</v>
      </c>
      <c r="N4014" s="22"/>
      <c r="O4014" s="22" t="s">
        <v>5838</v>
      </c>
      <c r="P4014" s="22" t="str">
        <f>HYPERLINK("https://ceds.ed.gov/cedselementdetails.aspx?termid=22551")</f>
        <v>https://ceds.ed.gov/cedselementdetails.aspx?termid=22551</v>
      </c>
      <c r="Q4014" s="22">
        <v>62846</v>
      </c>
    </row>
    <row r="4015" spans="1:17" ht="259.2" x14ac:dyDescent="0.3">
      <c r="A4015" s="22" t="s">
        <v>7911</v>
      </c>
      <c r="B4015" s="22" t="s">
        <v>7912</v>
      </c>
      <c r="C4015" s="22" t="s">
        <v>7913</v>
      </c>
      <c r="D4015" s="22" t="s">
        <v>7710</v>
      </c>
      <c r="E4015" s="22" t="s">
        <v>5831</v>
      </c>
      <c r="F4015" s="24" t="s">
        <v>5832</v>
      </c>
      <c r="G4015" s="26" t="s">
        <v>8494</v>
      </c>
      <c r="H4015" s="22"/>
      <c r="I4015" s="22" t="s">
        <v>172</v>
      </c>
      <c r="J4015" s="22"/>
      <c r="K4015" s="24" t="s">
        <v>7946</v>
      </c>
      <c r="L4015" s="24"/>
      <c r="M4015" s="25" t="s">
        <v>5833</v>
      </c>
      <c r="N4015" s="22"/>
      <c r="O4015" s="22" t="s">
        <v>5834</v>
      </c>
      <c r="P4015" s="22" t="str">
        <f>HYPERLINK("https://ceds.ed.gov/cedselementdetails.aspx?termid=22550")</f>
        <v>https://ceds.ed.gov/cedselementdetails.aspx?termid=22550</v>
      </c>
      <c r="Q4015" s="22">
        <v>62837</v>
      </c>
    </row>
    <row r="4016" spans="1:17" ht="172.8" x14ac:dyDescent="0.3">
      <c r="A4016" s="22" t="s">
        <v>7911</v>
      </c>
      <c r="B4016" s="22" t="s">
        <v>7912</v>
      </c>
      <c r="C4016" s="22" t="s">
        <v>7913</v>
      </c>
      <c r="D4016" s="22" t="s">
        <v>7710</v>
      </c>
      <c r="E4016" s="22" t="s">
        <v>5683</v>
      </c>
      <c r="F4016" s="24" t="s">
        <v>5684</v>
      </c>
      <c r="G4016" s="23" t="s">
        <v>32</v>
      </c>
      <c r="H4016" s="22" t="s">
        <v>109</v>
      </c>
      <c r="I4016" s="22" t="s">
        <v>172</v>
      </c>
      <c r="J4016" s="22" t="s">
        <v>132</v>
      </c>
      <c r="K4016" s="24" t="s">
        <v>7946</v>
      </c>
      <c r="L4016" s="24" t="s">
        <v>7945</v>
      </c>
      <c r="M4016" s="25" t="s">
        <v>5685</v>
      </c>
      <c r="N4016" s="22"/>
      <c r="O4016" s="22" t="s">
        <v>5686</v>
      </c>
      <c r="P4016" s="22" t="str">
        <f>HYPERLINK("https://ceds.ed.gov/cedselementdetails.aspx?termid=21825")</f>
        <v>https://ceds.ed.gov/cedselementdetails.aspx?termid=21825</v>
      </c>
      <c r="Q4016" s="22">
        <v>62796</v>
      </c>
    </row>
    <row r="4017" spans="1:17" ht="187.2" x14ac:dyDescent="0.3">
      <c r="A4017" s="22" t="s">
        <v>7911</v>
      </c>
      <c r="B4017" s="22" t="s">
        <v>7912</v>
      </c>
      <c r="C4017" s="22" t="s">
        <v>7913</v>
      </c>
      <c r="D4017" s="22" t="s">
        <v>7710</v>
      </c>
      <c r="E4017" s="22" t="s">
        <v>5679</v>
      </c>
      <c r="F4017" s="24" t="s">
        <v>5680</v>
      </c>
      <c r="G4017" s="26" t="s">
        <v>8485</v>
      </c>
      <c r="H4017" s="22" t="s">
        <v>109</v>
      </c>
      <c r="I4017" s="22" t="s">
        <v>172</v>
      </c>
      <c r="J4017" s="22"/>
      <c r="K4017" s="24" t="s">
        <v>7946</v>
      </c>
      <c r="L4017" s="24"/>
      <c r="M4017" s="25" t="s">
        <v>5681</v>
      </c>
      <c r="N4017" s="22"/>
      <c r="O4017" s="22" t="s">
        <v>5682</v>
      </c>
      <c r="P4017" s="22" t="str">
        <f>HYPERLINK("https://ceds.ed.gov/cedselementdetails.aspx?termid=21827")</f>
        <v>https://ceds.ed.gov/cedselementdetails.aspx?termid=21827</v>
      </c>
      <c r="Q4017" s="22">
        <v>62799</v>
      </c>
    </row>
    <row r="4018" spans="1:17" ht="302.39999999999998" x14ac:dyDescent="0.3">
      <c r="A4018" s="22" t="s">
        <v>7911</v>
      </c>
      <c r="B4018" s="22" t="s">
        <v>7912</v>
      </c>
      <c r="C4018" s="22" t="s">
        <v>7913</v>
      </c>
      <c r="D4018" s="22" t="s">
        <v>7710</v>
      </c>
      <c r="E4018" s="22" t="s">
        <v>3027</v>
      </c>
      <c r="F4018" s="24" t="s">
        <v>3028</v>
      </c>
      <c r="G4018" s="26" t="s">
        <v>8780</v>
      </c>
      <c r="H4018" s="22"/>
      <c r="I4018" s="22"/>
      <c r="J4018" s="22"/>
      <c r="K4018" s="24"/>
      <c r="L4018" s="24" t="s">
        <v>3030</v>
      </c>
      <c r="M4018" s="25" t="s">
        <v>3031</v>
      </c>
      <c r="N4018" s="22"/>
      <c r="O4018" s="22" t="s">
        <v>3032</v>
      </c>
      <c r="P4018" s="22" t="str">
        <f>HYPERLINK("https://ceds.ed.gov/cedselementdetails.aspx?termid=22736")</f>
        <v>https://ceds.ed.gov/cedselementdetails.aspx?termid=22736</v>
      </c>
      <c r="Q4018" s="22">
        <v>62910</v>
      </c>
    </row>
    <row r="4019" spans="1:17" ht="409.6" x14ac:dyDescent="0.3">
      <c r="A4019" s="22" t="s">
        <v>7911</v>
      </c>
      <c r="B4019" s="22" t="s">
        <v>7912</v>
      </c>
      <c r="C4019" s="22" t="s">
        <v>7913</v>
      </c>
      <c r="D4019" s="22" t="s">
        <v>7710</v>
      </c>
      <c r="E4019" s="22" t="s">
        <v>6979</v>
      </c>
      <c r="F4019" s="24" t="s">
        <v>6980</v>
      </c>
      <c r="G4019" s="26" t="s">
        <v>8538</v>
      </c>
      <c r="H4019" s="22" t="s">
        <v>207</v>
      </c>
      <c r="I4019" s="22"/>
      <c r="J4019" s="22"/>
      <c r="K4019" s="24"/>
      <c r="L4019" s="24"/>
      <c r="M4019" s="25" t="s">
        <v>6981</v>
      </c>
      <c r="N4019" s="22"/>
      <c r="O4019" s="22" t="s">
        <v>6982</v>
      </c>
      <c r="P4019" s="22" t="str">
        <f>HYPERLINK("https://ceds.ed.gov/cedselementdetails.aspx?termid=21804")</f>
        <v>https://ceds.ed.gov/cedselementdetails.aspx?termid=21804</v>
      </c>
      <c r="Q4019" s="22">
        <v>63498</v>
      </c>
    </row>
    <row r="4020" spans="1:17" ht="172.8" x14ac:dyDescent="0.3">
      <c r="A4020" s="22" t="s">
        <v>7911</v>
      </c>
      <c r="B4020" s="22" t="s">
        <v>7914</v>
      </c>
      <c r="C4020" s="22"/>
      <c r="D4020" s="22" t="s">
        <v>7710</v>
      </c>
      <c r="E4020" s="22" t="s">
        <v>5835</v>
      </c>
      <c r="F4020" s="24" t="s">
        <v>5836</v>
      </c>
      <c r="G4020" s="23" t="s">
        <v>32</v>
      </c>
      <c r="H4020" s="22"/>
      <c r="I4020" s="22" t="s">
        <v>172</v>
      </c>
      <c r="J4020" s="22" t="s">
        <v>132</v>
      </c>
      <c r="K4020" s="24" t="s">
        <v>7946</v>
      </c>
      <c r="L4020" s="24" t="s">
        <v>8043</v>
      </c>
      <c r="M4020" s="25" t="s">
        <v>5837</v>
      </c>
      <c r="N4020" s="22"/>
      <c r="O4020" s="22" t="s">
        <v>5838</v>
      </c>
      <c r="P4020" s="22" t="str">
        <f>HYPERLINK("https://ceds.ed.gov/cedselementdetails.aspx?termid=22551")</f>
        <v>https://ceds.ed.gov/cedselementdetails.aspx?termid=22551</v>
      </c>
      <c r="Q4020" s="22">
        <v>62847</v>
      </c>
    </row>
    <row r="4021" spans="1:17" ht="259.2" x14ac:dyDescent="0.3">
      <c r="A4021" s="22" t="s">
        <v>7911</v>
      </c>
      <c r="B4021" s="22" t="s">
        <v>7914</v>
      </c>
      <c r="C4021" s="22"/>
      <c r="D4021" s="22" t="s">
        <v>7710</v>
      </c>
      <c r="E4021" s="22" t="s">
        <v>5831</v>
      </c>
      <c r="F4021" s="24" t="s">
        <v>5832</v>
      </c>
      <c r="G4021" s="26" t="s">
        <v>8494</v>
      </c>
      <c r="H4021" s="22"/>
      <c r="I4021" s="22" t="s">
        <v>172</v>
      </c>
      <c r="J4021" s="22"/>
      <c r="K4021" s="24" t="s">
        <v>7946</v>
      </c>
      <c r="L4021" s="24"/>
      <c r="M4021" s="25" t="s">
        <v>5833</v>
      </c>
      <c r="N4021" s="22"/>
      <c r="O4021" s="22" t="s">
        <v>5834</v>
      </c>
      <c r="P4021" s="22" t="str">
        <f>HYPERLINK("https://ceds.ed.gov/cedselementdetails.aspx?termid=22550")</f>
        <v>https://ceds.ed.gov/cedselementdetails.aspx?termid=22550</v>
      </c>
      <c r="Q4021" s="22">
        <v>62838</v>
      </c>
    </row>
    <row r="4022" spans="1:17" ht="172.8" x14ac:dyDescent="0.3">
      <c r="A4022" s="22" t="s">
        <v>7911</v>
      </c>
      <c r="B4022" s="22" t="s">
        <v>7914</v>
      </c>
      <c r="C4022" s="22"/>
      <c r="D4022" s="22" t="s">
        <v>7710</v>
      </c>
      <c r="E4022" s="22" t="s">
        <v>5683</v>
      </c>
      <c r="F4022" s="24" t="s">
        <v>5684</v>
      </c>
      <c r="G4022" s="23" t="s">
        <v>32</v>
      </c>
      <c r="H4022" s="22" t="s">
        <v>109</v>
      </c>
      <c r="I4022" s="22" t="s">
        <v>172</v>
      </c>
      <c r="J4022" s="22" t="s">
        <v>132</v>
      </c>
      <c r="K4022" s="24" t="s">
        <v>7946</v>
      </c>
      <c r="L4022" s="24" t="s">
        <v>7945</v>
      </c>
      <c r="M4022" s="25" t="s">
        <v>5685</v>
      </c>
      <c r="N4022" s="22"/>
      <c r="O4022" s="22" t="s">
        <v>5686</v>
      </c>
      <c r="P4022" s="22" t="str">
        <f>HYPERLINK("https://ceds.ed.gov/cedselementdetails.aspx?termid=21825")</f>
        <v>https://ceds.ed.gov/cedselementdetails.aspx?termid=21825</v>
      </c>
      <c r="Q4022" s="22">
        <v>62797</v>
      </c>
    </row>
    <row r="4023" spans="1:17" ht="187.2" x14ac:dyDescent="0.3">
      <c r="A4023" s="22" t="s">
        <v>7911</v>
      </c>
      <c r="B4023" s="22" t="s">
        <v>7914</v>
      </c>
      <c r="C4023" s="22"/>
      <c r="D4023" s="22" t="s">
        <v>7710</v>
      </c>
      <c r="E4023" s="22" t="s">
        <v>5679</v>
      </c>
      <c r="F4023" s="24" t="s">
        <v>5680</v>
      </c>
      <c r="G4023" s="26" t="s">
        <v>8485</v>
      </c>
      <c r="H4023" s="22" t="s">
        <v>109</v>
      </c>
      <c r="I4023" s="22" t="s">
        <v>172</v>
      </c>
      <c r="J4023" s="22"/>
      <c r="K4023" s="24" t="s">
        <v>7946</v>
      </c>
      <c r="L4023" s="24"/>
      <c r="M4023" s="25" t="s">
        <v>5681</v>
      </c>
      <c r="N4023" s="22"/>
      <c r="O4023" s="22" t="s">
        <v>5682</v>
      </c>
      <c r="P4023" s="22" t="str">
        <f>HYPERLINK("https://ceds.ed.gov/cedselementdetails.aspx?termid=21827")</f>
        <v>https://ceds.ed.gov/cedselementdetails.aspx?termid=21827</v>
      </c>
      <c r="Q4023" s="22">
        <v>62800</v>
      </c>
    </row>
    <row r="4024" spans="1:17" ht="302.39999999999998" x14ac:dyDescent="0.3">
      <c r="A4024" s="22" t="s">
        <v>7911</v>
      </c>
      <c r="B4024" s="22" t="s">
        <v>7914</v>
      </c>
      <c r="C4024" s="22"/>
      <c r="D4024" s="22" t="s">
        <v>7710</v>
      </c>
      <c r="E4024" s="22" t="s">
        <v>3027</v>
      </c>
      <c r="F4024" s="24" t="s">
        <v>3028</v>
      </c>
      <c r="G4024" s="26" t="s">
        <v>8780</v>
      </c>
      <c r="H4024" s="22"/>
      <c r="I4024" s="22"/>
      <c r="J4024" s="22"/>
      <c r="K4024" s="24"/>
      <c r="L4024" s="24" t="s">
        <v>3030</v>
      </c>
      <c r="M4024" s="25" t="s">
        <v>3031</v>
      </c>
      <c r="N4024" s="22"/>
      <c r="O4024" s="22" t="s">
        <v>3032</v>
      </c>
      <c r="P4024" s="22" t="str">
        <f>HYPERLINK("https://ceds.ed.gov/cedselementdetails.aspx?termid=22736")</f>
        <v>https://ceds.ed.gov/cedselementdetails.aspx?termid=22736</v>
      </c>
      <c r="Q4024" s="22">
        <v>62911</v>
      </c>
    </row>
    <row r="4025" spans="1:17" ht="129.6" x14ac:dyDescent="0.3">
      <c r="A4025" s="22" t="s">
        <v>7911</v>
      </c>
      <c r="B4025" s="22" t="s">
        <v>7914</v>
      </c>
      <c r="C4025" s="22"/>
      <c r="D4025" s="22" t="s">
        <v>7710</v>
      </c>
      <c r="E4025" s="22" t="s">
        <v>2792</v>
      </c>
      <c r="F4025" s="24" t="s">
        <v>2793</v>
      </c>
      <c r="G4025" s="26" t="s">
        <v>8765</v>
      </c>
      <c r="H4025" s="22"/>
      <c r="I4025" s="22"/>
      <c r="J4025" s="22"/>
      <c r="K4025" s="24"/>
      <c r="L4025" s="24" t="s">
        <v>8067</v>
      </c>
      <c r="M4025" s="25" t="s">
        <v>2795</v>
      </c>
      <c r="N4025" s="22"/>
      <c r="O4025" s="22" t="s">
        <v>2796</v>
      </c>
      <c r="P4025" s="22" t="str">
        <f>HYPERLINK("https://ceds.ed.gov/cedselementdetails.aspx?termid=22895")</f>
        <v>https://ceds.ed.gov/cedselementdetails.aspx?termid=22895</v>
      </c>
      <c r="Q4025" s="22">
        <v>63188</v>
      </c>
    </row>
    <row r="4026" spans="1:17" ht="172.8" x14ac:dyDescent="0.3">
      <c r="A4026" s="22" t="s">
        <v>7911</v>
      </c>
      <c r="B4026" s="22" t="s">
        <v>7915</v>
      </c>
      <c r="C4026" s="22"/>
      <c r="D4026" s="22" t="s">
        <v>7710</v>
      </c>
      <c r="E4026" s="22" t="s">
        <v>2840</v>
      </c>
      <c r="F4026" s="24" t="s">
        <v>7466</v>
      </c>
      <c r="G4026" s="23" t="s">
        <v>32</v>
      </c>
      <c r="H4026" s="22"/>
      <c r="I4026" s="22"/>
      <c r="J4026" s="22" t="s">
        <v>50</v>
      </c>
      <c r="K4026" s="24"/>
      <c r="L4026" s="24" t="s">
        <v>8069</v>
      </c>
      <c r="M4026" s="25" t="s">
        <v>2842</v>
      </c>
      <c r="N4026" s="22" t="s">
        <v>2843</v>
      </c>
      <c r="O4026" s="22" t="s">
        <v>2844</v>
      </c>
      <c r="P4026" s="22" t="str">
        <f>HYPERLINK("https://ceds.ed.gov/cedselementdetails.aspx?termid=22639")</f>
        <v>https://ceds.ed.gov/cedselementdetails.aspx?termid=22639</v>
      </c>
      <c r="Q4026" s="22">
        <v>62891</v>
      </c>
    </row>
    <row r="4027" spans="1:17" ht="129.6" x14ac:dyDescent="0.3">
      <c r="A4027" s="22" t="s">
        <v>7911</v>
      </c>
      <c r="B4027" s="22" t="s">
        <v>7915</v>
      </c>
      <c r="C4027" s="22"/>
      <c r="D4027" s="22" t="s">
        <v>7710</v>
      </c>
      <c r="E4027" s="22" t="s">
        <v>2845</v>
      </c>
      <c r="F4027" s="24" t="s">
        <v>7467</v>
      </c>
      <c r="G4027" s="26" t="s">
        <v>8767</v>
      </c>
      <c r="H4027" s="22"/>
      <c r="I4027" s="22"/>
      <c r="J4027" s="22"/>
      <c r="K4027" s="24"/>
      <c r="L4027" s="24"/>
      <c r="M4027" s="25" t="s">
        <v>2846</v>
      </c>
      <c r="N4027" s="22" t="s">
        <v>2847</v>
      </c>
      <c r="O4027" s="22" t="s">
        <v>2848</v>
      </c>
      <c r="P4027" s="22" t="str">
        <f>HYPERLINK("https://ceds.ed.gov/cedselementdetails.aspx?termid=22720")</f>
        <v>https://ceds.ed.gov/cedselementdetails.aspx?termid=22720</v>
      </c>
      <c r="Q4027" s="22">
        <v>62892</v>
      </c>
    </row>
    <row r="4028" spans="1:17" ht="43.2" x14ac:dyDescent="0.3">
      <c r="A4028" s="22" t="s">
        <v>7911</v>
      </c>
      <c r="B4028" s="22" t="s">
        <v>7915</v>
      </c>
      <c r="C4028" s="22"/>
      <c r="D4028" s="22" t="s">
        <v>7710</v>
      </c>
      <c r="E4028" s="22" t="s">
        <v>2897</v>
      </c>
      <c r="F4028" s="24" t="s">
        <v>7472</v>
      </c>
      <c r="G4028" s="23" t="s">
        <v>32</v>
      </c>
      <c r="H4028" s="22"/>
      <c r="I4028" s="22"/>
      <c r="J4028" s="22" t="s">
        <v>113</v>
      </c>
      <c r="K4028" s="24"/>
      <c r="L4028" s="24"/>
      <c r="M4028" s="25" t="s">
        <v>2898</v>
      </c>
      <c r="N4028" s="22" t="s">
        <v>2899</v>
      </c>
      <c r="O4028" s="22" t="s">
        <v>2900</v>
      </c>
      <c r="P4028" s="22" t="str">
        <f>HYPERLINK("https://ceds.ed.gov/cedselementdetails.aspx?termid=21893")</f>
        <v>https://ceds.ed.gov/cedselementdetails.aspx?termid=21893</v>
      </c>
      <c r="Q4028" s="22">
        <v>62163</v>
      </c>
    </row>
    <row r="4029" spans="1:17" ht="43.2" x14ac:dyDescent="0.3">
      <c r="A4029" s="22" t="s">
        <v>7911</v>
      </c>
      <c r="B4029" s="22" t="s">
        <v>7915</v>
      </c>
      <c r="C4029" s="22"/>
      <c r="D4029" s="22" t="s">
        <v>7710</v>
      </c>
      <c r="E4029" s="22" t="s">
        <v>2830</v>
      </c>
      <c r="F4029" s="24" t="s">
        <v>7465</v>
      </c>
      <c r="G4029" s="23" t="s">
        <v>32</v>
      </c>
      <c r="H4029" s="22"/>
      <c r="I4029" s="22"/>
      <c r="J4029" s="22" t="s">
        <v>113</v>
      </c>
      <c r="K4029" s="24"/>
      <c r="L4029" s="24"/>
      <c r="M4029" s="25" t="s">
        <v>2831</v>
      </c>
      <c r="N4029" s="22" t="s">
        <v>2832</v>
      </c>
      <c r="O4029" s="22" t="s">
        <v>2833</v>
      </c>
      <c r="P4029" s="22" t="str">
        <f>HYPERLINK("https://ceds.ed.gov/cedselementdetails.aspx?termid=21895")</f>
        <v>https://ceds.ed.gov/cedselementdetails.aspx?termid=21895</v>
      </c>
      <c r="Q4029" s="22">
        <v>62165</v>
      </c>
    </row>
    <row r="4030" spans="1:17" ht="72" x14ac:dyDescent="0.3">
      <c r="A4030" s="22" t="s">
        <v>7911</v>
      </c>
      <c r="B4030" s="22" t="s">
        <v>7915</v>
      </c>
      <c r="C4030" s="22"/>
      <c r="D4030" s="22" t="s">
        <v>7710</v>
      </c>
      <c r="E4030" s="22" t="s">
        <v>2797</v>
      </c>
      <c r="F4030" s="24" t="s">
        <v>2798</v>
      </c>
      <c r="G4030" s="23" t="s">
        <v>32</v>
      </c>
      <c r="H4030" s="22"/>
      <c r="I4030" s="22"/>
      <c r="J4030" s="22" t="s">
        <v>113</v>
      </c>
      <c r="K4030" s="24"/>
      <c r="L4030" s="24"/>
      <c r="M4030" s="25" t="s">
        <v>2800</v>
      </c>
      <c r="N4030" s="22" t="s">
        <v>2801</v>
      </c>
      <c r="O4030" s="22" t="s">
        <v>2802</v>
      </c>
      <c r="P4030" s="22" t="str">
        <f>HYPERLINK("https://ceds.ed.gov/cedselementdetails.aspx?termid=22717")</f>
        <v>https://ceds.ed.gov/cedselementdetails.aspx?termid=22717</v>
      </c>
      <c r="Q4030" s="22">
        <v>62885</v>
      </c>
    </row>
    <row r="4031" spans="1:17" ht="43.2" x14ac:dyDescent="0.3">
      <c r="A4031" s="22" t="s">
        <v>7911</v>
      </c>
      <c r="B4031" s="22" t="s">
        <v>7915</v>
      </c>
      <c r="C4031" s="22"/>
      <c r="D4031" s="22" t="s">
        <v>7710</v>
      </c>
      <c r="E4031" s="22" t="s">
        <v>2911</v>
      </c>
      <c r="F4031" s="24" t="s">
        <v>2912</v>
      </c>
      <c r="G4031" s="23" t="s">
        <v>32</v>
      </c>
      <c r="H4031" s="22"/>
      <c r="I4031" s="22"/>
      <c r="J4031" s="22" t="s">
        <v>148</v>
      </c>
      <c r="K4031" s="24"/>
      <c r="L4031" s="24"/>
      <c r="M4031" s="25" t="s">
        <v>2913</v>
      </c>
      <c r="N4031" s="22" t="s">
        <v>2914</v>
      </c>
      <c r="O4031" s="22" t="s">
        <v>2915</v>
      </c>
      <c r="P4031" s="22" t="str">
        <f>HYPERLINK("https://ceds.ed.gov/cedselementdetails.aspx?termid=22735")</f>
        <v>https://ceds.ed.gov/cedselementdetails.aspx?termid=22735</v>
      </c>
      <c r="Q4031" s="22">
        <v>62909</v>
      </c>
    </row>
    <row r="4032" spans="1:17" ht="72" x14ac:dyDescent="0.3">
      <c r="A4032" s="22" t="s">
        <v>7911</v>
      </c>
      <c r="B4032" s="22" t="s">
        <v>7915</v>
      </c>
      <c r="C4032" s="22"/>
      <c r="D4032" s="22" t="s">
        <v>7710</v>
      </c>
      <c r="E4032" s="22" t="s">
        <v>2808</v>
      </c>
      <c r="F4032" s="24" t="s">
        <v>7461</v>
      </c>
      <c r="G4032" s="23" t="s">
        <v>32</v>
      </c>
      <c r="H4032" s="22"/>
      <c r="I4032" s="22"/>
      <c r="J4032" s="22" t="s">
        <v>85</v>
      </c>
      <c r="K4032" s="24"/>
      <c r="L4032" s="24" t="s">
        <v>2809</v>
      </c>
      <c r="M4032" s="25" t="s">
        <v>2810</v>
      </c>
      <c r="N4032" s="22" t="s">
        <v>2811</v>
      </c>
      <c r="O4032" s="22" t="s">
        <v>2812</v>
      </c>
      <c r="P4032" s="22" t="str">
        <f>HYPERLINK("https://ceds.ed.gov/cedselementdetails.aspx?termid=22211")</f>
        <v>https://ceds.ed.gov/cedselementdetails.aspx?termid=22211</v>
      </c>
      <c r="Q4032" s="22">
        <v>62162</v>
      </c>
    </row>
    <row r="4033" spans="1:17" ht="244.8" x14ac:dyDescent="0.3">
      <c r="A4033" s="22" t="s">
        <v>7911</v>
      </c>
      <c r="B4033" s="22" t="s">
        <v>7915</v>
      </c>
      <c r="C4033" s="22"/>
      <c r="D4033" s="22" t="s">
        <v>7710</v>
      </c>
      <c r="E4033" s="22" t="s">
        <v>2813</v>
      </c>
      <c r="F4033" s="24" t="s">
        <v>7462</v>
      </c>
      <c r="G4033" s="23" t="s">
        <v>32</v>
      </c>
      <c r="H4033" s="22"/>
      <c r="I4033" s="22"/>
      <c r="J4033" s="22" t="s">
        <v>157</v>
      </c>
      <c r="K4033" s="24"/>
      <c r="L4033" s="24" t="s">
        <v>8068</v>
      </c>
      <c r="M4033" s="25" t="s">
        <v>2814</v>
      </c>
      <c r="N4033" s="22" t="s">
        <v>2815</v>
      </c>
      <c r="O4033" s="22" t="s">
        <v>2816</v>
      </c>
      <c r="P4033" s="22" t="str">
        <f>HYPERLINK("https://ceds.ed.gov/cedselementdetails.aspx?termid=21892")</f>
        <v>https://ceds.ed.gov/cedselementdetails.aspx?termid=21892</v>
      </c>
      <c r="Q4033" s="22">
        <v>62158</v>
      </c>
    </row>
    <row r="4034" spans="1:17" ht="72" x14ac:dyDescent="0.3">
      <c r="A4034" s="22" t="s">
        <v>7911</v>
      </c>
      <c r="B4034" s="22" t="s">
        <v>7915</v>
      </c>
      <c r="C4034" s="22"/>
      <c r="D4034" s="22" t="s">
        <v>7710</v>
      </c>
      <c r="E4034" s="22" t="s">
        <v>2892</v>
      </c>
      <c r="F4034" s="24" t="s">
        <v>2893</v>
      </c>
      <c r="G4034" s="26" t="s">
        <v>8769</v>
      </c>
      <c r="H4034" s="22"/>
      <c r="I4034" s="22"/>
      <c r="J4034" s="22"/>
      <c r="K4034" s="24"/>
      <c r="L4034" s="24"/>
      <c r="M4034" s="25" t="s">
        <v>2894</v>
      </c>
      <c r="N4034" s="22" t="s">
        <v>2895</v>
      </c>
      <c r="O4034" s="22" t="s">
        <v>2896</v>
      </c>
      <c r="P4034" s="22" t="str">
        <f>HYPERLINK("https://ceds.ed.gov/cedselementdetails.aspx?termid=22721")</f>
        <v>https://ceds.ed.gov/cedselementdetails.aspx?termid=22721</v>
      </c>
      <c r="Q4034" s="22">
        <v>62906</v>
      </c>
    </row>
    <row r="4035" spans="1:17" ht="72" x14ac:dyDescent="0.3">
      <c r="A4035" s="22" t="s">
        <v>7911</v>
      </c>
      <c r="B4035" s="22" t="s">
        <v>7915</v>
      </c>
      <c r="C4035" s="22"/>
      <c r="D4035" s="22" t="s">
        <v>7710</v>
      </c>
      <c r="E4035" s="22" t="s">
        <v>2849</v>
      </c>
      <c r="F4035" s="24" t="s">
        <v>2850</v>
      </c>
      <c r="G4035" s="26" t="s">
        <v>8768</v>
      </c>
      <c r="H4035" s="22"/>
      <c r="I4035" s="22"/>
      <c r="J4035" s="22"/>
      <c r="K4035" s="24"/>
      <c r="L4035" s="24"/>
      <c r="M4035" s="25" t="s">
        <v>2851</v>
      </c>
      <c r="N4035" s="22" t="s">
        <v>2852</v>
      </c>
      <c r="O4035" s="22" t="s">
        <v>2853</v>
      </c>
      <c r="P4035" s="22" t="str">
        <f>HYPERLINK("https://ceds.ed.gov/cedselementdetails.aspx?termid=22730")</f>
        <v>https://ceds.ed.gov/cedselementdetails.aspx?termid=22730</v>
      </c>
      <c r="Q4035" s="22">
        <v>62893</v>
      </c>
    </row>
    <row r="4036" spans="1:17" ht="57.6" x14ac:dyDescent="0.3">
      <c r="A4036" s="22" t="s">
        <v>7911</v>
      </c>
      <c r="B4036" s="22" t="s">
        <v>7915</v>
      </c>
      <c r="C4036" s="22"/>
      <c r="D4036" s="22" t="s">
        <v>7710</v>
      </c>
      <c r="E4036" s="22" t="s">
        <v>2803</v>
      </c>
      <c r="F4036" s="24" t="s">
        <v>2804</v>
      </c>
      <c r="G4036" s="26" t="s">
        <v>8766</v>
      </c>
      <c r="H4036" s="22"/>
      <c r="I4036" s="22"/>
      <c r="J4036" s="22"/>
      <c r="K4036" s="24"/>
      <c r="L4036" s="24"/>
      <c r="M4036" s="25" t="s">
        <v>2805</v>
      </c>
      <c r="N4036" s="22" t="s">
        <v>2806</v>
      </c>
      <c r="O4036" s="22" t="s">
        <v>2807</v>
      </c>
      <c r="P4036" s="22" t="str">
        <f>HYPERLINK("https://ceds.ed.gov/cedselementdetails.aspx?termid=22719")</f>
        <v>https://ceds.ed.gov/cedselementdetails.aspx?termid=22719</v>
      </c>
      <c r="Q4036" s="22">
        <v>62886</v>
      </c>
    </row>
    <row r="4037" spans="1:17" ht="57.6" x14ac:dyDescent="0.3">
      <c r="A4037" s="22" t="s">
        <v>7911</v>
      </c>
      <c r="B4037" s="22" t="s">
        <v>7915</v>
      </c>
      <c r="C4037" s="22"/>
      <c r="D4037" s="22" t="s">
        <v>7710</v>
      </c>
      <c r="E4037" s="22" t="s">
        <v>2817</v>
      </c>
      <c r="F4037" s="24" t="s">
        <v>7463</v>
      </c>
      <c r="G4037" s="23" t="s">
        <v>32</v>
      </c>
      <c r="H4037" s="22"/>
      <c r="I4037" s="22"/>
      <c r="J4037" s="22" t="s">
        <v>113</v>
      </c>
      <c r="K4037" s="24"/>
      <c r="L4037" s="24"/>
      <c r="M4037" s="25" t="s">
        <v>2818</v>
      </c>
      <c r="N4037" s="22" t="s">
        <v>2819</v>
      </c>
      <c r="O4037" s="22" t="s">
        <v>2820</v>
      </c>
      <c r="P4037" s="22" t="str">
        <f>HYPERLINK("https://ceds.ed.gov/cedselementdetails.aspx?termid=21896")</f>
        <v>https://ceds.ed.gov/cedselementdetails.aspx?termid=21896</v>
      </c>
      <c r="Q4037" s="22">
        <v>62166</v>
      </c>
    </row>
    <row r="4038" spans="1:17" ht="86.4" x14ac:dyDescent="0.3">
      <c r="A4038" s="22" t="s">
        <v>7911</v>
      </c>
      <c r="B4038" s="22" t="s">
        <v>7915</v>
      </c>
      <c r="C4038" s="22"/>
      <c r="D4038" s="22" t="s">
        <v>7710</v>
      </c>
      <c r="E4038" s="22" t="s">
        <v>2821</v>
      </c>
      <c r="F4038" s="24" t="s">
        <v>7464</v>
      </c>
      <c r="G4038" s="23" t="s">
        <v>32</v>
      </c>
      <c r="H4038" s="22"/>
      <c r="I4038" s="22"/>
      <c r="J4038" s="22" t="s">
        <v>50</v>
      </c>
      <c r="K4038" s="24"/>
      <c r="L4038" s="24"/>
      <c r="M4038" s="25" t="s">
        <v>2822</v>
      </c>
      <c r="N4038" s="22" t="s">
        <v>2823</v>
      </c>
      <c r="O4038" s="22" t="s">
        <v>2824</v>
      </c>
      <c r="P4038" s="22" t="str">
        <f>HYPERLINK("https://ceds.ed.gov/cedselementdetails.aspx?termid=22113")</f>
        <v>https://ceds.ed.gov/cedselementdetails.aspx?termid=22113</v>
      </c>
      <c r="Q4038" s="22">
        <v>62159</v>
      </c>
    </row>
    <row r="4039" spans="1:17" ht="28.8" x14ac:dyDescent="0.3">
      <c r="A4039" s="22" t="s">
        <v>7911</v>
      </c>
      <c r="B4039" s="22" t="s">
        <v>7915</v>
      </c>
      <c r="C4039" s="22"/>
      <c r="D4039" s="22" t="s">
        <v>7710</v>
      </c>
      <c r="E4039" s="22" t="s">
        <v>2834</v>
      </c>
      <c r="F4039" s="24" t="s">
        <v>2835</v>
      </c>
      <c r="G4039" s="23" t="s">
        <v>32</v>
      </c>
      <c r="H4039" s="22"/>
      <c r="I4039" s="22"/>
      <c r="J4039" s="22" t="s">
        <v>2836</v>
      </c>
      <c r="K4039" s="24"/>
      <c r="L4039" s="24"/>
      <c r="M4039" s="25" t="s">
        <v>2837</v>
      </c>
      <c r="N4039" s="22" t="s">
        <v>2838</v>
      </c>
      <c r="O4039" s="22" t="s">
        <v>2839</v>
      </c>
      <c r="P4039" s="22" t="str">
        <f>HYPERLINK("https://ceds.ed.gov/cedselementdetails.aspx?termid=22722")</f>
        <v>https://ceds.ed.gov/cedselementdetails.aspx?termid=22722</v>
      </c>
      <c r="Q4039" s="22">
        <v>62890</v>
      </c>
    </row>
    <row r="4040" spans="1:17" ht="28.8" x14ac:dyDescent="0.3">
      <c r="A4040" s="22" t="s">
        <v>7911</v>
      </c>
      <c r="B4040" s="22" t="s">
        <v>7915</v>
      </c>
      <c r="C4040" s="22"/>
      <c r="D4040" s="22" t="s">
        <v>7710</v>
      </c>
      <c r="E4040" s="22" t="s">
        <v>2880</v>
      </c>
      <c r="F4040" s="24" t="s">
        <v>2881</v>
      </c>
      <c r="G4040" s="23" t="s">
        <v>32</v>
      </c>
      <c r="H4040" s="22"/>
      <c r="I4040" s="22"/>
      <c r="J4040" s="22" t="s">
        <v>2836</v>
      </c>
      <c r="K4040" s="24"/>
      <c r="L4040" s="24"/>
      <c r="M4040" s="25" t="s">
        <v>2882</v>
      </c>
      <c r="N4040" s="22" t="s">
        <v>2883</v>
      </c>
      <c r="O4040" s="22" t="s">
        <v>2884</v>
      </c>
      <c r="P4040" s="22" t="str">
        <f>HYPERLINK("https://ceds.ed.gov/cedselementdetails.aspx?termid=22729")</f>
        <v>https://ceds.ed.gov/cedselementdetails.aspx?termid=22729</v>
      </c>
      <c r="Q4040" s="22">
        <v>62901</v>
      </c>
    </row>
    <row r="4041" spans="1:17" ht="28.8" x14ac:dyDescent="0.3">
      <c r="A4041" s="22" t="s">
        <v>7911</v>
      </c>
      <c r="B4041" s="22" t="s">
        <v>7915</v>
      </c>
      <c r="C4041" s="22"/>
      <c r="D4041" s="22" t="s">
        <v>7710</v>
      </c>
      <c r="E4041" s="22" t="s">
        <v>2870</v>
      </c>
      <c r="F4041" s="24" t="s">
        <v>2871</v>
      </c>
      <c r="G4041" s="23" t="s">
        <v>32</v>
      </c>
      <c r="H4041" s="22"/>
      <c r="I4041" s="22"/>
      <c r="J4041" s="22" t="s">
        <v>2836</v>
      </c>
      <c r="K4041" s="24"/>
      <c r="L4041" s="24"/>
      <c r="M4041" s="25" t="s">
        <v>2872</v>
      </c>
      <c r="N4041" s="22" t="s">
        <v>2873</v>
      </c>
      <c r="O4041" s="22" t="s">
        <v>2874</v>
      </c>
      <c r="P4041" s="22" t="str">
        <f>HYPERLINK("https://ceds.ed.gov/cedselementdetails.aspx?termid=22727")</f>
        <v>https://ceds.ed.gov/cedselementdetails.aspx?termid=22727</v>
      </c>
      <c r="Q4041" s="22">
        <v>62899</v>
      </c>
    </row>
    <row r="4042" spans="1:17" ht="43.2" x14ac:dyDescent="0.3">
      <c r="A4042" s="22" t="s">
        <v>7911</v>
      </c>
      <c r="B4042" s="22" t="s">
        <v>7915</v>
      </c>
      <c r="C4042" s="22"/>
      <c r="D4042" s="22" t="s">
        <v>7710</v>
      </c>
      <c r="E4042" s="22" t="s">
        <v>2875</v>
      </c>
      <c r="F4042" s="24" t="s">
        <v>2876</v>
      </c>
      <c r="G4042" s="23" t="s">
        <v>32</v>
      </c>
      <c r="H4042" s="22"/>
      <c r="I4042" s="22"/>
      <c r="J4042" s="22" t="s">
        <v>1699</v>
      </c>
      <c r="K4042" s="24"/>
      <c r="L4042" s="24"/>
      <c r="M4042" s="25" t="s">
        <v>2877</v>
      </c>
      <c r="N4042" s="22" t="s">
        <v>2878</v>
      </c>
      <c r="O4042" s="22" t="s">
        <v>2879</v>
      </c>
      <c r="P4042" s="22" t="str">
        <f>HYPERLINK("https://ceds.ed.gov/cedselementdetails.aspx?termid=22728")</f>
        <v>https://ceds.ed.gov/cedselementdetails.aspx?termid=22728</v>
      </c>
      <c r="Q4042" s="22">
        <v>62900</v>
      </c>
    </row>
    <row r="4043" spans="1:17" ht="43.2" x14ac:dyDescent="0.3">
      <c r="A4043" s="22" t="s">
        <v>7911</v>
      </c>
      <c r="B4043" s="22" t="s">
        <v>7915</v>
      </c>
      <c r="C4043" s="22"/>
      <c r="D4043" s="22" t="s">
        <v>7710</v>
      </c>
      <c r="E4043" s="22" t="s">
        <v>2885</v>
      </c>
      <c r="F4043" s="24" t="s">
        <v>2886</v>
      </c>
      <c r="G4043" s="23" t="s">
        <v>2887</v>
      </c>
      <c r="H4043" s="22"/>
      <c r="I4043" s="22"/>
      <c r="J4043" s="22" t="s">
        <v>2888</v>
      </c>
      <c r="K4043" s="24"/>
      <c r="L4043" s="24"/>
      <c r="M4043" s="25" t="s">
        <v>2889</v>
      </c>
      <c r="N4043" s="22" t="s">
        <v>2890</v>
      </c>
      <c r="O4043" s="22" t="s">
        <v>2891</v>
      </c>
      <c r="P4043" s="22" t="str">
        <f>HYPERLINK("https://ceds.ed.gov/cedselementdetails.aspx?termid=22723")</f>
        <v>https://ceds.ed.gov/cedselementdetails.aspx?termid=22723</v>
      </c>
      <c r="Q4043" s="22">
        <v>62902</v>
      </c>
    </row>
    <row r="4044" spans="1:17" ht="57.6" x14ac:dyDescent="0.3">
      <c r="A4044" s="22" t="s">
        <v>7911</v>
      </c>
      <c r="B4044" s="22" t="s">
        <v>7915</v>
      </c>
      <c r="C4044" s="22"/>
      <c r="D4044" s="22" t="s">
        <v>7710</v>
      </c>
      <c r="E4044" s="22" t="s">
        <v>2906</v>
      </c>
      <c r="F4044" s="24" t="s">
        <v>2907</v>
      </c>
      <c r="G4044" s="26" t="s">
        <v>8770</v>
      </c>
      <c r="H4044" s="22"/>
      <c r="I4044" s="22"/>
      <c r="J4044" s="22"/>
      <c r="K4044" s="24"/>
      <c r="L4044" s="24"/>
      <c r="M4044" s="25" t="s">
        <v>2908</v>
      </c>
      <c r="N4044" s="22" t="s">
        <v>2909</v>
      </c>
      <c r="O4044" s="22" t="s">
        <v>2910</v>
      </c>
      <c r="P4044" s="22" t="str">
        <f>HYPERLINK("https://ceds.ed.gov/cedselementdetails.aspx?termid=22734")</f>
        <v>https://ceds.ed.gov/cedselementdetails.aspx?termid=22734</v>
      </c>
      <c r="Q4044" s="22">
        <v>62908</v>
      </c>
    </row>
    <row r="4045" spans="1:17" ht="43.2" x14ac:dyDescent="0.3">
      <c r="A4045" s="22" t="s">
        <v>7911</v>
      </c>
      <c r="B4045" s="22" t="s">
        <v>7915</v>
      </c>
      <c r="C4045" s="22"/>
      <c r="D4045" s="22" t="s">
        <v>7710</v>
      </c>
      <c r="E4045" s="22" t="s">
        <v>2854</v>
      </c>
      <c r="F4045" s="24" t="s">
        <v>2855</v>
      </c>
      <c r="G4045" s="23" t="s">
        <v>32</v>
      </c>
      <c r="H4045" s="22"/>
      <c r="I4045" s="22"/>
      <c r="J4045" s="22" t="s">
        <v>2856</v>
      </c>
      <c r="K4045" s="24"/>
      <c r="L4045" s="24" t="s">
        <v>8070</v>
      </c>
      <c r="M4045" s="25" t="s">
        <v>2857</v>
      </c>
      <c r="N4045" s="22" t="s">
        <v>2858</v>
      </c>
      <c r="O4045" s="22" t="s">
        <v>2859</v>
      </c>
      <c r="P4045" s="22" t="str">
        <f>HYPERLINK("https://ceds.ed.gov/cedselementdetails.aspx?termid=22724")</f>
        <v>https://ceds.ed.gov/cedselementdetails.aspx?termid=22724</v>
      </c>
      <c r="Q4045" s="22">
        <v>62896</v>
      </c>
    </row>
    <row r="4046" spans="1:17" ht="43.2" x14ac:dyDescent="0.3">
      <c r="A4046" s="22" t="s">
        <v>7911</v>
      </c>
      <c r="B4046" s="22" t="s">
        <v>7915</v>
      </c>
      <c r="C4046" s="22"/>
      <c r="D4046" s="22" t="s">
        <v>7710</v>
      </c>
      <c r="E4046" s="22" t="s">
        <v>2860</v>
      </c>
      <c r="F4046" s="24" t="s">
        <v>2861</v>
      </c>
      <c r="G4046" s="23" t="s">
        <v>32</v>
      </c>
      <c r="H4046" s="22"/>
      <c r="I4046" s="22"/>
      <c r="J4046" s="22" t="s">
        <v>2856</v>
      </c>
      <c r="K4046" s="24"/>
      <c r="L4046" s="24" t="s">
        <v>8070</v>
      </c>
      <c r="M4046" s="25" t="s">
        <v>2862</v>
      </c>
      <c r="N4046" s="22" t="s">
        <v>2863</v>
      </c>
      <c r="O4046" s="22" t="s">
        <v>2864</v>
      </c>
      <c r="P4046" s="22" t="str">
        <f>HYPERLINK("https://ceds.ed.gov/cedselementdetails.aspx?termid=22725")</f>
        <v>https://ceds.ed.gov/cedselementdetails.aspx?termid=22725</v>
      </c>
      <c r="Q4046" s="22">
        <v>62897</v>
      </c>
    </row>
    <row r="4047" spans="1:17" ht="43.2" x14ac:dyDescent="0.3">
      <c r="A4047" s="22" t="s">
        <v>7911</v>
      </c>
      <c r="B4047" s="22" t="s">
        <v>7915</v>
      </c>
      <c r="C4047" s="22"/>
      <c r="D4047" s="22" t="s">
        <v>7710</v>
      </c>
      <c r="E4047" s="22" t="s">
        <v>2865</v>
      </c>
      <c r="F4047" s="24" t="s">
        <v>2866</v>
      </c>
      <c r="G4047" s="23" t="s">
        <v>32</v>
      </c>
      <c r="H4047" s="22"/>
      <c r="I4047" s="22"/>
      <c r="J4047" s="22" t="s">
        <v>328</v>
      </c>
      <c r="K4047" s="24"/>
      <c r="L4047" s="24"/>
      <c r="M4047" s="25" t="s">
        <v>2867</v>
      </c>
      <c r="N4047" s="22" t="s">
        <v>2868</v>
      </c>
      <c r="O4047" s="22" t="s">
        <v>2869</v>
      </c>
      <c r="P4047" s="22" t="str">
        <f>HYPERLINK("https://ceds.ed.gov/cedselementdetails.aspx?termid=22726")</f>
        <v>https://ceds.ed.gov/cedselementdetails.aspx?termid=22726</v>
      </c>
      <c r="Q4047" s="22">
        <v>62898</v>
      </c>
    </row>
    <row r="4048" spans="1:17" ht="43.2" x14ac:dyDescent="0.3">
      <c r="A4048" s="22" t="s">
        <v>7911</v>
      </c>
      <c r="B4048" s="22" t="s">
        <v>7915</v>
      </c>
      <c r="C4048" s="22"/>
      <c r="D4048" s="22" t="s">
        <v>7710</v>
      </c>
      <c r="E4048" s="22" t="s">
        <v>2901</v>
      </c>
      <c r="F4048" s="24" t="s">
        <v>2902</v>
      </c>
      <c r="G4048" s="23" t="s">
        <v>32</v>
      </c>
      <c r="H4048" s="22"/>
      <c r="I4048" s="22"/>
      <c r="J4048" s="22" t="s">
        <v>328</v>
      </c>
      <c r="K4048" s="24"/>
      <c r="L4048" s="24"/>
      <c r="M4048" s="25" t="s">
        <v>2903</v>
      </c>
      <c r="N4048" s="22" t="s">
        <v>2904</v>
      </c>
      <c r="O4048" s="22" t="s">
        <v>2905</v>
      </c>
      <c r="P4048" s="22" t="str">
        <f>HYPERLINK("https://ceds.ed.gov/cedselementdetails.aspx?termid=22733")</f>
        <v>https://ceds.ed.gov/cedselementdetails.aspx?termid=22733</v>
      </c>
      <c r="Q4048" s="22">
        <v>62907</v>
      </c>
    </row>
    <row r="4049" spans="1:17" ht="43.2" x14ac:dyDescent="0.3">
      <c r="A4049" s="22" t="s">
        <v>7911</v>
      </c>
      <c r="B4049" s="22" t="s">
        <v>7915</v>
      </c>
      <c r="C4049" s="22"/>
      <c r="D4049" s="22" t="s">
        <v>7710</v>
      </c>
      <c r="E4049" s="22" t="s">
        <v>3528</v>
      </c>
      <c r="F4049" s="24" t="s">
        <v>3529</v>
      </c>
      <c r="G4049" s="23" t="s">
        <v>2887</v>
      </c>
      <c r="H4049" s="22"/>
      <c r="I4049" s="22"/>
      <c r="J4049" s="22" t="s">
        <v>2888</v>
      </c>
      <c r="K4049" s="24"/>
      <c r="L4049" s="24"/>
      <c r="M4049" s="25" t="s">
        <v>3531</v>
      </c>
      <c r="N4049" s="22"/>
      <c r="O4049" s="22" t="s">
        <v>3532</v>
      </c>
      <c r="P4049" s="22" t="str">
        <f>HYPERLINK("https://ceds.ed.gov/cedselementdetails.aspx?termid=22070")</f>
        <v>https://ceds.ed.gov/cedselementdetails.aspx?termid=22070</v>
      </c>
      <c r="Q4049" s="22">
        <v>62810</v>
      </c>
    </row>
    <row r="4050" spans="1:17" ht="244.8" x14ac:dyDescent="0.3">
      <c r="A4050" s="22" t="s">
        <v>7911</v>
      </c>
      <c r="B4050" s="22" t="s">
        <v>7915</v>
      </c>
      <c r="C4050" s="22"/>
      <c r="D4050" s="22" t="s">
        <v>7710</v>
      </c>
      <c r="E4050" s="22" t="s">
        <v>1925</v>
      </c>
      <c r="F4050" s="24" t="s">
        <v>1926</v>
      </c>
      <c r="G4050" s="26" t="s">
        <v>8710</v>
      </c>
      <c r="H4050" s="22"/>
      <c r="I4050" s="22"/>
      <c r="J4050" s="22"/>
      <c r="K4050" s="24"/>
      <c r="L4050" s="24" t="s">
        <v>8034</v>
      </c>
      <c r="M4050" s="25" t="s">
        <v>1927</v>
      </c>
      <c r="N4050" s="22"/>
      <c r="O4050" s="22" t="s">
        <v>1928</v>
      </c>
      <c r="P4050" s="22" t="str">
        <f>HYPERLINK("https://ceds.ed.gov/cedselementdetails.aspx?termid=22254")</f>
        <v>https://ceds.ed.gov/cedselementdetails.aspx?termid=22254</v>
      </c>
      <c r="Q4050" s="22">
        <v>62822</v>
      </c>
    </row>
    <row r="4051" spans="1:17" ht="72" x14ac:dyDescent="0.3">
      <c r="A4051" s="22" t="s">
        <v>7911</v>
      </c>
      <c r="B4051" s="22" t="s">
        <v>7915</v>
      </c>
      <c r="C4051" s="22"/>
      <c r="D4051" s="22" t="s">
        <v>7710</v>
      </c>
      <c r="E4051" s="22" t="s">
        <v>2082</v>
      </c>
      <c r="F4051" s="24" t="s">
        <v>2083</v>
      </c>
      <c r="G4051" s="23" t="s">
        <v>7422</v>
      </c>
      <c r="H4051" s="24" t="s">
        <v>42</v>
      </c>
      <c r="I4051" s="22"/>
      <c r="J4051" s="22"/>
      <c r="K4051" s="24"/>
      <c r="L4051" s="24"/>
      <c r="M4051" s="25" t="s">
        <v>2085</v>
      </c>
      <c r="N4051" s="22" t="s">
        <v>2086</v>
      </c>
      <c r="O4051" s="22" t="s">
        <v>2087</v>
      </c>
      <c r="P4051" s="22" t="str">
        <f>HYPERLINK("https://ceds.ed.gov/cedselementdetails.aspx?termid=21043")</f>
        <v>https://ceds.ed.gov/cedselementdetails.aspx?termid=21043</v>
      </c>
      <c r="Q4051" s="22">
        <v>62770</v>
      </c>
    </row>
    <row r="4052" spans="1:17" ht="86.4" x14ac:dyDescent="0.3">
      <c r="A4052" s="22" t="s">
        <v>7911</v>
      </c>
      <c r="B4052" s="22" t="s">
        <v>7915</v>
      </c>
      <c r="C4052" s="22"/>
      <c r="D4052" s="22" t="s">
        <v>7710</v>
      </c>
      <c r="E4052" s="22" t="s">
        <v>2320</v>
      </c>
      <c r="F4052" s="24" t="s">
        <v>2321</v>
      </c>
      <c r="G4052" s="23" t="s">
        <v>32</v>
      </c>
      <c r="H4052" s="22"/>
      <c r="I4052" s="22"/>
      <c r="J4052" s="22" t="s">
        <v>50</v>
      </c>
      <c r="K4052" s="24"/>
      <c r="L4052" s="24" t="s">
        <v>136</v>
      </c>
      <c r="M4052" s="25" t="s">
        <v>2323</v>
      </c>
      <c r="N4052" s="22" t="s">
        <v>2324</v>
      </c>
      <c r="O4052" s="22" t="s">
        <v>2325</v>
      </c>
      <c r="P4052" s="22" t="str">
        <f>HYPERLINK("https://ceds.ed.gov/cedselementdetails.aspx?termid=21874")</f>
        <v>https://ceds.ed.gov/cedselementdetails.aspx?termid=21874</v>
      </c>
      <c r="Q4052" s="22">
        <v>62802</v>
      </c>
    </row>
    <row r="4053" spans="1:17" ht="57.6" x14ac:dyDescent="0.3">
      <c r="A4053" s="22" t="s">
        <v>7911</v>
      </c>
      <c r="B4053" s="22" t="s">
        <v>7915</v>
      </c>
      <c r="C4053" s="22"/>
      <c r="D4053" s="22" t="s">
        <v>7710</v>
      </c>
      <c r="E4053" s="22" t="s">
        <v>5648</v>
      </c>
      <c r="F4053" s="24" t="s">
        <v>5649</v>
      </c>
      <c r="G4053" s="23" t="s">
        <v>32</v>
      </c>
      <c r="H4053" s="22"/>
      <c r="I4053" s="22"/>
      <c r="J4053" s="22" t="s">
        <v>5650</v>
      </c>
      <c r="K4053" s="24"/>
      <c r="L4053" s="24" t="s">
        <v>8262</v>
      </c>
      <c r="M4053" s="25" t="s">
        <v>5651</v>
      </c>
      <c r="N4053" s="22"/>
      <c r="O4053" s="22" t="s">
        <v>5652</v>
      </c>
      <c r="P4053" s="22" t="str">
        <f>HYPERLINK("https://ceds.ed.gov/cedselementdetails.aspx?termid=22737")</f>
        <v>https://ceds.ed.gov/cedselementdetails.aspx?termid=22737</v>
      </c>
      <c r="Q4053" s="22">
        <v>62973</v>
      </c>
    </row>
    <row r="4054" spans="1:17" ht="86.4" x14ac:dyDescent="0.3">
      <c r="A4054" s="22" t="s">
        <v>7911</v>
      </c>
      <c r="B4054" s="22" t="s">
        <v>7915</v>
      </c>
      <c r="C4054" s="22"/>
      <c r="D4054" s="22" t="s">
        <v>7710</v>
      </c>
      <c r="E4054" s="22" t="s">
        <v>2924</v>
      </c>
      <c r="F4054" s="24" t="s">
        <v>7474</v>
      </c>
      <c r="G4054" s="23" t="s">
        <v>32</v>
      </c>
      <c r="H4054" s="22"/>
      <c r="I4054" s="22"/>
      <c r="J4054" s="22" t="s">
        <v>50</v>
      </c>
      <c r="K4054" s="24"/>
      <c r="L4054" s="24" t="s">
        <v>2925</v>
      </c>
      <c r="M4054" s="25" t="s">
        <v>2926</v>
      </c>
      <c r="N4054" s="22"/>
      <c r="O4054" s="22" t="s">
        <v>2927</v>
      </c>
      <c r="P4054" s="22" t="str">
        <f>HYPERLINK("https://ceds.ed.gov/cedselementdetails.aspx?termid=21894")</f>
        <v>https://ceds.ed.gov/cedselementdetails.aspx?termid=21894</v>
      </c>
      <c r="Q4054" s="22">
        <v>62164</v>
      </c>
    </row>
    <row r="4055" spans="1:17" ht="72" x14ac:dyDescent="0.3">
      <c r="A4055" s="22" t="s">
        <v>7911</v>
      </c>
      <c r="B4055" s="22" t="s">
        <v>7915</v>
      </c>
      <c r="C4055" s="22"/>
      <c r="D4055" s="22" t="s">
        <v>7710</v>
      </c>
      <c r="E4055" s="22" t="s">
        <v>2825</v>
      </c>
      <c r="F4055" s="24" t="s">
        <v>2826</v>
      </c>
      <c r="G4055" s="23" t="s">
        <v>32</v>
      </c>
      <c r="H4055" s="22"/>
      <c r="I4055" s="22"/>
      <c r="J4055" s="22" t="s">
        <v>118</v>
      </c>
      <c r="K4055" s="24"/>
      <c r="L4055" s="24" t="s">
        <v>2827</v>
      </c>
      <c r="M4055" s="25" t="s">
        <v>2828</v>
      </c>
      <c r="N4055" s="22"/>
      <c r="O4055" s="22" t="s">
        <v>2829</v>
      </c>
      <c r="P4055" s="22" t="str">
        <f>HYPERLINK("https://ceds.ed.gov/cedselementdetails.aspx?termid=22891")</f>
        <v>https://ceds.ed.gov/cedselementdetails.aspx?termid=22891</v>
      </c>
      <c r="Q4055" s="22">
        <v>63186</v>
      </c>
    </row>
    <row r="4056" spans="1:17" ht="345.6" x14ac:dyDescent="0.3">
      <c r="A4056" s="22" t="s">
        <v>7911</v>
      </c>
      <c r="B4056" s="22" t="s">
        <v>7915</v>
      </c>
      <c r="C4056" s="22"/>
      <c r="D4056" s="22" t="s">
        <v>7710</v>
      </c>
      <c r="E4056" s="22" t="s">
        <v>3022</v>
      </c>
      <c r="F4056" s="24" t="s">
        <v>3023</v>
      </c>
      <c r="G4056" s="26" t="s">
        <v>8779</v>
      </c>
      <c r="H4056" s="22"/>
      <c r="I4056" s="22"/>
      <c r="J4056" s="22"/>
      <c r="K4056" s="24"/>
      <c r="L4056" s="24" t="s">
        <v>8073</v>
      </c>
      <c r="M4056" s="25" t="s">
        <v>3024</v>
      </c>
      <c r="N4056" s="22" t="s">
        <v>3025</v>
      </c>
      <c r="O4056" s="22" t="s">
        <v>3026</v>
      </c>
      <c r="P4056" s="22" t="str">
        <f>HYPERLINK("https://ceds.ed.gov/cedselementdetails.aspx?termid=22894")</f>
        <v>https://ceds.ed.gov/cedselementdetails.aspx?termid=22894</v>
      </c>
      <c r="Q4056" s="22">
        <v>63187</v>
      </c>
    </row>
    <row r="4057" spans="1:17" ht="57.6" x14ac:dyDescent="0.3">
      <c r="A4057" s="22" t="s">
        <v>7911</v>
      </c>
      <c r="B4057" s="22" t="s">
        <v>7915</v>
      </c>
      <c r="C4057" s="22"/>
      <c r="D4057" s="22" t="s">
        <v>7710</v>
      </c>
      <c r="E4057" s="22" t="s">
        <v>7468</v>
      </c>
      <c r="F4057" s="24" t="s">
        <v>7469</v>
      </c>
      <c r="G4057" s="26" t="s">
        <v>3039</v>
      </c>
      <c r="H4057" s="22"/>
      <c r="I4057" s="22"/>
      <c r="J4057" s="22"/>
      <c r="K4057" s="24"/>
      <c r="L4057" s="24"/>
      <c r="M4057" s="25" t="s">
        <v>7470</v>
      </c>
      <c r="N4057" s="22"/>
      <c r="O4057" s="22" t="s">
        <v>7471</v>
      </c>
      <c r="P4057" s="22" t="str">
        <f>HYPERLINK("https://ceds.ed.gov/cedselementdetails.aspx?termid=22919")</f>
        <v>https://ceds.ed.gov/cedselementdetails.aspx?termid=22919</v>
      </c>
      <c r="Q4057" s="22">
        <v>63499</v>
      </c>
    </row>
    <row r="4058" spans="1:17" ht="172.8" x14ac:dyDescent="0.3">
      <c r="A4058" s="22" t="s">
        <v>7911</v>
      </c>
      <c r="B4058" s="22" t="s">
        <v>7916</v>
      </c>
      <c r="C4058" s="22"/>
      <c r="D4058" s="22" t="s">
        <v>7710</v>
      </c>
      <c r="E4058" s="22" t="s">
        <v>2840</v>
      </c>
      <c r="F4058" s="24" t="s">
        <v>7466</v>
      </c>
      <c r="G4058" s="23" t="s">
        <v>32</v>
      </c>
      <c r="H4058" s="22"/>
      <c r="I4058" s="22"/>
      <c r="J4058" s="22" t="s">
        <v>50</v>
      </c>
      <c r="K4058" s="24"/>
      <c r="L4058" s="24" t="s">
        <v>8069</v>
      </c>
      <c r="M4058" s="25" t="s">
        <v>2842</v>
      </c>
      <c r="N4058" s="22" t="s">
        <v>2843</v>
      </c>
      <c r="O4058" s="22" t="s">
        <v>2844</v>
      </c>
      <c r="P4058" s="22" t="str">
        <f>HYPERLINK("https://ceds.ed.gov/cedselementdetails.aspx?termid=22639")</f>
        <v>https://ceds.ed.gov/cedselementdetails.aspx?termid=22639</v>
      </c>
      <c r="Q4058" s="22">
        <v>63161</v>
      </c>
    </row>
    <row r="4059" spans="1:17" ht="129.6" x14ac:dyDescent="0.3">
      <c r="A4059" s="22" t="s">
        <v>7911</v>
      </c>
      <c r="B4059" s="22" t="s">
        <v>7916</v>
      </c>
      <c r="C4059" s="22"/>
      <c r="D4059" s="22" t="s">
        <v>7710</v>
      </c>
      <c r="E4059" s="22" t="s">
        <v>2845</v>
      </c>
      <c r="F4059" s="24" t="s">
        <v>7467</v>
      </c>
      <c r="G4059" s="26" t="s">
        <v>8767</v>
      </c>
      <c r="H4059" s="22"/>
      <c r="I4059" s="22"/>
      <c r="J4059" s="22"/>
      <c r="K4059" s="24"/>
      <c r="L4059" s="24"/>
      <c r="M4059" s="25" t="s">
        <v>2846</v>
      </c>
      <c r="N4059" s="22" t="s">
        <v>2847</v>
      </c>
      <c r="O4059" s="22" t="s">
        <v>2848</v>
      </c>
      <c r="P4059" s="22" t="str">
        <f>HYPERLINK("https://ceds.ed.gov/cedselementdetails.aspx?termid=22720")</f>
        <v>https://ceds.ed.gov/cedselementdetails.aspx?termid=22720</v>
      </c>
      <c r="Q4059" s="22">
        <v>63162</v>
      </c>
    </row>
    <row r="4060" spans="1:17" ht="187.2" x14ac:dyDescent="0.3">
      <c r="A4060" s="22" t="s">
        <v>7911</v>
      </c>
      <c r="B4060" s="22" t="s">
        <v>7916</v>
      </c>
      <c r="C4060" s="22"/>
      <c r="D4060" s="22" t="s">
        <v>7710</v>
      </c>
      <c r="E4060" s="22" t="s">
        <v>5679</v>
      </c>
      <c r="F4060" s="24" t="s">
        <v>5680</v>
      </c>
      <c r="G4060" s="26" t="s">
        <v>8485</v>
      </c>
      <c r="H4060" s="22" t="s">
        <v>109</v>
      </c>
      <c r="I4060" s="22" t="s">
        <v>172</v>
      </c>
      <c r="J4060" s="22"/>
      <c r="K4060" s="24" t="s">
        <v>7946</v>
      </c>
      <c r="L4060" s="24"/>
      <c r="M4060" s="25" t="s">
        <v>5681</v>
      </c>
      <c r="N4060" s="22"/>
      <c r="O4060" s="22" t="s">
        <v>5682</v>
      </c>
      <c r="P4060" s="22" t="str">
        <f>HYPERLINK("https://ceds.ed.gov/cedselementdetails.aspx?termid=21827")</f>
        <v>https://ceds.ed.gov/cedselementdetails.aspx?termid=21827</v>
      </c>
      <c r="Q4060" s="22">
        <v>63163</v>
      </c>
    </row>
    <row r="4061" spans="1:17" ht="172.8" x14ac:dyDescent="0.3">
      <c r="A4061" s="22" t="s">
        <v>7911</v>
      </c>
      <c r="B4061" s="22" t="s">
        <v>7916</v>
      </c>
      <c r="C4061" s="22"/>
      <c r="D4061" s="22" t="s">
        <v>7710</v>
      </c>
      <c r="E4061" s="22" t="s">
        <v>5683</v>
      </c>
      <c r="F4061" s="24" t="s">
        <v>5684</v>
      </c>
      <c r="G4061" s="23" t="s">
        <v>32</v>
      </c>
      <c r="H4061" s="22" t="s">
        <v>109</v>
      </c>
      <c r="I4061" s="22" t="s">
        <v>172</v>
      </c>
      <c r="J4061" s="22" t="s">
        <v>132</v>
      </c>
      <c r="K4061" s="24" t="s">
        <v>7946</v>
      </c>
      <c r="L4061" s="24" t="s">
        <v>7945</v>
      </c>
      <c r="M4061" s="25" t="s">
        <v>5685</v>
      </c>
      <c r="N4061" s="22"/>
      <c r="O4061" s="22" t="s">
        <v>5686</v>
      </c>
      <c r="P4061" s="22" t="str">
        <f>HYPERLINK("https://ceds.ed.gov/cedselementdetails.aspx?termid=21825")</f>
        <v>https://ceds.ed.gov/cedselementdetails.aspx?termid=21825</v>
      </c>
      <c r="Q4061" s="22">
        <v>63164</v>
      </c>
    </row>
    <row r="4062" spans="1:17" ht="57.6" x14ac:dyDescent="0.3">
      <c r="A4062" s="22" t="s">
        <v>7911</v>
      </c>
      <c r="B4062" s="22" t="s">
        <v>7916</v>
      </c>
      <c r="C4062" s="22"/>
      <c r="D4062" s="22" t="s">
        <v>7710</v>
      </c>
      <c r="E4062" s="22" t="s">
        <v>2936</v>
      </c>
      <c r="F4062" s="24" t="s">
        <v>2937</v>
      </c>
      <c r="G4062" s="23" t="s">
        <v>32</v>
      </c>
      <c r="H4062" s="22"/>
      <c r="I4062" s="22"/>
      <c r="J4062" s="22" t="s">
        <v>118</v>
      </c>
      <c r="K4062" s="24"/>
      <c r="L4062" s="24" t="s">
        <v>143</v>
      </c>
      <c r="M4062" s="25" t="s">
        <v>2939</v>
      </c>
      <c r="N4062" s="22"/>
      <c r="O4062" s="22" t="s">
        <v>2940</v>
      </c>
      <c r="P4062" s="22" t="str">
        <f>HYPERLINK("https://ceds.ed.gov/cedselementdetails.aspx?termid=22893")</f>
        <v>https://ceds.ed.gov/cedselementdetails.aspx?termid=22893</v>
      </c>
      <c r="Q4062" s="22">
        <v>63189</v>
      </c>
    </row>
    <row r="4063" spans="1:17" x14ac:dyDescent="0.3">
      <c r="A4063" s="22" t="s">
        <v>7911</v>
      </c>
      <c r="B4063" s="22" t="s">
        <v>7916</v>
      </c>
      <c r="C4063" s="22"/>
      <c r="D4063" s="22" t="s">
        <v>7710</v>
      </c>
      <c r="E4063" s="22" t="s">
        <v>2941</v>
      </c>
      <c r="F4063" s="24" t="s">
        <v>2942</v>
      </c>
      <c r="G4063" s="23" t="s">
        <v>32</v>
      </c>
      <c r="H4063" s="22"/>
      <c r="I4063" s="22"/>
      <c r="J4063" s="22" t="s">
        <v>118</v>
      </c>
      <c r="K4063" s="24"/>
      <c r="L4063" s="24"/>
      <c r="M4063" s="25" t="s">
        <v>2943</v>
      </c>
      <c r="N4063" s="22"/>
      <c r="O4063" s="22" t="s">
        <v>2944</v>
      </c>
      <c r="P4063" s="22" t="str">
        <f>HYPERLINK("https://ceds.ed.gov/cedselementdetails.aspx?termid=22892")</f>
        <v>https://ceds.ed.gov/cedselementdetails.aspx?termid=22892</v>
      </c>
      <c r="Q4063" s="22">
        <v>63190</v>
      </c>
    </row>
    <row r="4064" spans="1:17" ht="43.2" x14ac:dyDescent="0.3">
      <c r="A4064" s="22" t="s">
        <v>7917</v>
      </c>
      <c r="B4064" s="22" t="s">
        <v>7918</v>
      </c>
      <c r="C4064" s="22"/>
      <c r="D4064" s="22" t="s">
        <v>7710</v>
      </c>
      <c r="E4064" s="22" t="s">
        <v>2353</v>
      </c>
      <c r="F4064" s="24" t="s">
        <v>2354</v>
      </c>
      <c r="G4064" s="23" t="s">
        <v>32</v>
      </c>
      <c r="H4064" s="22" t="s">
        <v>812</v>
      </c>
      <c r="I4064" s="22"/>
      <c r="J4064" s="22" t="s">
        <v>50</v>
      </c>
      <c r="K4064" s="24"/>
      <c r="L4064" s="24"/>
      <c r="M4064" s="25" t="s">
        <v>2356</v>
      </c>
      <c r="N4064" s="22" t="s">
        <v>2357</v>
      </c>
      <c r="O4064" s="22" t="s">
        <v>2358</v>
      </c>
      <c r="P4064" s="22" t="str">
        <f>HYPERLINK("https://ceds.ed.gov/cedselementdetails.aspx?termid=21670")</f>
        <v>https://ceds.ed.gov/cedselementdetails.aspx?termid=21670</v>
      </c>
      <c r="Q4064" s="22">
        <v>59228</v>
      </c>
    </row>
    <row r="4065" spans="1:17" ht="28.8" x14ac:dyDescent="0.3">
      <c r="A4065" s="22" t="s">
        <v>7917</v>
      </c>
      <c r="B4065" s="22" t="s">
        <v>7918</v>
      </c>
      <c r="C4065" s="22"/>
      <c r="D4065" s="22" t="s">
        <v>7710</v>
      </c>
      <c r="E4065" s="22" t="s">
        <v>2348</v>
      </c>
      <c r="F4065" s="24" t="s">
        <v>2349</v>
      </c>
      <c r="G4065" s="23" t="s">
        <v>32</v>
      </c>
      <c r="H4065" s="22"/>
      <c r="I4065" s="22"/>
      <c r="J4065" s="22" t="s">
        <v>113</v>
      </c>
      <c r="K4065" s="24"/>
      <c r="L4065" s="24"/>
      <c r="M4065" s="25" t="s">
        <v>2350</v>
      </c>
      <c r="N4065" s="22" t="s">
        <v>2351</v>
      </c>
      <c r="O4065" s="22" t="s">
        <v>2352</v>
      </c>
      <c r="P4065" s="22" t="str">
        <f>HYPERLINK("https://ceds.ed.gov/cedselementdetails.aspx?termid=21674")</f>
        <v>https://ceds.ed.gov/cedselementdetails.aspx?termid=21674</v>
      </c>
      <c r="Q4065" s="22">
        <v>59232</v>
      </c>
    </row>
    <row r="4066" spans="1:17" ht="43.2" x14ac:dyDescent="0.3">
      <c r="A4066" s="22" t="s">
        <v>7917</v>
      </c>
      <c r="B4066" s="22" t="s">
        <v>7918</v>
      </c>
      <c r="C4066" s="22"/>
      <c r="D4066" s="22" t="s">
        <v>7710</v>
      </c>
      <c r="E4066" s="22" t="s">
        <v>2420</v>
      </c>
      <c r="F4066" s="24" t="s">
        <v>2421</v>
      </c>
      <c r="G4066" s="23" t="s">
        <v>32</v>
      </c>
      <c r="H4066" s="22"/>
      <c r="I4066" s="22"/>
      <c r="J4066" s="22" t="s">
        <v>118</v>
      </c>
      <c r="K4066" s="24"/>
      <c r="L4066" s="24"/>
      <c r="M4066" s="25" t="s">
        <v>2422</v>
      </c>
      <c r="N4066" s="22" t="s">
        <v>2423</v>
      </c>
      <c r="O4066" s="22" t="s">
        <v>2424</v>
      </c>
      <c r="P4066" s="22" t="str">
        <f>HYPERLINK("https://ceds.ed.gov/cedselementdetails.aspx?termid=21677")</f>
        <v>https://ceds.ed.gov/cedselementdetails.aspx?termid=21677</v>
      </c>
      <c r="Q4066" s="22">
        <v>59235</v>
      </c>
    </row>
    <row r="4067" spans="1:17" ht="57.6" x14ac:dyDescent="0.3">
      <c r="A4067" s="22" t="s">
        <v>7917</v>
      </c>
      <c r="B4067" s="22" t="s">
        <v>7918</v>
      </c>
      <c r="C4067" s="22"/>
      <c r="D4067" s="22" t="s">
        <v>7710</v>
      </c>
      <c r="E4067" s="22" t="s">
        <v>2415</v>
      </c>
      <c r="F4067" s="24" t="s">
        <v>2416</v>
      </c>
      <c r="G4067" s="23" t="s">
        <v>32</v>
      </c>
      <c r="H4067" s="22"/>
      <c r="I4067" s="22"/>
      <c r="J4067" s="22" t="s">
        <v>118</v>
      </c>
      <c r="K4067" s="24"/>
      <c r="L4067" s="24" t="s">
        <v>143</v>
      </c>
      <c r="M4067" s="25" t="s">
        <v>2417</v>
      </c>
      <c r="N4067" s="22" t="s">
        <v>2418</v>
      </c>
      <c r="O4067" s="22" t="s">
        <v>2419</v>
      </c>
      <c r="P4067" s="22" t="str">
        <f>HYPERLINK("https://ceds.ed.gov/cedselementdetails.aspx?termid=21678")</f>
        <v>https://ceds.ed.gov/cedselementdetails.aspx?termid=21678</v>
      </c>
      <c r="Q4067" s="22">
        <v>59236</v>
      </c>
    </row>
    <row r="4068" spans="1:17" ht="57.6" x14ac:dyDescent="0.3">
      <c r="A4068" s="22" t="s">
        <v>7917</v>
      </c>
      <c r="B4068" s="22" t="s">
        <v>7918</v>
      </c>
      <c r="C4068" s="22"/>
      <c r="D4068" s="22" t="s">
        <v>7710</v>
      </c>
      <c r="E4068" s="22" t="s">
        <v>2359</v>
      </c>
      <c r="F4068" s="24" t="s">
        <v>2360</v>
      </c>
      <c r="G4068" s="23" t="s">
        <v>32</v>
      </c>
      <c r="H4068" s="22"/>
      <c r="I4068" s="22"/>
      <c r="J4068" s="22" t="s">
        <v>1486</v>
      </c>
      <c r="K4068" s="24"/>
      <c r="L4068" s="24"/>
      <c r="M4068" s="25" t="s">
        <v>2361</v>
      </c>
      <c r="N4068" s="22" t="s">
        <v>2362</v>
      </c>
      <c r="O4068" s="22" t="s">
        <v>2363</v>
      </c>
      <c r="P4068" s="22" t="str">
        <f>HYPERLINK("https://ceds.ed.gov/cedselementdetails.aspx?termid=21676")</f>
        <v>https://ceds.ed.gov/cedselementdetails.aspx?termid=21676</v>
      </c>
      <c r="Q4068" s="22">
        <v>59234</v>
      </c>
    </row>
    <row r="4069" spans="1:17" ht="28.8" x14ac:dyDescent="0.3">
      <c r="A4069" s="22" t="s">
        <v>7917</v>
      </c>
      <c r="B4069" s="22" t="s">
        <v>7918</v>
      </c>
      <c r="C4069" s="22"/>
      <c r="D4069" s="22" t="s">
        <v>7710</v>
      </c>
      <c r="E4069" s="22" t="s">
        <v>2405</v>
      </c>
      <c r="F4069" s="24" t="s">
        <v>2406</v>
      </c>
      <c r="G4069" s="23" t="s">
        <v>32</v>
      </c>
      <c r="H4069" s="22" t="s">
        <v>812</v>
      </c>
      <c r="I4069" s="22"/>
      <c r="J4069" s="22" t="s">
        <v>85</v>
      </c>
      <c r="K4069" s="24"/>
      <c r="L4069" s="24"/>
      <c r="M4069" s="25" t="s">
        <v>2407</v>
      </c>
      <c r="N4069" s="22" t="s">
        <v>2408</v>
      </c>
      <c r="O4069" s="22" t="s">
        <v>2409</v>
      </c>
      <c r="P4069" s="22" t="str">
        <f>HYPERLINK("https://ceds.ed.gov/cedselementdetails.aspx?termid=21679")</f>
        <v>https://ceds.ed.gov/cedselementdetails.aspx?termid=21679</v>
      </c>
      <c r="Q4069" s="22">
        <v>59237</v>
      </c>
    </row>
    <row r="4070" spans="1:17" x14ac:dyDescent="0.3">
      <c r="A4070" s="22" t="s">
        <v>7917</v>
      </c>
      <c r="B4070" s="22" t="s">
        <v>7918</v>
      </c>
      <c r="C4070" s="22"/>
      <c r="D4070" s="22" t="s">
        <v>7710</v>
      </c>
      <c r="E4070" s="22" t="s">
        <v>2410</v>
      </c>
      <c r="F4070" s="24" t="s">
        <v>2411</v>
      </c>
      <c r="G4070" s="23" t="s">
        <v>32</v>
      </c>
      <c r="H4070" s="22" t="s">
        <v>812</v>
      </c>
      <c r="I4070" s="22"/>
      <c r="J4070" s="22" t="s">
        <v>1486</v>
      </c>
      <c r="K4070" s="24"/>
      <c r="L4070" s="24"/>
      <c r="M4070" s="25" t="s">
        <v>2412</v>
      </c>
      <c r="N4070" s="22" t="s">
        <v>2413</v>
      </c>
      <c r="O4070" s="22" t="s">
        <v>2414</v>
      </c>
      <c r="P4070" s="22" t="str">
        <f>HYPERLINK("https://ceds.ed.gov/cedselementdetails.aspx?termid=21671")</f>
        <v>https://ceds.ed.gov/cedselementdetails.aspx?termid=21671</v>
      </c>
      <c r="Q4070" s="22">
        <v>59229</v>
      </c>
    </row>
    <row r="4071" spans="1:17" ht="28.8" x14ac:dyDescent="0.3">
      <c r="A4071" s="22" t="s">
        <v>7917</v>
      </c>
      <c r="B4071" s="22" t="s">
        <v>7918</v>
      </c>
      <c r="C4071" s="22"/>
      <c r="D4071" s="22" t="s">
        <v>7710</v>
      </c>
      <c r="E4071" s="22" t="s">
        <v>2425</v>
      </c>
      <c r="F4071" s="24" t="s">
        <v>2426</v>
      </c>
      <c r="G4071" s="23" t="s">
        <v>32</v>
      </c>
      <c r="H4071" s="22" t="s">
        <v>812</v>
      </c>
      <c r="I4071" s="22"/>
      <c r="J4071" s="22" t="s">
        <v>85</v>
      </c>
      <c r="K4071" s="24"/>
      <c r="L4071" s="24"/>
      <c r="M4071" s="25" t="s">
        <v>2427</v>
      </c>
      <c r="N4071" s="22" t="s">
        <v>2428</v>
      </c>
      <c r="O4071" s="22" t="s">
        <v>2429</v>
      </c>
      <c r="P4071" s="22" t="str">
        <f>HYPERLINK("https://ceds.ed.gov/cedselementdetails.aspx?termid=21672")</f>
        <v>https://ceds.ed.gov/cedselementdetails.aspx?termid=21672</v>
      </c>
      <c r="Q4071" s="22">
        <v>59230</v>
      </c>
    </row>
    <row r="4072" spans="1:17" ht="115.2" x14ac:dyDescent="0.3">
      <c r="A4072" s="22" t="s">
        <v>7917</v>
      </c>
      <c r="B4072" s="22" t="s">
        <v>7918</v>
      </c>
      <c r="C4072" s="22"/>
      <c r="D4072" s="22" t="s">
        <v>7710</v>
      </c>
      <c r="E4072" s="22" t="s">
        <v>2364</v>
      </c>
      <c r="F4072" s="24" t="s">
        <v>2365</v>
      </c>
      <c r="G4072" s="23" t="s">
        <v>7423</v>
      </c>
      <c r="H4072" s="22"/>
      <c r="I4072" s="22"/>
      <c r="J4072" s="22"/>
      <c r="K4072" s="24"/>
      <c r="L4072" s="24" t="s">
        <v>7994</v>
      </c>
      <c r="M4072" s="25" t="s">
        <v>2366</v>
      </c>
      <c r="N4072" s="22" t="s">
        <v>2367</v>
      </c>
      <c r="O4072" s="22" t="s">
        <v>2368</v>
      </c>
      <c r="P4072" s="22" t="str">
        <f>HYPERLINK("https://ceds.ed.gov/cedselementdetails.aspx?termid=21880")</f>
        <v>https://ceds.ed.gov/cedselementdetails.aspx?termid=21880</v>
      </c>
      <c r="Q4072" s="22">
        <v>60331</v>
      </c>
    </row>
    <row r="4073" spans="1:17" ht="43.2" x14ac:dyDescent="0.3">
      <c r="A4073" s="22" t="s">
        <v>7917</v>
      </c>
      <c r="B4073" s="22" t="s">
        <v>7918</v>
      </c>
      <c r="C4073" s="22"/>
      <c r="D4073" s="22" t="s">
        <v>7710</v>
      </c>
      <c r="E4073" s="22" t="s">
        <v>2369</v>
      </c>
      <c r="F4073" s="24" t="s">
        <v>2370</v>
      </c>
      <c r="G4073" s="23" t="s">
        <v>32</v>
      </c>
      <c r="H4073" s="22"/>
      <c r="I4073" s="22"/>
      <c r="J4073" s="22" t="s">
        <v>113</v>
      </c>
      <c r="K4073" s="24"/>
      <c r="L4073" s="24"/>
      <c r="M4073" s="25" t="s">
        <v>2371</v>
      </c>
      <c r="N4073" s="22" t="s">
        <v>2372</v>
      </c>
      <c r="O4073" s="22" t="s">
        <v>2373</v>
      </c>
      <c r="P4073" s="22" t="str">
        <f>HYPERLINK("https://ceds.ed.gov/cedselementdetails.aspx?termid=21882")</f>
        <v>https://ceds.ed.gov/cedselementdetails.aspx?termid=21882</v>
      </c>
      <c r="Q4073" s="22">
        <v>60333</v>
      </c>
    </row>
    <row r="4074" spans="1:17" ht="72" x14ac:dyDescent="0.3">
      <c r="A4074" s="22" t="s">
        <v>7917</v>
      </c>
      <c r="B4074" s="22" t="s">
        <v>7918</v>
      </c>
      <c r="C4074" s="22"/>
      <c r="D4074" s="22" t="s">
        <v>7710</v>
      </c>
      <c r="E4074" s="22" t="s">
        <v>2342</v>
      </c>
      <c r="F4074" s="24" t="s">
        <v>2343</v>
      </c>
      <c r="G4074" s="23" t="s">
        <v>32</v>
      </c>
      <c r="H4074" s="22"/>
      <c r="I4074" s="22"/>
      <c r="J4074" s="22" t="s">
        <v>1486</v>
      </c>
      <c r="K4074" s="24"/>
      <c r="L4074" s="24" t="s">
        <v>8049</v>
      </c>
      <c r="M4074" s="25" t="s">
        <v>2345</v>
      </c>
      <c r="N4074" s="22" t="s">
        <v>2346</v>
      </c>
      <c r="O4074" s="22" t="s">
        <v>2347</v>
      </c>
      <c r="P4074" s="22" t="str">
        <f>HYPERLINK("https://ceds.ed.gov/cedselementdetails.aspx?termid=21673")</f>
        <v>https://ceds.ed.gov/cedselementdetails.aspx?termid=21673</v>
      </c>
      <c r="Q4074" s="22">
        <v>59231</v>
      </c>
    </row>
    <row r="4075" spans="1:17" ht="43.2" x14ac:dyDescent="0.3">
      <c r="A4075" s="22" t="s">
        <v>7917</v>
      </c>
      <c r="B4075" s="22" t="s">
        <v>7918</v>
      </c>
      <c r="C4075" s="22"/>
      <c r="D4075" s="22" t="s">
        <v>7710</v>
      </c>
      <c r="E4075" s="22" t="s">
        <v>2374</v>
      </c>
      <c r="F4075" s="24" t="s">
        <v>2375</v>
      </c>
      <c r="G4075" s="23" t="s">
        <v>32</v>
      </c>
      <c r="H4075" s="22"/>
      <c r="I4075" s="22"/>
      <c r="J4075" s="22" t="s">
        <v>118</v>
      </c>
      <c r="K4075" s="24"/>
      <c r="L4075" s="24" t="s">
        <v>2376</v>
      </c>
      <c r="M4075" s="25" t="s">
        <v>2377</v>
      </c>
      <c r="N4075" s="22" t="s">
        <v>2378</v>
      </c>
      <c r="O4075" s="22" t="s">
        <v>2379</v>
      </c>
      <c r="P4075" s="22" t="str">
        <f>HYPERLINK("https://ceds.ed.gov/cedselementdetails.aspx?termid=22548")</f>
        <v>https://ceds.ed.gov/cedselementdetails.aspx?termid=22548</v>
      </c>
      <c r="Q4075" s="22">
        <v>61901</v>
      </c>
    </row>
    <row r="4076" spans="1:17" ht="86.4" x14ac:dyDescent="0.3">
      <c r="A4076" s="22" t="s">
        <v>7917</v>
      </c>
      <c r="B4076" s="22" t="s">
        <v>7918</v>
      </c>
      <c r="C4076" s="22"/>
      <c r="D4076" s="22" t="s">
        <v>7710</v>
      </c>
      <c r="E4076" s="22" t="s">
        <v>2380</v>
      </c>
      <c r="F4076" s="24" t="s">
        <v>2381</v>
      </c>
      <c r="G4076" s="26" t="s">
        <v>8738</v>
      </c>
      <c r="H4076" s="22"/>
      <c r="I4076" s="22"/>
      <c r="J4076" s="22"/>
      <c r="K4076" s="24"/>
      <c r="L4076" s="24"/>
      <c r="M4076" s="25" t="s">
        <v>2382</v>
      </c>
      <c r="N4076" s="22" t="s">
        <v>2383</v>
      </c>
      <c r="O4076" s="22" t="s">
        <v>2384</v>
      </c>
      <c r="P4076" s="22" t="str">
        <f>HYPERLINK("https://ceds.ed.gov/cedselementdetails.aspx?termid=21675")</f>
        <v>https://ceds.ed.gov/cedselementdetails.aspx?termid=21675</v>
      </c>
      <c r="Q4076" s="22">
        <v>59233</v>
      </c>
    </row>
    <row r="4077" spans="1:17" ht="28.8" x14ac:dyDescent="0.3">
      <c r="A4077" s="22" t="s">
        <v>7917</v>
      </c>
      <c r="B4077" s="22" t="s">
        <v>7918</v>
      </c>
      <c r="C4077" s="22"/>
      <c r="D4077" s="22" t="s">
        <v>7710</v>
      </c>
      <c r="E4077" s="22" t="s">
        <v>2385</v>
      </c>
      <c r="F4077" s="24" t="s">
        <v>2386</v>
      </c>
      <c r="G4077" s="23" t="s">
        <v>32</v>
      </c>
      <c r="H4077" s="22"/>
      <c r="I4077" s="22"/>
      <c r="J4077" s="22" t="s">
        <v>85</v>
      </c>
      <c r="K4077" s="24"/>
      <c r="L4077" s="24"/>
      <c r="M4077" s="25" t="s">
        <v>2387</v>
      </c>
      <c r="N4077" s="22" t="s">
        <v>2388</v>
      </c>
      <c r="O4077" s="22" t="s">
        <v>2389</v>
      </c>
      <c r="P4077" s="22" t="str">
        <f>HYPERLINK("https://ceds.ed.gov/cedselementdetails.aspx?termid=21884")</f>
        <v>https://ceds.ed.gov/cedselementdetails.aspx?termid=21884</v>
      </c>
      <c r="Q4077" s="22">
        <v>60335</v>
      </c>
    </row>
    <row r="4078" spans="1:17" ht="28.8" x14ac:dyDescent="0.3">
      <c r="A4078" s="22" t="s">
        <v>7917</v>
      </c>
      <c r="B4078" s="22" t="s">
        <v>7918</v>
      </c>
      <c r="C4078" s="22"/>
      <c r="D4078" s="22" t="s">
        <v>7710</v>
      </c>
      <c r="E4078" s="22" t="s">
        <v>2390</v>
      </c>
      <c r="F4078" s="24" t="s">
        <v>2391</v>
      </c>
      <c r="G4078" s="23" t="s">
        <v>32</v>
      </c>
      <c r="H4078" s="22"/>
      <c r="I4078" s="22"/>
      <c r="J4078" s="22" t="s">
        <v>113</v>
      </c>
      <c r="K4078" s="24"/>
      <c r="L4078" s="24"/>
      <c r="M4078" s="25" t="s">
        <v>2392</v>
      </c>
      <c r="N4078" s="22" t="s">
        <v>2393</v>
      </c>
      <c r="O4078" s="22" t="s">
        <v>2394</v>
      </c>
      <c r="P4078" s="22" t="str">
        <f>HYPERLINK("https://ceds.ed.gov/cedselementdetails.aspx?termid=21885")</f>
        <v>https://ceds.ed.gov/cedselementdetails.aspx?termid=21885</v>
      </c>
      <c r="Q4078" s="22">
        <v>60336</v>
      </c>
    </row>
    <row r="4079" spans="1:17" ht="43.2" x14ac:dyDescent="0.3">
      <c r="A4079" s="22" t="s">
        <v>7917</v>
      </c>
      <c r="B4079" s="22" t="s">
        <v>7918</v>
      </c>
      <c r="C4079" s="22"/>
      <c r="D4079" s="22" t="s">
        <v>7710</v>
      </c>
      <c r="E4079" s="22" t="s">
        <v>2395</v>
      </c>
      <c r="F4079" s="24" t="s">
        <v>2396</v>
      </c>
      <c r="G4079" s="23" t="s">
        <v>32</v>
      </c>
      <c r="H4079" s="22"/>
      <c r="I4079" s="22"/>
      <c r="J4079" s="22" t="s">
        <v>85</v>
      </c>
      <c r="K4079" s="24"/>
      <c r="L4079" s="24"/>
      <c r="M4079" s="25" t="s">
        <v>2397</v>
      </c>
      <c r="N4079" s="22" t="s">
        <v>2398</v>
      </c>
      <c r="O4079" s="22" t="s">
        <v>2399</v>
      </c>
      <c r="P4079" s="22" t="str">
        <f>HYPERLINK("https://ceds.ed.gov/cedselementdetails.aspx?termid=21886")</f>
        <v>https://ceds.ed.gov/cedselementdetails.aspx?termid=21886</v>
      </c>
      <c r="Q4079" s="22">
        <v>60337</v>
      </c>
    </row>
    <row r="4080" spans="1:17" ht="72" x14ac:dyDescent="0.3">
      <c r="A4080" s="22" t="s">
        <v>7917</v>
      </c>
      <c r="B4080" s="22" t="s">
        <v>7918</v>
      </c>
      <c r="C4080" s="22"/>
      <c r="D4080" s="22" t="s">
        <v>7710</v>
      </c>
      <c r="E4080" s="22" t="s">
        <v>2400</v>
      </c>
      <c r="F4080" s="24" t="s">
        <v>2401</v>
      </c>
      <c r="G4080" s="23" t="s">
        <v>32</v>
      </c>
      <c r="H4080" s="22"/>
      <c r="I4080" s="22"/>
      <c r="J4080" s="22" t="s">
        <v>50</v>
      </c>
      <c r="K4080" s="24"/>
      <c r="L4080" s="24" t="s">
        <v>2402</v>
      </c>
      <c r="M4080" s="25" t="s">
        <v>2403</v>
      </c>
      <c r="N4080" s="22"/>
      <c r="O4080" s="22" t="s">
        <v>2404</v>
      </c>
      <c r="P4080" s="22" t="str">
        <f>HYPERLINK("https://ceds.ed.gov/cedselementdetails.aspx?termid=22888")</f>
        <v>https://ceds.ed.gov/cedselementdetails.aspx?termid=22888</v>
      </c>
      <c r="Q4080" s="22">
        <v>63185</v>
      </c>
    </row>
    <row r="4081" spans="1:17" ht="172.8" x14ac:dyDescent="0.3">
      <c r="A4081" s="22" t="s">
        <v>7917</v>
      </c>
      <c r="B4081" s="22" t="s">
        <v>7919</v>
      </c>
      <c r="C4081" s="22"/>
      <c r="D4081" s="22" t="s">
        <v>7710</v>
      </c>
      <c r="E4081" s="22" t="s">
        <v>2209</v>
      </c>
      <c r="F4081" s="24" t="s">
        <v>2210</v>
      </c>
      <c r="G4081" s="23" t="s">
        <v>32</v>
      </c>
      <c r="H4081" s="22" t="s">
        <v>812</v>
      </c>
      <c r="I4081" s="22"/>
      <c r="J4081" s="22" t="s">
        <v>132</v>
      </c>
      <c r="K4081" s="24"/>
      <c r="L4081" s="24" t="s">
        <v>8043</v>
      </c>
      <c r="M4081" s="25" t="s">
        <v>2211</v>
      </c>
      <c r="N4081" s="22" t="s">
        <v>2212</v>
      </c>
      <c r="O4081" s="22" t="s">
        <v>2213</v>
      </c>
      <c r="P4081" s="22" t="str">
        <f>HYPERLINK("https://ceds.ed.gov/cedselementdetails.aspx?termid=21666")</f>
        <v>https://ceds.ed.gov/cedselementdetails.aspx?termid=21666</v>
      </c>
      <c r="Q4081" s="22">
        <v>59238</v>
      </c>
    </row>
    <row r="4082" spans="1:17" ht="201.6" x14ac:dyDescent="0.3">
      <c r="A4082" s="22" t="s">
        <v>7917</v>
      </c>
      <c r="B4082" s="22" t="s">
        <v>7919</v>
      </c>
      <c r="C4082" s="22"/>
      <c r="D4082" s="22" t="s">
        <v>7710</v>
      </c>
      <c r="E4082" s="22" t="s">
        <v>2275</v>
      </c>
      <c r="F4082" s="24" t="s">
        <v>2276</v>
      </c>
      <c r="G4082" s="23" t="s">
        <v>32</v>
      </c>
      <c r="H4082" s="22" t="s">
        <v>812</v>
      </c>
      <c r="I4082" s="22"/>
      <c r="J4082" s="22" t="s">
        <v>328</v>
      </c>
      <c r="K4082" s="24"/>
      <c r="L4082" s="24" t="s">
        <v>8046</v>
      </c>
      <c r="M4082" s="25" t="s">
        <v>2277</v>
      </c>
      <c r="N4082" s="22" t="s">
        <v>2278</v>
      </c>
      <c r="O4082" s="22" t="s">
        <v>2279</v>
      </c>
      <c r="P4082" s="22" t="str">
        <f>HYPERLINK("https://ceds.ed.gov/cedselementdetails.aspx?termid=21667")</f>
        <v>https://ceds.ed.gov/cedselementdetails.aspx?termid=21667</v>
      </c>
      <c r="Q4082" s="22">
        <v>59239</v>
      </c>
    </row>
    <row r="4083" spans="1:17" ht="259.2" x14ac:dyDescent="0.3">
      <c r="A4083" s="22" t="s">
        <v>7917</v>
      </c>
      <c r="B4083" s="22" t="s">
        <v>7919</v>
      </c>
      <c r="C4083" s="22"/>
      <c r="D4083" s="22" t="s">
        <v>7710</v>
      </c>
      <c r="E4083" s="22" t="s">
        <v>2254</v>
      </c>
      <c r="F4083" s="24" t="s">
        <v>2255</v>
      </c>
      <c r="G4083" s="23" t="s">
        <v>32</v>
      </c>
      <c r="H4083" s="22" t="s">
        <v>812</v>
      </c>
      <c r="I4083" s="22"/>
      <c r="J4083" s="22" t="s">
        <v>132</v>
      </c>
      <c r="K4083" s="24"/>
      <c r="L4083" s="24" t="s">
        <v>8044</v>
      </c>
      <c r="M4083" s="25" t="s">
        <v>2256</v>
      </c>
      <c r="N4083" s="22" t="s">
        <v>2257</v>
      </c>
      <c r="O4083" s="22" t="s">
        <v>2258</v>
      </c>
      <c r="P4083" s="22" t="str">
        <f>HYPERLINK("https://ceds.ed.gov/cedselementdetails.aspx?termid=21691")</f>
        <v>https://ceds.ed.gov/cedselementdetails.aspx?termid=21691</v>
      </c>
      <c r="Q4083" s="22">
        <v>59242</v>
      </c>
    </row>
    <row r="4084" spans="1:17" ht="86.4" x14ac:dyDescent="0.3">
      <c r="A4084" s="22" t="s">
        <v>7917</v>
      </c>
      <c r="B4084" s="22" t="s">
        <v>7919</v>
      </c>
      <c r="C4084" s="22"/>
      <c r="D4084" s="22" t="s">
        <v>7710</v>
      </c>
      <c r="E4084" s="22" t="s">
        <v>2320</v>
      </c>
      <c r="F4084" s="24" t="s">
        <v>2321</v>
      </c>
      <c r="G4084" s="23" t="s">
        <v>32</v>
      </c>
      <c r="H4084" s="22"/>
      <c r="I4084" s="22"/>
      <c r="J4084" s="22" t="s">
        <v>50</v>
      </c>
      <c r="K4084" s="24"/>
      <c r="L4084" s="24" t="s">
        <v>136</v>
      </c>
      <c r="M4084" s="25" t="s">
        <v>2323</v>
      </c>
      <c r="N4084" s="22" t="s">
        <v>2324</v>
      </c>
      <c r="O4084" s="22" t="s">
        <v>2325</v>
      </c>
      <c r="P4084" s="22" t="str">
        <f>HYPERLINK("https://ceds.ed.gov/cedselementdetails.aspx?termid=21874")</f>
        <v>https://ceds.ed.gov/cedselementdetails.aspx?termid=21874</v>
      </c>
      <c r="Q4084" s="22">
        <v>60325</v>
      </c>
    </row>
    <row r="4085" spans="1:17" ht="72" x14ac:dyDescent="0.3">
      <c r="A4085" s="22" t="s">
        <v>7917</v>
      </c>
      <c r="B4085" s="22" t="s">
        <v>7919</v>
      </c>
      <c r="C4085" s="22"/>
      <c r="D4085" s="22" t="s">
        <v>7710</v>
      </c>
      <c r="E4085" s="22" t="s">
        <v>2181</v>
      </c>
      <c r="F4085" s="24" t="s">
        <v>2182</v>
      </c>
      <c r="G4085" s="23" t="s">
        <v>32</v>
      </c>
      <c r="H4085" s="22"/>
      <c r="I4085" s="22"/>
      <c r="J4085" s="22" t="s">
        <v>85</v>
      </c>
      <c r="K4085" s="24"/>
      <c r="L4085" s="24" t="s">
        <v>8042</v>
      </c>
      <c r="M4085" s="25" t="s">
        <v>2184</v>
      </c>
      <c r="N4085" s="22" t="s">
        <v>2185</v>
      </c>
      <c r="O4085" s="22" t="s">
        <v>2186</v>
      </c>
      <c r="P4085" s="22" t="str">
        <f>HYPERLINK("https://ceds.ed.gov/cedselementdetails.aspx?termid=21669")</f>
        <v>https://ceds.ed.gov/cedselementdetails.aspx?termid=21669</v>
      </c>
      <c r="Q4085" s="22">
        <v>59241</v>
      </c>
    </row>
    <row r="4086" spans="1:17" ht="172.8" x14ac:dyDescent="0.3">
      <c r="A4086" s="22" t="s">
        <v>7917</v>
      </c>
      <c r="B4086" s="22" t="s">
        <v>7919</v>
      </c>
      <c r="C4086" s="22"/>
      <c r="D4086" s="22" t="s">
        <v>7710</v>
      </c>
      <c r="E4086" s="22" t="s">
        <v>2244</v>
      </c>
      <c r="F4086" s="24" t="s">
        <v>2245</v>
      </c>
      <c r="G4086" s="23" t="s">
        <v>32</v>
      </c>
      <c r="H4086" s="22"/>
      <c r="I4086" s="22"/>
      <c r="J4086" s="22" t="s">
        <v>132</v>
      </c>
      <c r="K4086" s="24"/>
      <c r="L4086" s="24" t="s">
        <v>7945</v>
      </c>
      <c r="M4086" s="25" t="s">
        <v>2246</v>
      </c>
      <c r="N4086" s="22" t="s">
        <v>2247</v>
      </c>
      <c r="O4086" s="22" t="s">
        <v>2248</v>
      </c>
      <c r="P4086" s="22" t="str">
        <f>HYPERLINK("https://ceds.ed.gov/cedselementdetails.aspx?termid=21872")</f>
        <v>https://ceds.ed.gov/cedselementdetails.aspx?termid=21872</v>
      </c>
      <c r="Q4086" s="22">
        <v>60322</v>
      </c>
    </row>
    <row r="4087" spans="1:17" ht="43.2" x14ac:dyDescent="0.3">
      <c r="A4087" s="22" t="s">
        <v>7917</v>
      </c>
      <c r="B4087" s="22" t="s">
        <v>7919</v>
      </c>
      <c r="C4087" s="22"/>
      <c r="D4087" s="22" t="s">
        <v>7710</v>
      </c>
      <c r="E4087" s="22" t="s">
        <v>2239</v>
      </c>
      <c r="F4087" s="24" t="s">
        <v>2240</v>
      </c>
      <c r="G4087" s="23" t="s">
        <v>32</v>
      </c>
      <c r="H4087" s="22"/>
      <c r="I4087" s="22"/>
      <c r="J4087" s="22" t="s">
        <v>85</v>
      </c>
      <c r="K4087" s="24"/>
      <c r="L4087" s="24"/>
      <c r="M4087" s="25" t="s">
        <v>2241</v>
      </c>
      <c r="N4087" s="22" t="s">
        <v>2242</v>
      </c>
      <c r="O4087" s="22" t="s">
        <v>2243</v>
      </c>
      <c r="P4087" s="22" t="str">
        <f>HYPERLINK("https://ceds.ed.gov/cedselementdetails.aspx?termid=21873")</f>
        <v>https://ceds.ed.gov/cedselementdetails.aspx?termid=21873</v>
      </c>
      <c r="Q4087" s="22">
        <v>60324</v>
      </c>
    </row>
    <row r="4088" spans="1:17" ht="57.6" x14ac:dyDescent="0.3">
      <c r="A4088" s="22" t="s">
        <v>7917</v>
      </c>
      <c r="B4088" s="22" t="s">
        <v>7919</v>
      </c>
      <c r="C4088" s="22"/>
      <c r="D4088" s="22" t="s">
        <v>7710</v>
      </c>
      <c r="E4088" s="22" t="s">
        <v>2249</v>
      </c>
      <c r="F4088" s="24" t="s">
        <v>2250</v>
      </c>
      <c r="G4088" s="23" t="s">
        <v>32</v>
      </c>
      <c r="H4088" s="22"/>
      <c r="I4088" s="22"/>
      <c r="J4088" s="22" t="s">
        <v>50</v>
      </c>
      <c r="K4088" s="24"/>
      <c r="L4088" s="24"/>
      <c r="M4088" s="25" t="s">
        <v>2251</v>
      </c>
      <c r="N4088" s="22" t="s">
        <v>2252</v>
      </c>
      <c r="O4088" s="22" t="s">
        <v>2253</v>
      </c>
      <c r="P4088" s="22" t="str">
        <f>HYPERLINK("https://ceds.ed.gov/cedselementdetails.aspx?termid=22078")</f>
        <v>https://ceds.ed.gov/cedselementdetails.aspx?termid=22078</v>
      </c>
      <c r="Q4088" s="22">
        <v>59519</v>
      </c>
    </row>
    <row r="4089" spans="1:17" ht="409.6" x14ac:dyDescent="0.3">
      <c r="A4089" s="22" t="s">
        <v>7917</v>
      </c>
      <c r="B4089" s="22" t="s">
        <v>7919</v>
      </c>
      <c r="C4089" s="22"/>
      <c r="D4089" s="22" t="s">
        <v>7710</v>
      </c>
      <c r="E4089" s="22" t="s">
        <v>2203</v>
      </c>
      <c r="F4089" s="24" t="s">
        <v>2204</v>
      </c>
      <c r="G4089" s="26" t="s">
        <v>8734</v>
      </c>
      <c r="H4089" s="22"/>
      <c r="I4089" s="22"/>
      <c r="J4089" s="22"/>
      <c r="K4089" s="24"/>
      <c r="L4089" s="24" t="s">
        <v>2205</v>
      </c>
      <c r="M4089" s="25" t="s">
        <v>2206</v>
      </c>
      <c r="N4089" s="22" t="s">
        <v>2207</v>
      </c>
      <c r="O4089" s="22" t="s">
        <v>2208</v>
      </c>
      <c r="P4089" s="22" t="str">
        <f>HYPERLINK("https://ceds.ed.gov/cedselementdetails.aspx?termid=21701")</f>
        <v>https://ceds.ed.gov/cedselementdetails.aspx?termid=21701</v>
      </c>
      <c r="Q4089" s="22">
        <v>59243</v>
      </c>
    </row>
    <row r="4090" spans="1:17" ht="201.6" x14ac:dyDescent="0.3">
      <c r="A4090" s="22" t="s">
        <v>7917</v>
      </c>
      <c r="B4090" s="22" t="s">
        <v>7919</v>
      </c>
      <c r="C4090" s="22"/>
      <c r="D4090" s="22" t="s">
        <v>7710</v>
      </c>
      <c r="E4090" s="22" t="s">
        <v>2197</v>
      </c>
      <c r="F4090" s="24" t="s">
        <v>2198</v>
      </c>
      <c r="G4090" s="26" t="s">
        <v>22</v>
      </c>
      <c r="H4090" s="22"/>
      <c r="I4090" s="22"/>
      <c r="J4090" s="22"/>
      <c r="K4090" s="24"/>
      <c r="L4090" s="24" t="s">
        <v>2199</v>
      </c>
      <c r="M4090" s="25" t="s">
        <v>2200</v>
      </c>
      <c r="N4090" s="22" t="s">
        <v>2201</v>
      </c>
      <c r="O4090" s="22" t="s">
        <v>2202</v>
      </c>
      <c r="P4090" s="22" t="str">
        <f>HYPERLINK("https://ceds.ed.gov/cedselementdetails.aspx?termid=22499")</f>
        <v>https://ceds.ed.gov/cedselementdetails.aspx?termid=22499</v>
      </c>
      <c r="Q4090" s="22">
        <v>61682</v>
      </c>
    </row>
    <row r="4091" spans="1:17" ht="388.8" x14ac:dyDescent="0.3">
      <c r="A4091" s="22" t="s">
        <v>7917</v>
      </c>
      <c r="B4091" s="22" t="s">
        <v>7919</v>
      </c>
      <c r="C4091" s="22"/>
      <c r="D4091" s="22" t="s">
        <v>7710</v>
      </c>
      <c r="E4091" s="22" t="s">
        <v>2259</v>
      </c>
      <c r="F4091" s="24" t="s">
        <v>2260</v>
      </c>
      <c r="G4091" s="23" t="s">
        <v>32</v>
      </c>
      <c r="H4091" s="22"/>
      <c r="I4091" s="22"/>
      <c r="J4091" s="22" t="s">
        <v>132</v>
      </c>
      <c r="K4091" s="24"/>
      <c r="L4091" s="24" t="s">
        <v>8045</v>
      </c>
      <c r="M4091" s="25" t="s">
        <v>2261</v>
      </c>
      <c r="N4091" s="22" t="s">
        <v>2262</v>
      </c>
      <c r="O4091" s="22" t="s">
        <v>2263</v>
      </c>
      <c r="P4091" s="22" t="str">
        <f>HYPERLINK("https://ceds.ed.gov/cedselementdetails.aspx?termid=22498")</f>
        <v>https://ceds.ed.gov/cedselementdetails.aspx?termid=22498</v>
      </c>
      <c r="Q4091" s="22">
        <v>61679</v>
      </c>
    </row>
    <row r="4092" spans="1:17" ht="43.2" x14ac:dyDescent="0.3">
      <c r="A4092" s="22" t="s">
        <v>7917</v>
      </c>
      <c r="B4092" s="22" t="s">
        <v>7919</v>
      </c>
      <c r="C4092" s="22"/>
      <c r="D4092" s="22" t="s">
        <v>7710</v>
      </c>
      <c r="E4092" s="22" t="s">
        <v>2337</v>
      </c>
      <c r="F4092" s="24" t="s">
        <v>2338</v>
      </c>
      <c r="G4092" s="23" t="s">
        <v>32</v>
      </c>
      <c r="H4092" s="22"/>
      <c r="I4092" s="22"/>
      <c r="J4092" s="22" t="s">
        <v>328</v>
      </c>
      <c r="K4092" s="24"/>
      <c r="L4092" s="24"/>
      <c r="M4092" s="25" t="s">
        <v>2339</v>
      </c>
      <c r="N4092" s="22" t="s">
        <v>2340</v>
      </c>
      <c r="O4092" s="22" t="s">
        <v>2341</v>
      </c>
      <c r="P4092" s="22" t="str">
        <f>HYPERLINK("https://ceds.ed.gov/cedselementdetails.aspx?termid=22216")</f>
        <v>https://ceds.ed.gov/cedselementdetails.aspx?termid=22216</v>
      </c>
      <c r="Q4092" s="22">
        <v>59723</v>
      </c>
    </row>
    <row r="4093" spans="1:17" ht="115.2" x14ac:dyDescent="0.3">
      <c r="A4093" s="22" t="s">
        <v>7917</v>
      </c>
      <c r="B4093" s="22" t="s">
        <v>7919</v>
      </c>
      <c r="C4093" s="22"/>
      <c r="D4093" s="22" t="s">
        <v>7710</v>
      </c>
      <c r="E4093" s="22" t="s">
        <v>2300</v>
      </c>
      <c r="F4093" s="24" t="s">
        <v>2301</v>
      </c>
      <c r="G4093" s="23" t="s">
        <v>32</v>
      </c>
      <c r="H4093" s="22" t="s">
        <v>812</v>
      </c>
      <c r="I4093" s="22"/>
      <c r="J4093" s="22" t="s">
        <v>157</v>
      </c>
      <c r="K4093" s="24"/>
      <c r="L4093" s="24" t="s">
        <v>8047</v>
      </c>
      <c r="M4093" s="25" t="s">
        <v>2302</v>
      </c>
      <c r="N4093" s="22" t="s">
        <v>2303</v>
      </c>
      <c r="O4093" s="22" t="s">
        <v>2304</v>
      </c>
      <c r="P4093" s="22" t="str">
        <f>HYPERLINK("https://ceds.ed.gov/cedselementdetails.aspx?termid=21668")</f>
        <v>https://ceds.ed.gov/cedselementdetails.aspx?termid=21668</v>
      </c>
      <c r="Q4093" s="22">
        <v>59240</v>
      </c>
    </row>
    <row r="4094" spans="1:17" ht="115.2" x14ac:dyDescent="0.3">
      <c r="A4094" s="22" t="s">
        <v>7917</v>
      </c>
      <c r="B4094" s="22" t="s">
        <v>7919</v>
      </c>
      <c r="C4094" s="22"/>
      <c r="D4094" s="22" t="s">
        <v>7710</v>
      </c>
      <c r="E4094" s="22" t="s">
        <v>2305</v>
      </c>
      <c r="F4094" s="24" t="s">
        <v>2306</v>
      </c>
      <c r="G4094" s="23" t="s">
        <v>32</v>
      </c>
      <c r="H4094" s="22"/>
      <c r="I4094" s="22"/>
      <c r="J4094" s="22" t="s">
        <v>50</v>
      </c>
      <c r="K4094" s="24"/>
      <c r="L4094" s="24" t="s">
        <v>8048</v>
      </c>
      <c r="M4094" s="25" t="s">
        <v>2307</v>
      </c>
      <c r="N4094" s="22" t="s">
        <v>2308</v>
      </c>
      <c r="O4094" s="22" t="s">
        <v>2309</v>
      </c>
      <c r="P4094" s="22" t="str">
        <f>HYPERLINK("https://ceds.ed.gov/cedselementdetails.aspx?termid=22738")</f>
        <v>https://ceds.ed.gov/cedselementdetails.aspx?termid=22738</v>
      </c>
      <c r="Q4094" s="22">
        <v>62874</v>
      </c>
    </row>
    <row r="4095" spans="1:17" ht="72" x14ac:dyDescent="0.3">
      <c r="A4095" s="22" t="s">
        <v>7917</v>
      </c>
      <c r="B4095" s="22" t="s">
        <v>7919</v>
      </c>
      <c r="C4095" s="22"/>
      <c r="D4095" s="22" t="s">
        <v>7710</v>
      </c>
      <c r="E4095" s="22" t="s">
        <v>2280</v>
      </c>
      <c r="F4095" s="24" t="s">
        <v>2281</v>
      </c>
      <c r="G4095" s="26" t="s">
        <v>8737</v>
      </c>
      <c r="H4095" s="22"/>
      <c r="I4095" s="22"/>
      <c r="J4095" s="22"/>
      <c r="K4095" s="24"/>
      <c r="L4095" s="24"/>
      <c r="M4095" s="25" t="s">
        <v>2282</v>
      </c>
      <c r="N4095" s="22" t="s">
        <v>2283</v>
      </c>
      <c r="O4095" s="22" t="s">
        <v>2284</v>
      </c>
      <c r="P4095" s="22" t="str">
        <f>HYPERLINK("https://ceds.ed.gov/cedselementdetails.aspx?termid=22380")</f>
        <v>https://ceds.ed.gov/cedselementdetails.aspx?termid=22380</v>
      </c>
      <c r="Q4095" s="22">
        <v>61512</v>
      </c>
    </row>
    <row r="4096" spans="1:17" ht="57.6" x14ac:dyDescent="0.3">
      <c r="A4096" s="22" t="s">
        <v>7917</v>
      </c>
      <c r="B4096" s="22" t="s">
        <v>7919</v>
      </c>
      <c r="C4096" s="22"/>
      <c r="D4096" s="22" t="s">
        <v>7710</v>
      </c>
      <c r="E4096" s="22" t="s">
        <v>2175</v>
      </c>
      <c r="F4096" s="24" t="s">
        <v>2176</v>
      </c>
      <c r="G4096" s="26" t="s">
        <v>8733</v>
      </c>
      <c r="H4096" s="22"/>
      <c r="I4096" s="22"/>
      <c r="J4096" s="22"/>
      <c r="K4096" s="24"/>
      <c r="L4096" s="24"/>
      <c r="M4096" s="25" t="s">
        <v>2178</v>
      </c>
      <c r="N4096" s="22" t="s">
        <v>2179</v>
      </c>
      <c r="O4096" s="22" t="s">
        <v>2180</v>
      </c>
      <c r="P4096" s="22" t="str">
        <f>HYPERLINK("https://ceds.ed.gov/cedselementdetails.aspx?termid=21875")</f>
        <v>https://ceds.ed.gov/cedselementdetails.aspx?termid=21875</v>
      </c>
      <c r="Q4096" s="22">
        <v>60326</v>
      </c>
    </row>
    <row r="4097" spans="1:17" ht="43.2" x14ac:dyDescent="0.3">
      <c r="A4097" s="22" t="s">
        <v>7917</v>
      </c>
      <c r="B4097" s="22" t="s">
        <v>7919</v>
      </c>
      <c r="C4097" s="22"/>
      <c r="D4097" s="22" t="s">
        <v>7710</v>
      </c>
      <c r="E4097" s="22" t="s">
        <v>2187</v>
      </c>
      <c r="F4097" s="24" t="s">
        <v>2188</v>
      </c>
      <c r="G4097" s="23" t="s">
        <v>32</v>
      </c>
      <c r="H4097" s="22"/>
      <c r="I4097" s="22"/>
      <c r="J4097" s="22" t="s">
        <v>113</v>
      </c>
      <c r="K4097" s="24"/>
      <c r="L4097" s="24"/>
      <c r="M4097" s="25" t="s">
        <v>2189</v>
      </c>
      <c r="N4097" s="22" t="s">
        <v>2190</v>
      </c>
      <c r="O4097" s="22" t="s">
        <v>2191</v>
      </c>
      <c r="P4097" s="22" t="str">
        <f>HYPERLINK("https://ceds.ed.gov/cedselementdetails.aspx?termid=21887")</f>
        <v>https://ceds.ed.gov/cedselementdetails.aspx?termid=21887</v>
      </c>
      <c r="Q4097" s="22">
        <v>60338</v>
      </c>
    </row>
    <row r="4098" spans="1:17" ht="72" x14ac:dyDescent="0.3">
      <c r="A4098" s="22" t="s">
        <v>7917</v>
      </c>
      <c r="B4098" s="22" t="s">
        <v>7919</v>
      </c>
      <c r="C4098" s="22"/>
      <c r="D4098" s="22" t="s">
        <v>7710</v>
      </c>
      <c r="E4098" s="22" t="s">
        <v>2192</v>
      </c>
      <c r="F4098" s="24" t="s">
        <v>2193</v>
      </c>
      <c r="G4098" s="23" t="s">
        <v>32</v>
      </c>
      <c r="H4098" s="22"/>
      <c r="I4098" s="22"/>
      <c r="J4098" s="22" t="s">
        <v>85</v>
      </c>
      <c r="K4098" s="24"/>
      <c r="L4098" s="24"/>
      <c r="M4098" s="25" t="s">
        <v>2194</v>
      </c>
      <c r="N4098" s="22" t="s">
        <v>2195</v>
      </c>
      <c r="O4098" s="22" t="s">
        <v>2196</v>
      </c>
      <c r="P4098" s="22" t="str">
        <f>HYPERLINK("https://ceds.ed.gov/cedselementdetails.aspx?termid=21888")</f>
        <v>https://ceds.ed.gov/cedselementdetails.aspx?termid=21888</v>
      </c>
      <c r="Q4098" s="22">
        <v>60339</v>
      </c>
    </row>
    <row r="4099" spans="1:17" ht="115.2" x14ac:dyDescent="0.3">
      <c r="A4099" s="22" t="s">
        <v>7917</v>
      </c>
      <c r="B4099" s="22" t="s">
        <v>7919</v>
      </c>
      <c r="C4099" s="22"/>
      <c r="D4099" s="22" t="s">
        <v>7710</v>
      </c>
      <c r="E4099" s="22" t="s">
        <v>2214</v>
      </c>
      <c r="F4099" s="24" t="s">
        <v>2215</v>
      </c>
      <c r="G4099" s="23" t="s">
        <v>7423</v>
      </c>
      <c r="H4099" s="22"/>
      <c r="I4099" s="22"/>
      <c r="J4099" s="22"/>
      <c r="K4099" s="24"/>
      <c r="L4099" s="24" t="s">
        <v>7994</v>
      </c>
      <c r="M4099" s="25" t="s">
        <v>2216</v>
      </c>
      <c r="N4099" s="22" t="s">
        <v>2217</v>
      </c>
      <c r="O4099" s="22" t="s">
        <v>2218</v>
      </c>
      <c r="P4099" s="22" t="str">
        <f>HYPERLINK("https://ceds.ed.gov/cedselementdetails.aspx?termid=21881")</f>
        <v>https://ceds.ed.gov/cedselementdetails.aspx?termid=21881</v>
      </c>
      <c r="Q4099" s="22">
        <v>60332</v>
      </c>
    </row>
    <row r="4100" spans="1:17" ht="57.6" x14ac:dyDescent="0.3">
      <c r="A4100" s="22" t="s">
        <v>7917</v>
      </c>
      <c r="B4100" s="22" t="s">
        <v>7919</v>
      </c>
      <c r="C4100" s="22"/>
      <c r="D4100" s="22" t="s">
        <v>7710</v>
      </c>
      <c r="E4100" s="22" t="s">
        <v>2219</v>
      </c>
      <c r="F4100" s="24" t="s">
        <v>2220</v>
      </c>
      <c r="G4100" s="23" t="s">
        <v>32</v>
      </c>
      <c r="H4100" s="22"/>
      <c r="I4100" s="22"/>
      <c r="J4100" s="22" t="s">
        <v>328</v>
      </c>
      <c r="K4100" s="24"/>
      <c r="L4100" s="24"/>
      <c r="M4100" s="25" t="s">
        <v>2221</v>
      </c>
      <c r="N4100" s="22" t="s">
        <v>2222</v>
      </c>
      <c r="O4100" s="22" t="s">
        <v>2223</v>
      </c>
      <c r="P4100" s="22" t="str">
        <f>HYPERLINK("https://ceds.ed.gov/cedselementdetails.aspx?termid=21883")</f>
        <v>https://ceds.ed.gov/cedselementdetails.aspx?termid=21883</v>
      </c>
      <c r="Q4100" s="22">
        <v>60334</v>
      </c>
    </row>
    <row r="4101" spans="1:17" ht="129.6" x14ac:dyDescent="0.3">
      <c r="A4101" s="22" t="s">
        <v>7917</v>
      </c>
      <c r="B4101" s="22" t="s">
        <v>7919</v>
      </c>
      <c r="C4101" s="22"/>
      <c r="D4101" s="22" t="s">
        <v>7710</v>
      </c>
      <c r="E4101" s="22" t="s">
        <v>2224</v>
      </c>
      <c r="F4101" s="24" t="s">
        <v>2225</v>
      </c>
      <c r="G4101" s="26" t="s">
        <v>8735</v>
      </c>
      <c r="H4101" s="22"/>
      <c r="I4101" s="22"/>
      <c r="J4101" s="22"/>
      <c r="K4101" s="24"/>
      <c r="L4101" s="24"/>
      <c r="M4101" s="25" t="s">
        <v>2226</v>
      </c>
      <c r="N4101" s="22" t="s">
        <v>2227</v>
      </c>
      <c r="O4101" s="22" t="s">
        <v>2228</v>
      </c>
      <c r="P4101" s="22" t="str">
        <f>HYPERLINK("https://ceds.ed.gov/cedselementdetails.aspx?termid=21876")</f>
        <v>https://ceds.ed.gov/cedselementdetails.aspx?termid=21876</v>
      </c>
      <c r="Q4101" s="22">
        <v>60327</v>
      </c>
    </row>
    <row r="4102" spans="1:17" ht="43.2" x14ac:dyDescent="0.3">
      <c r="A4102" s="22" t="s">
        <v>7917</v>
      </c>
      <c r="B4102" s="22" t="s">
        <v>7919</v>
      </c>
      <c r="C4102" s="22"/>
      <c r="D4102" s="22" t="s">
        <v>7710</v>
      </c>
      <c r="E4102" s="22" t="s">
        <v>2270</v>
      </c>
      <c r="F4102" s="24" t="s">
        <v>2271</v>
      </c>
      <c r="G4102" s="23" t="s">
        <v>32</v>
      </c>
      <c r="H4102" s="22"/>
      <c r="I4102" s="22"/>
      <c r="J4102" s="22" t="s">
        <v>85</v>
      </c>
      <c r="K4102" s="24"/>
      <c r="L4102" s="24"/>
      <c r="M4102" s="25" t="s">
        <v>2272</v>
      </c>
      <c r="N4102" s="22" t="s">
        <v>2273</v>
      </c>
      <c r="O4102" s="22" t="s">
        <v>2274</v>
      </c>
      <c r="P4102" s="22" t="str">
        <f>HYPERLINK("https://ceds.ed.gov/cedselementdetails.aspx?termid=22378")</f>
        <v>https://ceds.ed.gov/cedselementdetails.aspx?termid=22378</v>
      </c>
      <c r="Q4102" s="22">
        <v>61510</v>
      </c>
    </row>
    <row r="4103" spans="1:17" ht="86.4" x14ac:dyDescent="0.3">
      <c r="A4103" s="22" t="s">
        <v>7917</v>
      </c>
      <c r="B4103" s="22" t="s">
        <v>7919</v>
      </c>
      <c r="C4103" s="22"/>
      <c r="D4103" s="22" t="s">
        <v>7710</v>
      </c>
      <c r="E4103" s="22" t="s">
        <v>2229</v>
      </c>
      <c r="F4103" s="24" t="s">
        <v>2230</v>
      </c>
      <c r="G4103" s="26" t="s">
        <v>8736</v>
      </c>
      <c r="H4103" s="22"/>
      <c r="I4103" s="22"/>
      <c r="J4103" s="22"/>
      <c r="K4103" s="24"/>
      <c r="L4103" s="24"/>
      <c r="M4103" s="25" t="s">
        <v>2231</v>
      </c>
      <c r="N4103" s="22" t="s">
        <v>2232</v>
      </c>
      <c r="O4103" s="22" t="s">
        <v>2233</v>
      </c>
      <c r="P4103" s="22" t="str">
        <f>HYPERLINK("https://ceds.ed.gov/cedselementdetails.aspx?termid=22377")</f>
        <v>https://ceds.ed.gov/cedselementdetails.aspx?termid=22377</v>
      </c>
      <c r="Q4103" s="22">
        <v>61509</v>
      </c>
    </row>
    <row r="4104" spans="1:17" ht="28.8" x14ac:dyDescent="0.3">
      <c r="A4104" s="22" t="s">
        <v>7917</v>
      </c>
      <c r="B4104" s="22" t="s">
        <v>7919</v>
      </c>
      <c r="C4104" s="22"/>
      <c r="D4104" s="22" t="s">
        <v>7710</v>
      </c>
      <c r="E4104" s="22" t="s">
        <v>2234</v>
      </c>
      <c r="F4104" s="24" t="s">
        <v>2235</v>
      </c>
      <c r="G4104" s="23" t="s">
        <v>32</v>
      </c>
      <c r="H4104" s="22"/>
      <c r="I4104" s="22"/>
      <c r="J4104" s="22" t="s">
        <v>328</v>
      </c>
      <c r="K4104" s="24"/>
      <c r="L4104" s="24"/>
      <c r="M4104" s="25" t="s">
        <v>2236</v>
      </c>
      <c r="N4104" s="22" t="s">
        <v>2237</v>
      </c>
      <c r="O4104" s="22" t="s">
        <v>2238</v>
      </c>
      <c r="P4104" s="22" t="str">
        <f>HYPERLINK("https://ceds.ed.gov/cedselementdetails.aspx?termid=22215")</f>
        <v>https://ceds.ed.gov/cedselementdetails.aspx?termid=22215</v>
      </c>
      <c r="Q4104" s="22">
        <v>59722</v>
      </c>
    </row>
    <row r="4105" spans="1:17" ht="28.8" x14ac:dyDescent="0.3">
      <c r="A4105" s="22" t="s">
        <v>7917</v>
      </c>
      <c r="B4105" s="22" t="s">
        <v>7919</v>
      </c>
      <c r="C4105" s="22"/>
      <c r="D4105" s="22" t="s">
        <v>7710</v>
      </c>
      <c r="E4105" s="22" t="s">
        <v>2295</v>
      </c>
      <c r="F4105" s="24" t="s">
        <v>2296</v>
      </c>
      <c r="G4105" s="23" t="s">
        <v>32</v>
      </c>
      <c r="H4105" s="22"/>
      <c r="I4105" s="22"/>
      <c r="J4105" s="22" t="s">
        <v>85</v>
      </c>
      <c r="K4105" s="24"/>
      <c r="L4105" s="24"/>
      <c r="M4105" s="25" t="s">
        <v>2297</v>
      </c>
      <c r="N4105" s="22" t="s">
        <v>2298</v>
      </c>
      <c r="O4105" s="22" t="s">
        <v>2299</v>
      </c>
      <c r="P4105" s="22" t="str">
        <f>HYPERLINK("https://ceds.ed.gov/cedselementdetails.aspx?termid=21910")</f>
        <v>https://ceds.ed.gov/cedselementdetails.aspx?termid=21910</v>
      </c>
      <c r="Q4105" s="22">
        <v>59369</v>
      </c>
    </row>
    <row r="4106" spans="1:17" ht="72" x14ac:dyDescent="0.3">
      <c r="A4106" s="22" t="s">
        <v>7917</v>
      </c>
      <c r="B4106" s="22" t="s">
        <v>7919</v>
      </c>
      <c r="C4106" s="22"/>
      <c r="D4106" s="22" t="s">
        <v>7710</v>
      </c>
      <c r="E4106" s="22" t="s">
        <v>2290</v>
      </c>
      <c r="F4106" s="24" t="s">
        <v>2291</v>
      </c>
      <c r="G4106" s="23" t="s">
        <v>32</v>
      </c>
      <c r="H4106" s="22"/>
      <c r="I4106" s="22"/>
      <c r="J4106" s="22" t="s">
        <v>148</v>
      </c>
      <c r="K4106" s="24"/>
      <c r="L4106" s="24"/>
      <c r="M4106" s="25" t="s">
        <v>2292</v>
      </c>
      <c r="N4106" s="22" t="s">
        <v>2293</v>
      </c>
      <c r="O4106" s="22" t="s">
        <v>2294</v>
      </c>
      <c r="P4106" s="22" t="str">
        <f>HYPERLINK("https://ceds.ed.gov/cedselementdetails.aspx?termid=22114")</f>
        <v>https://ceds.ed.gov/cedselementdetails.aspx?termid=22114</v>
      </c>
      <c r="Q4106" s="22">
        <v>60699</v>
      </c>
    </row>
    <row r="4107" spans="1:17" ht="72" x14ac:dyDescent="0.3">
      <c r="A4107" s="22" t="s">
        <v>7917</v>
      </c>
      <c r="B4107" s="22" t="s">
        <v>7919</v>
      </c>
      <c r="C4107" s="22"/>
      <c r="D4107" s="22" t="s">
        <v>7710</v>
      </c>
      <c r="E4107" s="22" t="s">
        <v>2285</v>
      </c>
      <c r="F4107" s="24" t="s">
        <v>2286</v>
      </c>
      <c r="G4107" s="23" t="s">
        <v>32</v>
      </c>
      <c r="H4107" s="22"/>
      <c r="I4107" s="22"/>
      <c r="J4107" s="22" t="s">
        <v>148</v>
      </c>
      <c r="K4107" s="24"/>
      <c r="L4107" s="24"/>
      <c r="M4107" s="25" t="s">
        <v>2287</v>
      </c>
      <c r="N4107" s="22" t="s">
        <v>2288</v>
      </c>
      <c r="O4107" s="22" t="s">
        <v>2289</v>
      </c>
      <c r="P4107" s="22" t="str">
        <f>HYPERLINK("https://ceds.ed.gov/cedselementdetails.aspx?termid=22115")</f>
        <v>https://ceds.ed.gov/cedselementdetails.aspx?termid=22115</v>
      </c>
      <c r="Q4107" s="22">
        <v>60700</v>
      </c>
    </row>
    <row r="4108" spans="1:17" ht="43.2" x14ac:dyDescent="0.3">
      <c r="A4108" s="22" t="s">
        <v>7917</v>
      </c>
      <c r="B4108" s="22" t="s">
        <v>7919</v>
      </c>
      <c r="C4108" s="22"/>
      <c r="D4108" s="22" t="s">
        <v>7710</v>
      </c>
      <c r="E4108" s="22" t="s">
        <v>2353</v>
      </c>
      <c r="F4108" s="24" t="s">
        <v>2354</v>
      </c>
      <c r="G4108" s="23" t="s">
        <v>32</v>
      </c>
      <c r="H4108" s="22" t="s">
        <v>812</v>
      </c>
      <c r="I4108" s="22"/>
      <c r="J4108" s="22" t="s">
        <v>50</v>
      </c>
      <c r="K4108" s="24"/>
      <c r="L4108" s="24"/>
      <c r="M4108" s="25" t="s">
        <v>2356</v>
      </c>
      <c r="N4108" s="22" t="s">
        <v>2357</v>
      </c>
      <c r="O4108" s="22" t="s">
        <v>2358</v>
      </c>
      <c r="P4108" s="22" t="str">
        <f>HYPERLINK("https://ceds.ed.gov/cedselementdetails.aspx?termid=21670")</f>
        <v>https://ceds.ed.gov/cedselementdetails.aspx?termid=21670</v>
      </c>
      <c r="Q4108" s="22">
        <v>62997</v>
      </c>
    </row>
    <row r="4109" spans="1:17" ht="72" x14ac:dyDescent="0.3">
      <c r="A4109" s="22" t="s">
        <v>7917</v>
      </c>
      <c r="B4109" s="22" t="s">
        <v>7919</v>
      </c>
      <c r="C4109" s="22"/>
      <c r="D4109" s="22" t="s">
        <v>7710</v>
      </c>
      <c r="E4109" s="22" t="s">
        <v>2264</v>
      </c>
      <c r="F4109" s="24" t="s">
        <v>2265</v>
      </c>
      <c r="G4109" s="23" t="s">
        <v>32</v>
      </c>
      <c r="H4109" s="22"/>
      <c r="I4109" s="22"/>
      <c r="J4109" s="22" t="s">
        <v>157</v>
      </c>
      <c r="K4109" s="24"/>
      <c r="L4109" s="24" t="s">
        <v>2266</v>
      </c>
      <c r="M4109" s="25" t="s">
        <v>2267</v>
      </c>
      <c r="N4109" s="22" t="s">
        <v>2268</v>
      </c>
      <c r="O4109" s="22" t="s">
        <v>2269</v>
      </c>
      <c r="P4109" s="22" t="str">
        <f>HYPERLINK("https://ceds.ed.gov/cedselementdetails.aspx?termid=22549")</f>
        <v>https://ceds.ed.gov/cedselementdetails.aspx?termid=22549</v>
      </c>
      <c r="Q4109" s="22">
        <v>63159</v>
      </c>
    </row>
    <row r="4110" spans="1:17" ht="57.6" x14ac:dyDescent="0.3">
      <c r="A4110" s="22" t="s">
        <v>7917</v>
      </c>
      <c r="B4110" s="22" t="s">
        <v>7919</v>
      </c>
      <c r="C4110" s="22"/>
      <c r="D4110" s="22" t="s">
        <v>7710</v>
      </c>
      <c r="E4110" s="22" t="s">
        <v>2310</v>
      </c>
      <c r="F4110" s="24" t="s">
        <v>2311</v>
      </c>
      <c r="G4110" s="23" t="s">
        <v>32</v>
      </c>
      <c r="H4110" s="22"/>
      <c r="I4110" s="22"/>
      <c r="J4110" s="22" t="s">
        <v>317</v>
      </c>
      <c r="K4110" s="24"/>
      <c r="L4110" s="24" t="s">
        <v>2312</v>
      </c>
      <c r="M4110" s="25" t="s">
        <v>2313</v>
      </c>
      <c r="N4110" s="22"/>
      <c r="O4110" s="22" t="s">
        <v>2314</v>
      </c>
      <c r="P4110" s="22" t="str">
        <f>HYPERLINK("https://ceds.ed.gov/cedselementdetails.aspx?termid=22890")</f>
        <v>https://ceds.ed.gov/cedselementdetails.aspx?termid=22890</v>
      </c>
      <c r="Q4110" s="22">
        <v>63182</v>
      </c>
    </row>
    <row r="4111" spans="1:17" ht="57.6" x14ac:dyDescent="0.3">
      <c r="A4111" s="22" t="s">
        <v>7917</v>
      </c>
      <c r="B4111" s="22" t="s">
        <v>7919</v>
      </c>
      <c r="C4111" s="22"/>
      <c r="D4111" s="22" t="s">
        <v>7710</v>
      </c>
      <c r="E4111" s="22" t="s">
        <v>2315</v>
      </c>
      <c r="F4111" s="24" t="s">
        <v>2316</v>
      </c>
      <c r="G4111" s="23" t="s">
        <v>32</v>
      </c>
      <c r="H4111" s="22"/>
      <c r="I4111" s="22"/>
      <c r="J4111" s="22" t="s">
        <v>317</v>
      </c>
      <c r="K4111" s="24"/>
      <c r="L4111" s="24" t="s">
        <v>2317</v>
      </c>
      <c r="M4111" s="25" t="s">
        <v>2318</v>
      </c>
      <c r="N4111" s="22"/>
      <c r="O4111" s="22" t="s">
        <v>2319</v>
      </c>
      <c r="P4111" s="22" t="str">
        <f>HYPERLINK("https://ceds.ed.gov/cedselementdetails.aspx?termid=22889")</f>
        <v>https://ceds.ed.gov/cedselementdetails.aspx?termid=22889</v>
      </c>
      <c r="Q4111" s="22">
        <v>63183</v>
      </c>
    </row>
    <row r="4112" spans="1:17" ht="72" x14ac:dyDescent="0.3">
      <c r="A4112" s="22" t="s">
        <v>7917</v>
      </c>
      <c r="B4112" s="22" t="s">
        <v>7919</v>
      </c>
      <c r="C4112" s="22"/>
      <c r="D4112" s="22" t="s">
        <v>7710</v>
      </c>
      <c r="E4112" s="22" t="s">
        <v>2400</v>
      </c>
      <c r="F4112" s="24" t="s">
        <v>2401</v>
      </c>
      <c r="G4112" s="23" t="s">
        <v>32</v>
      </c>
      <c r="H4112" s="22"/>
      <c r="I4112" s="22"/>
      <c r="J4112" s="22" t="s">
        <v>50</v>
      </c>
      <c r="K4112" s="24"/>
      <c r="L4112" s="24" t="s">
        <v>2402</v>
      </c>
      <c r="M4112" s="25" t="s">
        <v>2403</v>
      </c>
      <c r="N4112" s="22"/>
      <c r="O4112" s="22" t="s">
        <v>2404</v>
      </c>
      <c r="P4112" s="22" t="str">
        <f>HYPERLINK("https://ceds.ed.gov/cedselementdetails.aspx?termid=22888")</f>
        <v>https://ceds.ed.gov/cedselementdetails.aspx?termid=22888</v>
      </c>
      <c r="Q4112" s="22">
        <v>63184</v>
      </c>
    </row>
    <row r="4113" spans="1:17" ht="100.8" x14ac:dyDescent="0.3">
      <c r="A4113" s="22" t="s">
        <v>7917</v>
      </c>
      <c r="B4113" s="22" t="s">
        <v>7919</v>
      </c>
      <c r="C4113" s="22"/>
      <c r="D4113" s="22" t="s">
        <v>7710</v>
      </c>
      <c r="E4113" s="22" t="s">
        <v>2326</v>
      </c>
      <c r="F4113" s="24" t="s">
        <v>2327</v>
      </c>
      <c r="G4113" s="23" t="s">
        <v>32</v>
      </c>
      <c r="H4113" s="22"/>
      <c r="I4113" s="22"/>
      <c r="J4113" s="22" t="s">
        <v>118</v>
      </c>
      <c r="K4113" s="24"/>
      <c r="L4113" s="24" t="s">
        <v>2328</v>
      </c>
      <c r="M4113" s="25" t="s">
        <v>2329</v>
      </c>
      <c r="N4113" s="22" t="s">
        <v>2330</v>
      </c>
      <c r="O4113" s="22" t="s">
        <v>2331</v>
      </c>
      <c r="P4113" s="22" t="str">
        <f>HYPERLINK("https://ceds.ed.gov/cedselementdetails.aspx?termid=22483")</f>
        <v>https://ceds.ed.gov/cedselementdetails.aspx?termid=22483</v>
      </c>
      <c r="Q4113" s="22">
        <v>63199</v>
      </c>
    </row>
    <row r="4114" spans="1:17" ht="43.2" x14ac:dyDescent="0.3">
      <c r="A4114" s="22" t="s">
        <v>7917</v>
      </c>
      <c r="B4114" s="22" t="s">
        <v>7919</v>
      </c>
      <c r="C4114" s="22"/>
      <c r="D4114" s="22" t="s">
        <v>7710</v>
      </c>
      <c r="E4114" s="22" t="s">
        <v>2332</v>
      </c>
      <c r="F4114" s="24" t="s">
        <v>2333</v>
      </c>
      <c r="G4114" s="23" t="s">
        <v>32</v>
      </c>
      <c r="H4114" s="22"/>
      <c r="I4114" s="22"/>
      <c r="J4114" s="22" t="s">
        <v>118</v>
      </c>
      <c r="K4114" s="24"/>
      <c r="L4114" s="24"/>
      <c r="M4114" s="25" t="s">
        <v>2334</v>
      </c>
      <c r="N4114" s="22" t="s">
        <v>2335</v>
      </c>
      <c r="O4114" s="22" t="s">
        <v>2336</v>
      </c>
      <c r="P4114" s="22" t="str">
        <f>HYPERLINK("https://ceds.ed.gov/cedselementdetails.aspx?termid=22484")</f>
        <v>https://ceds.ed.gov/cedselementdetails.aspx?termid=22484</v>
      </c>
      <c r="Q4114" s="22">
        <v>63200</v>
      </c>
    </row>
    <row r="4115" spans="1:17" ht="57.6" x14ac:dyDescent="0.3">
      <c r="A4115" s="22" t="s">
        <v>7917</v>
      </c>
      <c r="B4115" s="22" t="s">
        <v>7919</v>
      </c>
      <c r="C4115" s="22" t="s">
        <v>7920</v>
      </c>
      <c r="D4115" s="22" t="s">
        <v>7710</v>
      </c>
      <c r="E4115" s="22" t="s">
        <v>2147</v>
      </c>
      <c r="F4115" s="24" t="s">
        <v>2148</v>
      </c>
      <c r="G4115" s="23" t="s">
        <v>32</v>
      </c>
      <c r="H4115" s="22"/>
      <c r="I4115" s="22"/>
      <c r="J4115" s="22" t="s">
        <v>50</v>
      </c>
      <c r="K4115" s="24"/>
      <c r="L4115" s="24"/>
      <c r="M4115" s="25" t="s">
        <v>2150</v>
      </c>
      <c r="N4115" s="22" t="s">
        <v>2151</v>
      </c>
      <c r="O4115" s="22" t="s">
        <v>2152</v>
      </c>
      <c r="P4115" s="22" t="str">
        <f>HYPERLINK("https://ceds.ed.gov/cedselementdetails.aspx?termid=21871")</f>
        <v>https://ceds.ed.gov/cedselementdetails.aspx?termid=21871</v>
      </c>
      <c r="Q4115" s="22">
        <v>60323</v>
      </c>
    </row>
    <row r="4116" spans="1:17" ht="409.6" x14ac:dyDescent="0.3">
      <c r="A4116" s="22" t="s">
        <v>7917</v>
      </c>
      <c r="B4116" s="22" t="s">
        <v>7919</v>
      </c>
      <c r="C4116" s="22" t="s">
        <v>7920</v>
      </c>
      <c r="D4116" s="22" t="s">
        <v>7710</v>
      </c>
      <c r="E4116" s="22" t="s">
        <v>2163</v>
      </c>
      <c r="F4116" s="24" t="s">
        <v>2164</v>
      </c>
      <c r="G4116" s="26" t="s">
        <v>8732</v>
      </c>
      <c r="H4116" s="22"/>
      <c r="I4116" s="22"/>
      <c r="J4116" s="22"/>
      <c r="K4116" s="24"/>
      <c r="L4116" s="24" t="s">
        <v>8041</v>
      </c>
      <c r="M4116" s="25" t="s">
        <v>2165</v>
      </c>
      <c r="N4116" s="22" t="s">
        <v>2166</v>
      </c>
      <c r="O4116" s="22" t="s">
        <v>2167</v>
      </c>
      <c r="P4116" s="22" t="str">
        <f>HYPERLINK("https://ceds.ed.gov/cedselementdetails.aspx?termid=21869")</f>
        <v>https://ceds.ed.gov/cedselementdetails.aspx?termid=21869</v>
      </c>
      <c r="Q4116" s="22">
        <v>60320</v>
      </c>
    </row>
    <row r="4117" spans="1:17" ht="28.8" x14ac:dyDescent="0.3">
      <c r="A4117" s="22" t="s">
        <v>7917</v>
      </c>
      <c r="B4117" s="22" t="s">
        <v>7919</v>
      </c>
      <c r="C4117" s="22" t="s">
        <v>7920</v>
      </c>
      <c r="D4117" s="22" t="s">
        <v>7710</v>
      </c>
      <c r="E4117" s="22" t="s">
        <v>2131</v>
      </c>
      <c r="F4117" s="24" t="s">
        <v>2132</v>
      </c>
      <c r="G4117" s="23" t="s">
        <v>32</v>
      </c>
      <c r="H4117" s="22"/>
      <c r="I4117" s="22"/>
      <c r="J4117" s="22" t="s">
        <v>113</v>
      </c>
      <c r="K4117" s="24"/>
      <c r="L4117" s="24"/>
      <c r="M4117" s="25" t="s">
        <v>2134</v>
      </c>
      <c r="N4117" s="22" t="s">
        <v>2135</v>
      </c>
      <c r="O4117" s="22" t="s">
        <v>2136</v>
      </c>
      <c r="P4117" s="22" t="str">
        <f>HYPERLINK("https://ceds.ed.gov/cedselementdetails.aspx?termid=22371")</f>
        <v>https://ceds.ed.gov/cedselementdetails.aspx?termid=22371</v>
      </c>
      <c r="Q4117" s="22">
        <v>61503</v>
      </c>
    </row>
    <row r="4118" spans="1:17" ht="43.2" x14ac:dyDescent="0.3">
      <c r="A4118" s="22" t="s">
        <v>7917</v>
      </c>
      <c r="B4118" s="22" t="s">
        <v>7919</v>
      </c>
      <c r="C4118" s="22" t="s">
        <v>7920</v>
      </c>
      <c r="D4118" s="22" t="s">
        <v>7710</v>
      </c>
      <c r="E4118" s="22" t="s">
        <v>2137</v>
      </c>
      <c r="F4118" s="24" t="s">
        <v>2138</v>
      </c>
      <c r="G4118" s="23" t="s">
        <v>32</v>
      </c>
      <c r="H4118" s="22"/>
      <c r="I4118" s="22"/>
      <c r="J4118" s="22" t="s">
        <v>85</v>
      </c>
      <c r="K4118" s="24"/>
      <c r="L4118" s="24"/>
      <c r="M4118" s="25" t="s">
        <v>2139</v>
      </c>
      <c r="N4118" s="22" t="s">
        <v>2140</v>
      </c>
      <c r="O4118" s="22" t="s">
        <v>2141</v>
      </c>
      <c r="P4118" s="22" t="str">
        <f>HYPERLINK("https://ceds.ed.gov/cedselementdetails.aspx?termid=22372")</f>
        <v>https://ceds.ed.gov/cedselementdetails.aspx?termid=22372</v>
      </c>
      <c r="Q4118" s="22">
        <v>61504</v>
      </c>
    </row>
    <row r="4119" spans="1:17" ht="43.2" x14ac:dyDescent="0.3">
      <c r="A4119" s="22" t="s">
        <v>7917</v>
      </c>
      <c r="B4119" s="22" t="s">
        <v>7919</v>
      </c>
      <c r="C4119" s="22" t="s">
        <v>7920</v>
      </c>
      <c r="D4119" s="22" t="s">
        <v>7710</v>
      </c>
      <c r="E4119" s="22" t="s">
        <v>2142</v>
      </c>
      <c r="F4119" s="24" t="s">
        <v>2143</v>
      </c>
      <c r="G4119" s="23" t="s">
        <v>32</v>
      </c>
      <c r="H4119" s="22"/>
      <c r="I4119" s="22"/>
      <c r="J4119" s="22" t="s">
        <v>50</v>
      </c>
      <c r="K4119" s="24"/>
      <c r="L4119" s="24"/>
      <c r="M4119" s="25" t="s">
        <v>2144</v>
      </c>
      <c r="N4119" s="22" t="s">
        <v>2145</v>
      </c>
      <c r="O4119" s="22" t="s">
        <v>2146</v>
      </c>
      <c r="P4119" s="22" t="str">
        <f>HYPERLINK("https://ceds.ed.gov/cedselementdetails.aspx?termid=22373")</f>
        <v>https://ceds.ed.gov/cedselementdetails.aspx?termid=22373</v>
      </c>
      <c r="Q4119" s="22">
        <v>61505</v>
      </c>
    </row>
    <row r="4120" spans="1:17" ht="43.2" x14ac:dyDescent="0.3">
      <c r="A4120" s="22" t="s">
        <v>7917</v>
      </c>
      <c r="B4120" s="22" t="s">
        <v>7919</v>
      </c>
      <c r="C4120" s="22" t="s">
        <v>7920</v>
      </c>
      <c r="D4120" s="22" t="s">
        <v>7710</v>
      </c>
      <c r="E4120" s="22" t="s">
        <v>2153</v>
      </c>
      <c r="F4120" s="24" t="s">
        <v>2154</v>
      </c>
      <c r="G4120" s="23" t="s">
        <v>32</v>
      </c>
      <c r="H4120" s="22"/>
      <c r="I4120" s="22"/>
      <c r="J4120" s="22" t="s">
        <v>85</v>
      </c>
      <c r="K4120" s="24"/>
      <c r="L4120" s="24"/>
      <c r="M4120" s="25" t="s">
        <v>2155</v>
      </c>
      <c r="N4120" s="22" t="s">
        <v>2156</v>
      </c>
      <c r="O4120" s="22" t="s">
        <v>2157</v>
      </c>
      <c r="P4120" s="22" t="str">
        <f>HYPERLINK("https://ceds.ed.gov/cedselementdetails.aspx?termid=22374")</f>
        <v>https://ceds.ed.gov/cedselementdetails.aspx?termid=22374</v>
      </c>
      <c r="Q4120" s="22">
        <v>61506</v>
      </c>
    </row>
    <row r="4121" spans="1:17" ht="43.2" x14ac:dyDescent="0.3">
      <c r="A4121" s="22" t="s">
        <v>7917</v>
      </c>
      <c r="B4121" s="22" t="s">
        <v>7919</v>
      </c>
      <c r="C4121" s="22" t="s">
        <v>7920</v>
      </c>
      <c r="D4121" s="22" t="s">
        <v>7710</v>
      </c>
      <c r="E4121" s="22" t="s">
        <v>2158</v>
      </c>
      <c r="F4121" s="24" t="s">
        <v>2159</v>
      </c>
      <c r="G4121" s="23" t="s">
        <v>32</v>
      </c>
      <c r="H4121" s="22"/>
      <c r="I4121" s="22"/>
      <c r="J4121" s="22" t="s">
        <v>50</v>
      </c>
      <c r="K4121" s="24"/>
      <c r="L4121" s="24"/>
      <c r="M4121" s="25" t="s">
        <v>2160</v>
      </c>
      <c r="N4121" s="22" t="s">
        <v>2161</v>
      </c>
      <c r="O4121" s="22" t="s">
        <v>2162</v>
      </c>
      <c r="P4121" s="22" t="str">
        <f>HYPERLINK("https://ceds.ed.gov/cedselementdetails.aspx?termid=22375")</f>
        <v>https://ceds.ed.gov/cedselementdetails.aspx?termid=22375</v>
      </c>
      <c r="Q4121" s="22">
        <v>61507</v>
      </c>
    </row>
    <row r="4122" spans="1:17" ht="115.2" x14ac:dyDescent="0.3">
      <c r="A4122" s="22" t="s">
        <v>7917</v>
      </c>
      <c r="B4122" s="22" t="s">
        <v>7919</v>
      </c>
      <c r="C4122" s="22" t="s">
        <v>7920</v>
      </c>
      <c r="D4122" s="22" t="s">
        <v>7710</v>
      </c>
      <c r="E4122" s="22" t="s">
        <v>2168</v>
      </c>
      <c r="F4122" s="24" t="s">
        <v>2169</v>
      </c>
      <c r="G4122" s="23" t="s">
        <v>32</v>
      </c>
      <c r="H4122" s="22"/>
      <c r="I4122" s="22"/>
      <c r="J4122" s="22" t="s">
        <v>2170</v>
      </c>
      <c r="K4122" s="24"/>
      <c r="L4122" s="24" t="s">
        <v>2171</v>
      </c>
      <c r="M4122" s="25" t="s">
        <v>2172</v>
      </c>
      <c r="N4122" s="22" t="s">
        <v>2173</v>
      </c>
      <c r="O4122" s="22" t="s">
        <v>2174</v>
      </c>
      <c r="P4122" s="22" t="str">
        <f>HYPERLINK("https://ceds.ed.gov/cedselementdetails.aspx?termid=22376")</f>
        <v>https://ceds.ed.gov/cedselementdetails.aspx?termid=22376</v>
      </c>
      <c r="Q4122" s="22">
        <v>61508</v>
      </c>
    </row>
    <row r="4123" spans="1:17" ht="100.8" x14ac:dyDescent="0.3">
      <c r="A4123" s="22" t="s">
        <v>7917</v>
      </c>
      <c r="B4123" s="22" t="s">
        <v>7921</v>
      </c>
      <c r="C4123" s="22"/>
      <c r="D4123" s="22" t="s">
        <v>7710</v>
      </c>
      <c r="E4123" s="22" t="s">
        <v>2430</v>
      </c>
      <c r="F4123" s="24" t="s">
        <v>2431</v>
      </c>
      <c r="G4123" s="26" t="s">
        <v>8413</v>
      </c>
      <c r="H4123" s="22"/>
      <c r="I4123" s="22" t="s">
        <v>172</v>
      </c>
      <c r="J4123" s="22"/>
      <c r="K4123" s="24" t="s">
        <v>8050</v>
      </c>
      <c r="L4123" s="24" t="s">
        <v>2432</v>
      </c>
      <c r="M4123" s="25" t="s">
        <v>2433</v>
      </c>
      <c r="N4123" s="22"/>
      <c r="O4123" s="22" t="s">
        <v>2434</v>
      </c>
      <c r="P4123" s="22" t="str">
        <f>HYPERLINK("https://ceds.ed.gov/cedselementdetails.aspx?termid=21877")</f>
        <v>https://ceds.ed.gov/cedselementdetails.aspx?termid=21877</v>
      </c>
      <c r="Q4123" s="22">
        <v>60328</v>
      </c>
    </row>
    <row r="4124" spans="1:17" ht="72" x14ac:dyDescent="0.3">
      <c r="A4124" s="22" t="s">
        <v>7917</v>
      </c>
      <c r="B4124" s="22" t="s">
        <v>7921</v>
      </c>
      <c r="C4124" s="22"/>
      <c r="D4124" s="22" t="s">
        <v>7710</v>
      </c>
      <c r="E4124" s="22" t="s">
        <v>2435</v>
      </c>
      <c r="F4124" s="24" t="s">
        <v>2436</v>
      </c>
      <c r="G4124" s="23" t="s">
        <v>32</v>
      </c>
      <c r="H4124" s="22"/>
      <c r="I4124" s="22" t="s">
        <v>172</v>
      </c>
      <c r="J4124" s="22" t="s">
        <v>317</v>
      </c>
      <c r="K4124" s="24" t="s">
        <v>8050</v>
      </c>
      <c r="L4124" s="24" t="s">
        <v>8051</v>
      </c>
      <c r="M4124" s="25" t="s">
        <v>2437</v>
      </c>
      <c r="N4124" s="22"/>
      <c r="O4124" s="22" t="s">
        <v>2438</v>
      </c>
      <c r="P4124" s="22" t="str">
        <f>HYPERLINK("https://ceds.ed.gov/cedselementdetails.aspx?termid=21878")</f>
        <v>https://ceds.ed.gov/cedselementdetails.aspx?termid=21878</v>
      </c>
      <c r="Q4124" s="22">
        <v>60329</v>
      </c>
    </row>
    <row r="4125" spans="1:17" x14ac:dyDescent="0.3">
      <c r="A4125" s="22" t="s">
        <v>7922</v>
      </c>
      <c r="B4125" s="22" t="s">
        <v>7923</v>
      </c>
      <c r="C4125" s="22"/>
      <c r="D4125" s="22" t="s">
        <v>7710</v>
      </c>
      <c r="E4125" s="22" t="s">
        <v>5265</v>
      </c>
      <c r="F4125" s="24" t="s">
        <v>5266</v>
      </c>
      <c r="G4125" s="23" t="s">
        <v>32</v>
      </c>
      <c r="H4125" s="22"/>
      <c r="I4125" s="22"/>
      <c r="J4125" s="22" t="s">
        <v>85</v>
      </c>
      <c r="K4125" s="24"/>
      <c r="L4125" s="24"/>
      <c r="M4125" s="25" t="s">
        <v>5267</v>
      </c>
      <c r="N4125" s="22"/>
      <c r="O4125" s="22" t="s">
        <v>5268</v>
      </c>
      <c r="P4125" s="22" t="str">
        <f>HYPERLINK("https://ceds.ed.gov/cedselementdetails.aspx?termid=21912")</f>
        <v>https://ceds.ed.gov/cedselementdetails.aspx?termid=21912</v>
      </c>
      <c r="Q4125" s="22">
        <v>59371</v>
      </c>
    </row>
    <row r="4126" spans="1:17" ht="259.2" x14ac:dyDescent="0.3">
      <c r="A4126" s="22" t="s">
        <v>7922</v>
      </c>
      <c r="B4126" s="22" t="s">
        <v>7923</v>
      </c>
      <c r="C4126" s="22"/>
      <c r="D4126" s="22" t="s">
        <v>7710</v>
      </c>
      <c r="E4126" s="22" t="s">
        <v>5269</v>
      </c>
      <c r="F4126" s="24" t="s">
        <v>5270</v>
      </c>
      <c r="G4126" s="26" t="s">
        <v>9014</v>
      </c>
      <c r="H4126" s="22"/>
      <c r="I4126" s="22"/>
      <c r="J4126" s="22"/>
      <c r="K4126" s="24"/>
      <c r="L4126" s="24" t="s">
        <v>5271</v>
      </c>
      <c r="M4126" s="25" t="s">
        <v>5272</v>
      </c>
      <c r="N4126" s="22"/>
      <c r="O4126" s="22" t="s">
        <v>5273</v>
      </c>
      <c r="P4126" s="22" t="str">
        <f>HYPERLINK("https://ceds.ed.gov/cedselementdetails.aspx?termid=21929")</f>
        <v>https://ceds.ed.gov/cedselementdetails.aspx?termid=21929</v>
      </c>
      <c r="Q4126" s="22">
        <v>59387</v>
      </c>
    </row>
    <row r="4127" spans="1:17" ht="28.8" x14ac:dyDescent="0.3">
      <c r="A4127" s="22" t="s">
        <v>7922</v>
      </c>
      <c r="B4127" s="22" t="s">
        <v>7923</v>
      </c>
      <c r="C4127" s="22"/>
      <c r="D4127" s="22" t="s">
        <v>7710</v>
      </c>
      <c r="E4127" s="22" t="s">
        <v>5166</v>
      </c>
      <c r="F4127" s="24" t="s">
        <v>8242</v>
      </c>
      <c r="G4127" s="23" t="s">
        <v>32</v>
      </c>
      <c r="H4127" s="22"/>
      <c r="I4127" s="22"/>
      <c r="J4127" s="22" t="s">
        <v>113</v>
      </c>
      <c r="K4127" s="24"/>
      <c r="L4127" s="24"/>
      <c r="M4127" s="25" t="s">
        <v>5167</v>
      </c>
      <c r="N4127" s="22"/>
      <c r="O4127" s="22" t="s">
        <v>5168</v>
      </c>
      <c r="P4127" s="22" t="str">
        <f>HYPERLINK("https://ceds.ed.gov/cedselementdetails.aspx?termid=22156")</f>
        <v>https://ceds.ed.gov/cedselementdetails.aspx?termid=22156</v>
      </c>
      <c r="Q4127" s="22">
        <v>60346</v>
      </c>
    </row>
    <row r="4128" spans="1:17" ht="28.8" x14ac:dyDescent="0.3">
      <c r="A4128" s="22" t="s">
        <v>7922</v>
      </c>
      <c r="B4128" s="22" t="s">
        <v>7923</v>
      </c>
      <c r="C4128" s="22"/>
      <c r="D4128" s="22" t="s">
        <v>7710</v>
      </c>
      <c r="E4128" s="22" t="s">
        <v>5286</v>
      </c>
      <c r="F4128" s="24" t="s">
        <v>5287</v>
      </c>
      <c r="G4128" s="23" t="s">
        <v>32</v>
      </c>
      <c r="H4128" s="22"/>
      <c r="I4128" s="22"/>
      <c r="J4128" s="22" t="s">
        <v>85</v>
      </c>
      <c r="K4128" s="24"/>
      <c r="L4128" s="24"/>
      <c r="M4128" s="25" t="s">
        <v>5288</v>
      </c>
      <c r="N4128" s="22"/>
      <c r="O4128" s="22" t="s">
        <v>5289</v>
      </c>
      <c r="P4128" s="22" t="str">
        <f>HYPERLINK("https://ceds.ed.gov/cedselementdetails.aspx?termid=22182")</f>
        <v>https://ceds.ed.gov/cedselementdetails.aspx?termid=22182</v>
      </c>
      <c r="Q4128" s="22">
        <v>59627</v>
      </c>
    </row>
    <row r="4129" spans="1:17" ht="57.6" x14ac:dyDescent="0.3">
      <c r="A4129" s="22" t="s">
        <v>7922</v>
      </c>
      <c r="B4129" s="22" t="s">
        <v>7923</v>
      </c>
      <c r="C4129" s="22"/>
      <c r="D4129" s="22" t="s">
        <v>7710</v>
      </c>
      <c r="E4129" s="22" t="s">
        <v>5282</v>
      </c>
      <c r="F4129" s="24" t="s">
        <v>5283</v>
      </c>
      <c r="G4129" s="23" t="s">
        <v>32</v>
      </c>
      <c r="H4129" s="22"/>
      <c r="I4129" s="22"/>
      <c r="J4129" s="22" t="s">
        <v>50</v>
      </c>
      <c r="K4129" s="24"/>
      <c r="L4129" s="24"/>
      <c r="M4129" s="25" t="s">
        <v>5284</v>
      </c>
      <c r="N4129" s="22"/>
      <c r="O4129" s="22" t="s">
        <v>5285</v>
      </c>
      <c r="P4129" s="22" t="str">
        <f>HYPERLINK("https://ceds.ed.gov/cedselementdetails.aspx?termid=21911")</f>
        <v>https://ceds.ed.gov/cedselementdetails.aspx?termid=21911</v>
      </c>
      <c r="Q4129" s="22">
        <v>59370</v>
      </c>
    </row>
    <row r="4130" spans="1:17" ht="43.2" x14ac:dyDescent="0.3">
      <c r="A4130" s="22" t="s">
        <v>7922</v>
      </c>
      <c r="B4130" s="22" t="s">
        <v>7923</v>
      </c>
      <c r="C4130" s="22"/>
      <c r="D4130" s="22" t="s">
        <v>7710</v>
      </c>
      <c r="E4130" s="22" t="s">
        <v>5100</v>
      </c>
      <c r="F4130" s="24" t="s">
        <v>5101</v>
      </c>
      <c r="G4130" s="23" t="s">
        <v>32</v>
      </c>
      <c r="H4130" s="22"/>
      <c r="I4130" s="22"/>
      <c r="J4130" s="22" t="s">
        <v>50</v>
      </c>
      <c r="K4130" s="24"/>
      <c r="L4130" s="24"/>
      <c r="M4130" s="25" t="s">
        <v>5102</v>
      </c>
      <c r="N4130" s="22"/>
      <c r="O4130" s="22" t="s">
        <v>5103</v>
      </c>
      <c r="P4130" s="22" t="str">
        <f>HYPERLINK("https://ceds.ed.gov/cedselementdetails.aspx?termid=22361")</f>
        <v>https://ceds.ed.gov/cedselementdetails.aspx?termid=22361</v>
      </c>
      <c r="Q4130" s="22">
        <v>61251</v>
      </c>
    </row>
    <row r="4131" spans="1:17" ht="28.8" x14ac:dyDescent="0.3">
      <c r="A4131" s="22" t="s">
        <v>7922</v>
      </c>
      <c r="B4131" s="22" t="s">
        <v>7923</v>
      </c>
      <c r="C4131" s="22"/>
      <c r="D4131" s="22" t="s">
        <v>7710</v>
      </c>
      <c r="E4131" s="22" t="s">
        <v>5104</v>
      </c>
      <c r="F4131" s="24" t="s">
        <v>5105</v>
      </c>
      <c r="G4131" s="23" t="s">
        <v>32</v>
      </c>
      <c r="H4131" s="22"/>
      <c r="I4131" s="22"/>
      <c r="J4131" s="22" t="s">
        <v>50</v>
      </c>
      <c r="K4131" s="24"/>
      <c r="L4131" s="24"/>
      <c r="M4131" s="25" t="s">
        <v>5106</v>
      </c>
      <c r="N4131" s="22"/>
      <c r="O4131" s="22" t="s">
        <v>5107</v>
      </c>
      <c r="P4131" s="22" t="str">
        <f>HYPERLINK("https://ceds.ed.gov/cedselementdetails.aspx?termid=22367")</f>
        <v>https://ceds.ed.gov/cedselementdetails.aspx?termid=22367</v>
      </c>
      <c r="Q4131" s="22">
        <v>61275</v>
      </c>
    </row>
    <row r="4132" spans="1:17" ht="43.2" x14ac:dyDescent="0.3">
      <c r="A4132" s="22" t="s">
        <v>7922</v>
      </c>
      <c r="B4132" s="22" t="s">
        <v>7923</v>
      </c>
      <c r="C4132" s="22"/>
      <c r="D4132" s="22" t="s">
        <v>7710</v>
      </c>
      <c r="E4132" s="22" t="s">
        <v>5125</v>
      </c>
      <c r="F4132" s="24" t="s">
        <v>5126</v>
      </c>
      <c r="G4132" s="23" t="s">
        <v>32</v>
      </c>
      <c r="H4132" s="22"/>
      <c r="I4132" s="22"/>
      <c r="J4132" s="22" t="s">
        <v>50</v>
      </c>
      <c r="K4132" s="24"/>
      <c r="L4132" s="24" t="s">
        <v>5127</v>
      </c>
      <c r="M4132" s="25" t="s">
        <v>5128</v>
      </c>
      <c r="N4132" s="22"/>
      <c r="O4132" s="22" t="s">
        <v>5129</v>
      </c>
      <c r="P4132" s="22" t="str">
        <f>HYPERLINK("https://ceds.ed.gov/cedselementdetails.aspx?termid=21923")</f>
        <v>https://ceds.ed.gov/cedselementdetails.aspx?termid=21923</v>
      </c>
      <c r="Q4132" s="22">
        <v>59381</v>
      </c>
    </row>
    <row r="4133" spans="1:17" ht="172.8" x14ac:dyDescent="0.3">
      <c r="A4133" s="22" t="s">
        <v>7922</v>
      </c>
      <c r="B4133" s="22" t="s">
        <v>7923</v>
      </c>
      <c r="C4133" s="22"/>
      <c r="D4133" s="22" t="s">
        <v>7710</v>
      </c>
      <c r="E4133" s="22" t="s">
        <v>5082</v>
      </c>
      <c r="F4133" s="24" t="s">
        <v>5083</v>
      </c>
      <c r="G4133" s="26" t="s">
        <v>8999</v>
      </c>
      <c r="H4133" s="22"/>
      <c r="I4133" s="22"/>
      <c r="J4133" s="22"/>
      <c r="K4133" s="24"/>
      <c r="L4133" s="24" t="s">
        <v>8240</v>
      </c>
      <c r="M4133" s="25" t="s">
        <v>5085</v>
      </c>
      <c r="N4133" s="22"/>
      <c r="O4133" s="22" t="s">
        <v>5086</v>
      </c>
      <c r="P4133" s="22" t="str">
        <f>HYPERLINK("https://ceds.ed.gov/cedselementdetails.aspx?termid=22358")</f>
        <v>https://ceds.ed.gov/cedselementdetails.aspx?termid=22358</v>
      </c>
      <c r="Q4133" s="22">
        <v>61241</v>
      </c>
    </row>
    <row r="4134" spans="1:17" ht="57.6" x14ac:dyDescent="0.3">
      <c r="A4134" s="22" t="s">
        <v>7922</v>
      </c>
      <c r="B4134" s="22" t="s">
        <v>7923</v>
      </c>
      <c r="C4134" s="22"/>
      <c r="D4134" s="22" t="s">
        <v>7710</v>
      </c>
      <c r="E4134" s="22" t="s">
        <v>5087</v>
      </c>
      <c r="F4134" s="24" t="s">
        <v>5088</v>
      </c>
      <c r="G4134" s="26" t="s">
        <v>9000</v>
      </c>
      <c r="H4134" s="22"/>
      <c r="I4134" s="22"/>
      <c r="J4134" s="22"/>
      <c r="K4134" s="24"/>
      <c r="L4134" s="24"/>
      <c r="M4134" s="25" t="s">
        <v>5089</v>
      </c>
      <c r="N4134" s="22"/>
      <c r="O4134" s="22" t="s">
        <v>5090</v>
      </c>
      <c r="P4134" s="22" t="str">
        <f>HYPERLINK("https://ceds.ed.gov/cedselementdetails.aspx?termid=22359")</f>
        <v>https://ceds.ed.gov/cedselementdetails.aspx?termid=22359</v>
      </c>
      <c r="Q4134" s="22">
        <v>61245</v>
      </c>
    </row>
    <row r="4135" spans="1:17" ht="100.8" x14ac:dyDescent="0.3">
      <c r="A4135" s="22" t="s">
        <v>7922</v>
      </c>
      <c r="B4135" s="22" t="s">
        <v>7923</v>
      </c>
      <c r="C4135" s="22"/>
      <c r="D4135" s="22" t="s">
        <v>7710</v>
      </c>
      <c r="E4135" s="22" t="s">
        <v>5091</v>
      </c>
      <c r="F4135" s="24" t="s">
        <v>5092</v>
      </c>
      <c r="G4135" s="26" t="s">
        <v>9001</v>
      </c>
      <c r="H4135" s="22"/>
      <c r="I4135" s="22"/>
      <c r="J4135" s="22"/>
      <c r="K4135" s="24"/>
      <c r="L4135" s="24" t="s">
        <v>5093</v>
      </c>
      <c r="M4135" s="25" t="s">
        <v>5094</v>
      </c>
      <c r="N4135" s="22"/>
      <c r="O4135" s="22" t="s">
        <v>5095</v>
      </c>
      <c r="P4135" s="22" t="str">
        <f>HYPERLINK("https://ceds.ed.gov/cedselementdetails.aspx?termid=22360")</f>
        <v>https://ceds.ed.gov/cedselementdetails.aspx?termid=22360</v>
      </c>
      <c r="Q4135" s="22">
        <v>61247</v>
      </c>
    </row>
    <row r="4136" spans="1:17" ht="100.8" x14ac:dyDescent="0.3">
      <c r="A4136" s="22" t="s">
        <v>7922</v>
      </c>
      <c r="B4136" s="22" t="s">
        <v>7923</v>
      </c>
      <c r="C4136" s="22"/>
      <c r="D4136" s="22" t="s">
        <v>7710</v>
      </c>
      <c r="E4136" s="22" t="s">
        <v>5096</v>
      </c>
      <c r="F4136" s="24" t="s">
        <v>5097</v>
      </c>
      <c r="G4136" s="26" t="s">
        <v>9002</v>
      </c>
      <c r="H4136" s="22"/>
      <c r="I4136" s="22"/>
      <c r="J4136" s="22"/>
      <c r="K4136" s="24"/>
      <c r="L4136" s="24"/>
      <c r="M4136" s="25" t="s">
        <v>5098</v>
      </c>
      <c r="N4136" s="22"/>
      <c r="O4136" s="22" t="s">
        <v>5099</v>
      </c>
      <c r="P4136" s="22" t="str">
        <f>HYPERLINK("https://ceds.ed.gov/cedselementdetails.aspx?termid=22537")</f>
        <v>https://ceds.ed.gov/cedselementdetails.aspx?termid=22537</v>
      </c>
      <c r="Q4136" s="22">
        <v>61893</v>
      </c>
    </row>
    <row r="4137" spans="1:17" ht="57.6" x14ac:dyDescent="0.3">
      <c r="A4137" s="22" t="s">
        <v>7922</v>
      </c>
      <c r="B4137" s="22" t="s">
        <v>7923</v>
      </c>
      <c r="C4137" s="22"/>
      <c r="D4137" s="22" t="s">
        <v>7710</v>
      </c>
      <c r="E4137" s="22" t="s">
        <v>5108</v>
      </c>
      <c r="F4137" s="24" t="s">
        <v>5109</v>
      </c>
      <c r="G4137" s="26" t="s">
        <v>22</v>
      </c>
      <c r="H4137" s="22"/>
      <c r="I4137" s="22"/>
      <c r="J4137" s="22"/>
      <c r="K4137" s="24"/>
      <c r="L4137" s="24" t="s">
        <v>5110</v>
      </c>
      <c r="M4137" s="25" t="s">
        <v>5111</v>
      </c>
      <c r="N4137" s="22"/>
      <c r="O4137" s="22" t="s">
        <v>5112</v>
      </c>
      <c r="P4137" s="22" t="str">
        <f>HYPERLINK("https://ceds.ed.gov/cedselementdetails.aspx?termid=22362")</f>
        <v>https://ceds.ed.gov/cedselementdetails.aspx?termid=22362</v>
      </c>
      <c r="Q4137" s="22">
        <v>61255</v>
      </c>
    </row>
    <row r="4138" spans="1:17" ht="129.6" x14ac:dyDescent="0.3">
      <c r="A4138" s="22" t="s">
        <v>7922</v>
      </c>
      <c r="B4138" s="22" t="s">
        <v>7923</v>
      </c>
      <c r="C4138" s="22"/>
      <c r="D4138" s="22" t="s">
        <v>7710</v>
      </c>
      <c r="E4138" s="22" t="s">
        <v>5130</v>
      </c>
      <c r="F4138" s="24" t="s">
        <v>8241</v>
      </c>
      <c r="G4138" s="26" t="s">
        <v>9004</v>
      </c>
      <c r="H4138" s="22"/>
      <c r="I4138" s="22"/>
      <c r="J4138" s="22"/>
      <c r="K4138" s="24"/>
      <c r="L4138" s="24"/>
      <c r="M4138" s="25" t="s">
        <v>5131</v>
      </c>
      <c r="N4138" s="22"/>
      <c r="O4138" s="22" t="s">
        <v>5132</v>
      </c>
      <c r="P4138" s="22" t="str">
        <f>HYPERLINK("https://ceds.ed.gov/cedselementdetails.aspx?termid=22363")</f>
        <v>https://ceds.ed.gov/cedselementdetails.aspx?termid=22363</v>
      </c>
      <c r="Q4138" s="22">
        <v>61259</v>
      </c>
    </row>
    <row r="4139" spans="1:17" ht="115.2" x14ac:dyDescent="0.3">
      <c r="A4139" s="22" t="s">
        <v>7922</v>
      </c>
      <c r="B4139" s="22" t="s">
        <v>7923</v>
      </c>
      <c r="C4139" s="22"/>
      <c r="D4139" s="22" t="s">
        <v>7710</v>
      </c>
      <c r="E4139" s="22" t="s">
        <v>5133</v>
      </c>
      <c r="F4139" s="24" t="s">
        <v>5134</v>
      </c>
      <c r="G4139" s="26" t="s">
        <v>9005</v>
      </c>
      <c r="H4139" s="22"/>
      <c r="I4139" s="22"/>
      <c r="J4139" s="22"/>
      <c r="K4139" s="24"/>
      <c r="L4139" s="24" t="s">
        <v>5135</v>
      </c>
      <c r="M4139" s="25" t="s">
        <v>5136</v>
      </c>
      <c r="N4139" s="22"/>
      <c r="O4139" s="22" t="s">
        <v>5137</v>
      </c>
      <c r="P4139" s="22" t="str">
        <f>HYPERLINK("https://ceds.ed.gov/cedselementdetails.aspx?termid=21879")</f>
        <v>https://ceds.ed.gov/cedselementdetails.aspx?termid=21879</v>
      </c>
      <c r="Q4139" s="22">
        <v>60330</v>
      </c>
    </row>
    <row r="4140" spans="1:17" ht="43.2" x14ac:dyDescent="0.3">
      <c r="A4140" s="22" t="s">
        <v>7922</v>
      </c>
      <c r="B4140" s="22" t="s">
        <v>7923</v>
      </c>
      <c r="C4140" s="22"/>
      <c r="D4140" s="22" t="s">
        <v>7710</v>
      </c>
      <c r="E4140" s="22" t="s">
        <v>5138</v>
      </c>
      <c r="F4140" s="24" t="s">
        <v>5139</v>
      </c>
      <c r="G4140" s="23" t="s">
        <v>32</v>
      </c>
      <c r="H4140" s="22"/>
      <c r="I4140" s="22"/>
      <c r="J4140" s="22" t="s">
        <v>113</v>
      </c>
      <c r="K4140" s="24"/>
      <c r="L4140" s="24"/>
      <c r="M4140" s="25" t="s">
        <v>5140</v>
      </c>
      <c r="N4140" s="22"/>
      <c r="O4140" s="22" t="s">
        <v>5141</v>
      </c>
      <c r="P4140" s="22" t="str">
        <f>HYPERLINK("https://ceds.ed.gov/cedselementdetails.aspx?termid=22159")</f>
        <v>https://ceds.ed.gov/cedselementdetails.aspx?termid=22159</v>
      </c>
      <c r="Q4140" s="22">
        <v>60349</v>
      </c>
    </row>
    <row r="4141" spans="1:17" ht="86.4" x14ac:dyDescent="0.3">
      <c r="A4141" s="22" t="s">
        <v>7922</v>
      </c>
      <c r="B4141" s="22" t="s">
        <v>7923</v>
      </c>
      <c r="C4141" s="22"/>
      <c r="D4141" s="22" t="s">
        <v>7710</v>
      </c>
      <c r="E4141" s="22" t="s">
        <v>5142</v>
      </c>
      <c r="F4141" s="24" t="s">
        <v>5143</v>
      </c>
      <c r="G4141" s="26" t="s">
        <v>9006</v>
      </c>
      <c r="H4141" s="22"/>
      <c r="I4141" s="22"/>
      <c r="J4141" s="22"/>
      <c r="K4141" s="24"/>
      <c r="L4141" s="24"/>
      <c r="M4141" s="25" t="s">
        <v>5144</v>
      </c>
      <c r="N4141" s="22"/>
      <c r="O4141" s="22" t="s">
        <v>5145</v>
      </c>
      <c r="P4141" s="22" t="str">
        <f>HYPERLINK("https://ceds.ed.gov/cedselementdetails.aspx?termid=22364")</f>
        <v>https://ceds.ed.gov/cedselementdetails.aspx?termid=22364</v>
      </c>
      <c r="Q4141" s="22">
        <v>61263</v>
      </c>
    </row>
    <row r="4142" spans="1:17" ht="43.2" x14ac:dyDescent="0.3">
      <c r="A4142" s="22" t="s">
        <v>7922</v>
      </c>
      <c r="B4142" s="22" t="s">
        <v>7923</v>
      </c>
      <c r="C4142" s="22"/>
      <c r="D4142" s="22" t="s">
        <v>7710</v>
      </c>
      <c r="E4142" s="22" t="s">
        <v>5146</v>
      </c>
      <c r="F4142" s="24" t="s">
        <v>5147</v>
      </c>
      <c r="G4142" s="23" t="s">
        <v>32</v>
      </c>
      <c r="H4142" s="22"/>
      <c r="I4142" s="22"/>
      <c r="J4142" s="22" t="s">
        <v>157</v>
      </c>
      <c r="K4142" s="24"/>
      <c r="L4142" s="24"/>
      <c r="M4142" s="25" t="s">
        <v>5148</v>
      </c>
      <c r="N4142" s="22"/>
      <c r="O4142" s="22" t="s">
        <v>5149</v>
      </c>
      <c r="P4142" s="22" t="str">
        <f>HYPERLINK("https://ceds.ed.gov/cedselementdetails.aspx?termid=22157")</f>
        <v>https://ceds.ed.gov/cedselementdetails.aspx?termid=22157</v>
      </c>
      <c r="Q4142" s="22">
        <v>60347</v>
      </c>
    </row>
    <row r="4143" spans="1:17" ht="72" x14ac:dyDescent="0.3">
      <c r="A4143" s="22" t="s">
        <v>7922</v>
      </c>
      <c r="B4143" s="22" t="s">
        <v>7923</v>
      </c>
      <c r="C4143" s="22"/>
      <c r="D4143" s="22" t="s">
        <v>7710</v>
      </c>
      <c r="E4143" s="22" t="s">
        <v>5169</v>
      </c>
      <c r="F4143" s="24" t="s">
        <v>5170</v>
      </c>
      <c r="G4143" s="23" t="s">
        <v>5171</v>
      </c>
      <c r="H4143" s="22"/>
      <c r="I4143" s="22"/>
      <c r="J4143" s="22"/>
      <c r="K4143" s="24"/>
      <c r="L4143" s="24"/>
      <c r="M4143" s="25" t="s">
        <v>5172</v>
      </c>
      <c r="N4143" s="22"/>
      <c r="O4143" s="22" t="s">
        <v>5173</v>
      </c>
      <c r="P4143" s="22" t="str">
        <f>HYPERLINK("https://ceds.ed.gov/cedselementdetails.aspx?termid=22365")</f>
        <v>https://ceds.ed.gov/cedselementdetails.aspx?termid=22365</v>
      </c>
      <c r="Q4143" s="22">
        <v>61267</v>
      </c>
    </row>
    <row r="4144" spans="1:17" ht="144" x14ac:dyDescent="0.3">
      <c r="A4144" s="22" t="s">
        <v>7922</v>
      </c>
      <c r="B4144" s="22" t="s">
        <v>7923</v>
      </c>
      <c r="C4144" s="22"/>
      <c r="D4144" s="22" t="s">
        <v>7710</v>
      </c>
      <c r="E4144" s="22" t="s">
        <v>5174</v>
      </c>
      <c r="F4144" s="24" t="s">
        <v>5175</v>
      </c>
      <c r="G4144" s="26" t="s">
        <v>9007</v>
      </c>
      <c r="H4144" s="22"/>
      <c r="I4144" s="22"/>
      <c r="J4144" s="22"/>
      <c r="K4144" s="24"/>
      <c r="L4144" s="24"/>
      <c r="M4144" s="25" t="s">
        <v>5176</v>
      </c>
      <c r="N4144" s="22"/>
      <c r="O4144" s="22" t="s">
        <v>5177</v>
      </c>
      <c r="P4144" s="22" t="str">
        <f>HYPERLINK("https://ceds.ed.gov/cedselementdetails.aspx?termid=22366")</f>
        <v>https://ceds.ed.gov/cedselementdetails.aspx?termid=22366</v>
      </c>
      <c r="Q4144" s="22">
        <v>61271</v>
      </c>
    </row>
    <row r="4145" spans="1:17" ht="409.6" x14ac:dyDescent="0.3">
      <c r="A4145" s="22" t="s">
        <v>7922</v>
      </c>
      <c r="B4145" s="22" t="s">
        <v>7923</v>
      </c>
      <c r="C4145" s="22"/>
      <c r="D4145" s="22" t="s">
        <v>7710</v>
      </c>
      <c r="E4145" s="22" t="s">
        <v>5221</v>
      </c>
      <c r="F4145" s="24" t="s">
        <v>5222</v>
      </c>
      <c r="G4145" s="26" t="s">
        <v>9013</v>
      </c>
      <c r="H4145" s="22"/>
      <c r="I4145" s="22"/>
      <c r="J4145" s="22"/>
      <c r="K4145" s="24"/>
      <c r="L4145" s="24"/>
      <c r="M4145" s="25" t="s">
        <v>5223</v>
      </c>
      <c r="N4145" s="22"/>
      <c r="O4145" s="22" t="s">
        <v>5224</v>
      </c>
      <c r="P4145" s="22" t="str">
        <f>HYPERLINK("https://ceds.ed.gov/cedselementdetails.aspx?termid=22370")</f>
        <v>https://ceds.ed.gov/cedselementdetails.aspx?termid=22370</v>
      </c>
      <c r="Q4145" s="22">
        <v>61289</v>
      </c>
    </row>
    <row r="4146" spans="1:17" ht="302.39999999999998" x14ac:dyDescent="0.3">
      <c r="A4146" s="22" t="s">
        <v>7922</v>
      </c>
      <c r="B4146" s="22" t="s">
        <v>7923</v>
      </c>
      <c r="C4146" s="22"/>
      <c r="D4146" s="22" t="s">
        <v>7710</v>
      </c>
      <c r="E4146" s="22" t="s">
        <v>5207</v>
      </c>
      <c r="F4146" s="24" t="s">
        <v>5208</v>
      </c>
      <c r="G4146" s="26" t="s">
        <v>9012</v>
      </c>
      <c r="H4146" s="22"/>
      <c r="I4146" s="22"/>
      <c r="J4146" s="22"/>
      <c r="K4146" s="24"/>
      <c r="L4146" s="24" t="s">
        <v>5209</v>
      </c>
      <c r="M4146" s="25" t="s">
        <v>5210</v>
      </c>
      <c r="N4146" s="22"/>
      <c r="O4146" s="22" t="s">
        <v>5211</v>
      </c>
      <c r="P4146" s="22" t="str">
        <f>HYPERLINK("https://ceds.ed.gov/cedselementdetails.aspx?termid=22368")</f>
        <v>https://ceds.ed.gov/cedselementdetails.aspx?termid=22368</v>
      </c>
      <c r="Q4146" s="22">
        <v>61279</v>
      </c>
    </row>
    <row r="4147" spans="1:17" ht="409.6" x14ac:dyDescent="0.3">
      <c r="A4147" s="22" t="s">
        <v>7922</v>
      </c>
      <c r="B4147" s="22" t="s">
        <v>7923</v>
      </c>
      <c r="C4147" s="22"/>
      <c r="D4147" s="22" t="s">
        <v>7710</v>
      </c>
      <c r="E4147" s="22" t="s">
        <v>5178</v>
      </c>
      <c r="F4147" s="24" t="s">
        <v>5179</v>
      </c>
      <c r="G4147" s="26" t="s">
        <v>8747</v>
      </c>
      <c r="H4147" s="22"/>
      <c r="I4147" s="22"/>
      <c r="J4147" s="22"/>
      <c r="K4147" s="24"/>
      <c r="L4147" s="24"/>
      <c r="M4147" s="25" t="s">
        <v>5180</v>
      </c>
      <c r="N4147" s="22"/>
      <c r="O4147" s="22" t="s">
        <v>5181</v>
      </c>
      <c r="P4147" s="22" t="str">
        <f>HYPERLINK("https://ceds.ed.gov/cedselementdetails.aspx?termid=22212")</f>
        <v>https://ceds.ed.gov/cedselementdetails.aspx?termid=22212</v>
      </c>
      <c r="Q4147" s="22">
        <v>59716</v>
      </c>
    </row>
    <row r="4148" spans="1:17" ht="28.8" x14ac:dyDescent="0.3">
      <c r="A4148" s="22" t="s">
        <v>7922</v>
      </c>
      <c r="B4148" s="22" t="s">
        <v>7923</v>
      </c>
      <c r="C4148" s="22"/>
      <c r="D4148" s="22" t="s">
        <v>7710</v>
      </c>
      <c r="E4148" s="22" t="s">
        <v>5278</v>
      </c>
      <c r="F4148" s="24" t="s">
        <v>5279</v>
      </c>
      <c r="G4148" s="23" t="s">
        <v>32</v>
      </c>
      <c r="H4148" s="22"/>
      <c r="I4148" s="22"/>
      <c r="J4148" s="22" t="s">
        <v>317</v>
      </c>
      <c r="K4148" s="24"/>
      <c r="L4148" s="24"/>
      <c r="M4148" s="25" t="s">
        <v>5280</v>
      </c>
      <c r="N4148" s="22"/>
      <c r="O4148" s="22" t="s">
        <v>5281</v>
      </c>
      <c r="P4148" s="22" t="str">
        <f>HYPERLINK("https://ceds.ed.gov/cedselementdetails.aspx?termid=21926")</f>
        <v>https://ceds.ed.gov/cedselementdetails.aspx?termid=21926</v>
      </c>
      <c r="Q4148" s="22">
        <v>59384</v>
      </c>
    </row>
    <row r="4149" spans="1:17" ht="28.8" x14ac:dyDescent="0.3">
      <c r="A4149" s="22" t="s">
        <v>7922</v>
      </c>
      <c r="B4149" s="22" t="s">
        <v>7923</v>
      </c>
      <c r="C4149" s="22"/>
      <c r="D4149" s="22" t="s">
        <v>7710</v>
      </c>
      <c r="E4149" s="22" t="s">
        <v>5274</v>
      </c>
      <c r="F4149" s="24" t="s">
        <v>5275</v>
      </c>
      <c r="G4149" s="23" t="s">
        <v>32</v>
      </c>
      <c r="H4149" s="22"/>
      <c r="I4149" s="22"/>
      <c r="J4149" s="22" t="s">
        <v>317</v>
      </c>
      <c r="K4149" s="24"/>
      <c r="L4149" s="24"/>
      <c r="M4149" s="25" t="s">
        <v>5276</v>
      </c>
      <c r="N4149" s="22"/>
      <c r="O4149" s="22" t="s">
        <v>5277</v>
      </c>
      <c r="P4149" s="22" t="str">
        <f>HYPERLINK("https://ceds.ed.gov/cedselementdetails.aspx?termid=21927")</f>
        <v>https://ceds.ed.gov/cedselementdetails.aspx?termid=21927</v>
      </c>
      <c r="Q4149" s="22">
        <v>59385</v>
      </c>
    </row>
    <row r="4150" spans="1:17" ht="144" x14ac:dyDescent="0.3">
      <c r="A4150" s="22" t="s">
        <v>7922</v>
      </c>
      <c r="B4150" s="22" t="s">
        <v>7923</v>
      </c>
      <c r="C4150" s="22"/>
      <c r="D4150" s="22" t="s">
        <v>7710</v>
      </c>
      <c r="E4150" s="22" t="s">
        <v>5186</v>
      </c>
      <c r="F4150" s="24" t="s">
        <v>5187</v>
      </c>
      <c r="G4150" s="26" t="s">
        <v>9009</v>
      </c>
      <c r="H4150" s="22"/>
      <c r="I4150" s="22"/>
      <c r="J4150" s="22"/>
      <c r="K4150" s="24"/>
      <c r="L4150" s="24"/>
      <c r="M4150" s="25" t="s">
        <v>5188</v>
      </c>
      <c r="N4150" s="22"/>
      <c r="O4150" s="22" t="s">
        <v>5189</v>
      </c>
      <c r="P4150" s="22" t="str">
        <f>HYPERLINK("https://ceds.ed.gov/cedselementdetails.aspx?termid=21924")</f>
        <v>https://ceds.ed.gov/cedselementdetails.aspx?termid=21924</v>
      </c>
      <c r="Q4150" s="22">
        <v>59382</v>
      </c>
    </row>
    <row r="4151" spans="1:17" ht="72" x14ac:dyDescent="0.3">
      <c r="A4151" s="22" t="s">
        <v>7922</v>
      </c>
      <c r="B4151" s="22" t="s">
        <v>7923</v>
      </c>
      <c r="C4151" s="22"/>
      <c r="D4151" s="22" t="s">
        <v>7710</v>
      </c>
      <c r="E4151" s="22" t="s">
        <v>5182</v>
      </c>
      <c r="F4151" s="24" t="s">
        <v>5183</v>
      </c>
      <c r="G4151" s="26" t="s">
        <v>9008</v>
      </c>
      <c r="H4151" s="22"/>
      <c r="I4151" s="22"/>
      <c r="J4151" s="22"/>
      <c r="K4151" s="24"/>
      <c r="L4151" s="24"/>
      <c r="M4151" s="25" t="s">
        <v>5184</v>
      </c>
      <c r="N4151" s="22"/>
      <c r="O4151" s="22" t="s">
        <v>5185</v>
      </c>
      <c r="P4151" s="22" t="str">
        <f>HYPERLINK("https://ceds.ed.gov/cedselementdetails.aspx?termid=22005")</f>
        <v>https://ceds.ed.gov/cedselementdetails.aspx?termid=22005</v>
      </c>
      <c r="Q4151" s="22">
        <v>60698</v>
      </c>
    </row>
    <row r="4152" spans="1:17" ht="100.8" x14ac:dyDescent="0.3">
      <c r="A4152" s="22" t="s">
        <v>7922</v>
      </c>
      <c r="B4152" s="22" t="s">
        <v>7923</v>
      </c>
      <c r="C4152" s="22"/>
      <c r="D4152" s="22" t="s">
        <v>7710</v>
      </c>
      <c r="E4152" s="22" t="s">
        <v>5190</v>
      </c>
      <c r="F4152" s="24" t="s">
        <v>5191</v>
      </c>
      <c r="G4152" s="26" t="s">
        <v>9010</v>
      </c>
      <c r="H4152" s="22"/>
      <c r="I4152" s="22"/>
      <c r="J4152" s="22"/>
      <c r="K4152" s="24"/>
      <c r="L4152" s="24"/>
      <c r="M4152" s="25" t="s">
        <v>5192</v>
      </c>
      <c r="N4152" s="22"/>
      <c r="O4152" s="22" t="s">
        <v>5193</v>
      </c>
      <c r="P4152" s="22" t="str">
        <f>HYPERLINK("https://ceds.ed.gov/cedselementdetails.aspx?termid=22543")</f>
        <v>https://ceds.ed.gov/cedselementdetails.aspx?termid=22543</v>
      </c>
      <c r="Q4152" s="22">
        <v>61897</v>
      </c>
    </row>
    <row r="4153" spans="1:17" ht="57.6" x14ac:dyDescent="0.3">
      <c r="A4153" s="22" t="s">
        <v>7922</v>
      </c>
      <c r="B4153" s="22" t="s">
        <v>7923</v>
      </c>
      <c r="C4153" s="22"/>
      <c r="D4153" s="22" t="s">
        <v>7710</v>
      </c>
      <c r="E4153" s="22" t="s">
        <v>5194</v>
      </c>
      <c r="F4153" s="24" t="s">
        <v>5195</v>
      </c>
      <c r="G4153" s="26" t="s">
        <v>9011</v>
      </c>
      <c r="H4153" s="22"/>
      <c r="I4153" s="22"/>
      <c r="J4153" s="22"/>
      <c r="K4153" s="24"/>
      <c r="L4153" s="24"/>
      <c r="M4153" s="25" t="s">
        <v>5196</v>
      </c>
      <c r="N4153" s="22"/>
      <c r="O4153" s="22" t="s">
        <v>5197</v>
      </c>
      <c r="P4153" s="22" t="str">
        <f>HYPERLINK("https://ceds.ed.gov/cedselementdetails.aspx?termid=21928")</f>
        <v>https://ceds.ed.gov/cedselementdetails.aspx?termid=21928</v>
      </c>
      <c r="Q4153" s="22">
        <v>59386</v>
      </c>
    </row>
    <row r="4154" spans="1:17" ht="172.8" x14ac:dyDescent="0.3">
      <c r="A4154" s="22" t="s">
        <v>7922</v>
      </c>
      <c r="B4154" s="22" t="s">
        <v>7923</v>
      </c>
      <c r="C4154" s="22"/>
      <c r="D4154" s="22" t="s">
        <v>7710</v>
      </c>
      <c r="E4154" s="22" t="s">
        <v>5198</v>
      </c>
      <c r="F4154" s="24" t="s">
        <v>5199</v>
      </c>
      <c r="G4154" s="23" t="s">
        <v>7423</v>
      </c>
      <c r="H4154" s="22"/>
      <c r="I4154" s="22"/>
      <c r="J4154" s="22"/>
      <c r="K4154" s="24"/>
      <c r="L4154" s="24" t="s">
        <v>8243</v>
      </c>
      <c r="M4154" s="25" t="s">
        <v>5200</v>
      </c>
      <c r="N4154" s="22"/>
      <c r="O4154" s="22" t="s">
        <v>5201</v>
      </c>
      <c r="P4154" s="22" t="str">
        <f>HYPERLINK("https://ceds.ed.gov/cedselementdetails.aspx?termid=21920")</f>
        <v>https://ceds.ed.gov/cedselementdetails.aspx?termid=21920</v>
      </c>
      <c r="Q4154" s="22">
        <v>59378</v>
      </c>
    </row>
    <row r="4155" spans="1:17" ht="187.2" x14ac:dyDescent="0.3">
      <c r="A4155" s="22" t="s">
        <v>7922</v>
      </c>
      <c r="B4155" s="22" t="s">
        <v>7923</v>
      </c>
      <c r="C4155" s="22"/>
      <c r="D4155" s="22" t="s">
        <v>7710</v>
      </c>
      <c r="E4155" s="22" t="s">
        <v>5241</v>
      </c>
      <c r="F4155" s="24" t="s">
        <v>5242</v>
      </c>
      <c r="G4155" s="23" t="s">
        <v>32</v>
      </c>
      <c r="H4155" s="22"/>
      <c r="I4155" s="22"/>
      <c r="J4155" s="22" t="s">
        <v>85</v>
      </c>
      <c r="K4155" s="24"/>
      <c r="L4155" s="24" t="s">
        <v>8244</v>
      </c>
      <c r="M4155" s="25" t="s">
        <v>5243</v>
      </c>
      <c r="N4155" s="22"/>
      <c r="O4155" s="22" t="s">
        <v>5244</v>
      </c>
      <c r="P4155" s="22" t="str">
        <f>HYPERLINK("https://ceds.ed.gov/cedselementdetails.aspx?termid=21914")</f>
        <v>https://ceds.ed.gov/cedselementdetails.aspx?termid=21914</v>
      </c>
      <c r="Q4155" s="22">
        <v>59373</v>
      </c>
    </row>
    <row r="4156" spans="1:17" ht="216" x14ac:dyDescent="0.3">
      <c r="A4156" s="22" t="s">
        <v>7922</v>
      </c>
      <c r="B4156" s="22" t="s">
        <v>7923</v>
      </c>
      <c r="C4156" s="22"/>
      <c r="D4156" s="22" t="s">
        <v>7710</v>
      </c>
      <c r="E4156" s="22" t="s">
        <v>5245</v>
      </c>
      <c r="F4156" s="24" t="s">
        <v>5246</v>
      </c>
      <c r="G4156" s="23" t="s">
        <v>32</v>
      </c>
      <c r="H4156" s="22"/>
      <c r="I4156" s="22"/>
      <c r="J4156" s="22" t="s">
        <v>85</v>
      </c>
      <c r="K4156" s="24"/>
      <c r="L4156" s="24" t="s">
        <v>8245</v>
      </c>
      <c r="M4156" s="25" t="s">
        <v>5247</v>
      </c>
      <c r="N4156" s="22"/>
      <c r="O4156" s="22" t="s">
        <v>5248</v>
      </c>
      <c r="P4156" s="22" t="str">
        <f>HYPERLINK("https://ceds.ed.gov/cedselementdetails.aspx?termid=21915")</f>
        <v>https://ceds.ed.gov/cedselementdetails.aspx?termid=21915</v>
      </c>
      <c r="Q4156" s="22">
        <v>59374</v>
      </c>
    </row>
    <row r="4157" spans="1:17" ht="28.8" x14ac:dyDescent="0.3">
      <c r="A4157" s="22" t="s">
        <v>7922</v>
      </c>
      <c r="B4157" s="22" t="s">
        <v>7923</v>
      </c>
      <c r="C4157" s="22"/>
      <c r="D4157" s="22" t="s">
        <v>7710</v>
      </c>
      <c r="E4157" s="22" t="s">
        <v>5249</v>
      </c>
      <c r="F4157" s="24" t="s">
        <v>5250</v>
      </c>
      <c r="G4157" s="23" t="s">
        <v>32</v>
      </c>
      <c r="H4157" s="22"/>
      <c r="I4157" s="22"/>
      <c r="J4157" s="22" t="s">
        <v>85</v>
      </c>
      <c r="K4157" s="24"/>
      <c r="L4157" s="24"/>
      <c r="M4157" s="25" t="s">
        <v>5251</v>
      </c>
      <c r="N4157" s="22"/>
      <c r="O4157" s="22" t="s">
        <v>5252</v>
      </c>
      <c r="P4157" s="22" t="str">
        <f>HYPERLINK("https://ceds.ed.gov/cedselementdetails.aspx?termid=21913")</f>
        <v>https://ceds.ed.gov/cedselementdetails.aspx?termid=21913</v>
      </c>
      <c r="Q4157" s="22">
        <v>59372</v>
      </c>
    </row>
    <row r="4158" spans="1:17" ht="28.8" x14ac:dyDescent="0.3">
      <c r="A4158" s="22" t="s">
        <v>7922</v>
      </c>
      <c r="B4158" s="22" t="s">
        <v>7923</v>
      </c>
      <c r="C4158" s="22"/>
      <c r="D4158" s="22" t="s">
        <v>7710</v>
      </c>
      <c r="E4158" s="22" t="s">
        <v>5253</v>
      </c>
      <c r="F4158" s="24" t="s">
        <v>5254</v>
      </c>
      <c r="G4158" s="23" t="s">
        <v>32</v>
      </c>
      <c r="H4158" s="22"/>
      <c r="I4158" s="22"/>
      <c r="J4158" s="22" t="s">
        <v>85</v>
      </c>
      <c r="K4158" s="24"/>
      <c r="L4158" s="24"/>
      <c r="M4158" s="25" t="s">
        <v>5255</v>
      </c>
      <c r="N4158" s="22"/>
      <c r="O4158" s="22" t="s">
        <v>5256</v>
      </c>
      <c r="P4158" s="22" t="str">
        <f>HYPERLINK("https://ceds.ed.gov/cedselementdetails.aspx?termid=21931")</f>
        <v>https://ceds.ed.gov/cedselementdetails.aspx?termid=21931</v>
      </c>
      <c r="Q4158" s="22">
        <v>59389</v>
      </c>
    </row>
    <row r="4159" spans="1:17" ht="43.2" x14ac:dyDescent="0.3">
      <c r="A4159" s="22" t="s">
        <v>7922</v>
      </c>
      <c r="B4159" s="22" t="s">
        <v>7923</v>
      </c>
      <c r="C4159" s="22"/>
      <c r="D4159" s="22" t="s">
        <v>7710</v>
      </c>
      <c r="E4159" s="22" t="s">
        <v>5257</v>
      </c>
      <c r="F4159" s="24" t="s">
        <v>5258</v>
      </c>
      <c r="G4159" s="23" t="s">
        <v>32</v>
      </c>
      <c r="H4159" s="22"/>
      <c r="I4159" s="22"/>
      <c r="J4159" s="22" t="s">
        <v>85</v>
      </c>
      <c r="K4159" s="24"/>
      <c r="L4159" s="24"/>
      <c r="M4159" s="25" t="s">
        <v>5259</v>
      </c>
      <c r="N4159" s="22"/>
      <c r="O4159" s="22" t="s">
        <v>5260</v>
      </c>
      <c r="P4159" s="22" t="str">
        <f>HYPERLINK("https://ceds.ed.gov/cedselementdetails.aspx?termid=21930")</f>
        <v>https://ceds.ed.gov/cedselementdetails.aspx?termid=21930</v>
      </c>
      <c r="Q4159" s="22">
        <v>59388</v>
      </c>
    </row>
    <row r="4160" spans="1:17" ht="43.2" x14ac:dyDescent="0.3">
      <c r="A4160" s="22" t="s">
        <v>7922</v>
      </c>
      <c r="B4160" s="22" t="s">
        <v>7923</v>
      </c>
      <c r="C4160" s="22"/>
      <c r="D4160" s="22" t="s">
        <v>7710</v>
      </c>
      <c r="E4160" s="22" t="s">
        <v>5261</v>
      </c>
      <c r="F4160" s="24" t="s">
        <v>5262</v>
      </c>
      <c r="G4160" s="23" t="s">
        <v>32</v>
      </c>
      <c r="H4160" s="22"/>
      <c r="I4160" s="22"/>
      <c r="J4160" s="22" t="s">
        <v>2836</v>
      </c>
      <c r="K4160" s="24"/>
      <c r="L4160" s="24"/>
      <c r="M4160" s="25" t="s">
        <v>5263</v>
      </c>
      <c r="N4160" s="22"/>
      <c r="O4160" s="22" t="s">
        <v>5264</v>
      </c>
      <c r="P4160" s="22" t="str">
        <f>HYPERLINK("https://ceds.ed.gov/cedselementdetails.aspx?termid=21925")</f>
        <v>https://ceds.ed.gov/cedselementdetails.aspx?termid=21925</v>
      </c>
      <c r="Q4160" s="22">
        <v>59383</v>
      </c>
    </row>
    <row r="4161" spans="1:17" ht="43.2" x14ac:dyDescent="0.3">
      <c r="A4161" s="22" t="s">
        <v>7922</v>
      </c>
      <c r="B4161" s="22" t="s">
        <v>7923</v>
      </c>
      <c r="C4161" s="22"/>
      <c r="D4161" s="22" t="s">
        <v>7710</v>
      </c>
      <c r="E4161" s="22" t="s">
        <v>5202</v>
      </c>
      <c r="F4161" s="24" t="s">
        <v>5203</v>
      </c>
      <c r="G4161" s="23" t="s">
        <v>32</v>
      </c>
      <c r="H4161" s="22"/>
      <c r="I4161" s="22"/>
      <c r="J4161" s="22" t="s">
        <v>50</v>
      </c>
      <c r="K4161" s="24"/>
      <c r="L4161" s="24" t="s">
        <v>5204</v>
      </c>
      <c r="M4161" s="25" t="s">
        <v>5205</v>
      </c>
      <c r="N4161" s="22"/>
      <c r="O4161" s="22" t="s">
        <v>5206</v>
      </c>
      <c r="P4161" s="22" t="str">
        <f>HYPERLINK("https://ceds.ed.gov/cedselementdetails.aspx?termid=21922")</f>
        <v>https://ceds.ed.gov/cedselementdetails.aspx?termid=21922</v>
      </c>
      <c r="Q4161" s="22">
        <v>59380</v>
      </c>
    </row>
    <row r="4162" spans="1:17" ht="28.8" x14ac:dyDescent="0.3">
      <c r="A4162" s="22" t="s">
        <v>7922</v>
      </c>
      <c r="B4162" s="22" t="s">
        <v>7923</v>
      </c>
      <c r="C4162" s="22"/>
      <c r="D4162" s="22" t="s">
        <v>7710</v>
      </c>
      <c r="E4162" s="22" t="s">
        <v>5154</v>
      </c>
      <c r="F4162" s="24" t="s">
        <v>5155</v>
      </c>
      <c r="G4162" s="23" t="s">
        <v>32</v>
      </c>
      <c r="H4162" s="22"/>
      <c r="I4162" s="22"/>
      <c r="J4162" s="22" t="s">
        <v>157</v>
      </c>
      <c r="K4162" s="24"/>
      <c r="L4162" s="24"/>
      <c r="M4162" s="25" t="s">
        <v>5156</v>
      </c>
      <c r="N4162" s="22"/>
      <c r="O4162" s="22" t="s">
        <v>5157</v>
      </c>
      <c r="P4162" s="22" t="str">
        <f>HYPERLINK("https://ceds.ed.gov/cedselementdetails.aspx?termid=21918")</f>
        <v>https://ceds.ed.gov/cedselementdetails.aspx?termid=21918</v>
      </c>
      <c r="Q4162" s="22">
        <v>59376</v>
      </c>
    </row>
    <row r="4163" spans="1:17" ht="28.8" x14ac:dyDescent="0.3">
      <c r="A4163" s="22" t="s">
        <v>7922</v>
      </c>
      <c r="B4163" s="22" t="s">
        <v>7923</v>
      </c>
      <c r="C4163" s="22"/>
      <c r="D4163" s="22" t="s">
        <v>7710</v>
      </c>
      <c r="E4163" s="22" t="s">
        <v>5158</v>
      </c>
      <c r="F4163" s="24" t="s">
        <v>5159</v>
      </c>
      <c r="G4163" s="23" t="s">
        <v>32</v>
      </c>
      <c r="H4163" s="22"/>
      <c r="I4163" s="22"/>
      <c r="J4163" s="22" t="s">
        <v>118</v>
      </c>
      <c r="K4163" s="24"/>
      <c r="L4163" s="24"/>
      <c r="M4163" s="25" t="s">
        <v>5160</v>
      </c>
      <c r="N4163" s="22"/>
      <c r="O4163" s="22" t="s">
        <v>5161</v>
      </c>
      <c r="P4163" s="22" t="str">
        <f>HYPERLINK("https://ceds.ed.gov/cedselementdetails.aspx?termid=21916")</f>
        <v>https://ceds.ed.gov/cedselementdetails.aspx?termid=21916</v>
      </c>
      <c r="Q4163" s="22">
        <v>59375</v>
      </c>
    </row>
    <row r="4164" spans="1:17" ht="28.8" x14ac:dyDescent="0.3">
      <c r="A4164" s="22" t="s">
        <v>7922</v>
      </c>
      <c r="B4164" s="22" t="s">
        <v>7923</v>
      </c>
      <c r="C4164" s="22"/>
      <c r="D4164" s="22" t="s">
        <v>7710</v>
      </c>
      <c r="E4164" s="22" t="s">
        <v>5162</v>
      </c>
      <c r="F4164" s="24" t="s">
        <v>5163</v>
      </c>
      <c r="G4164" s="23" t="s">
        <v>32</v>
      </c>
      <c r="H4164" s="22"/>
      <c r="I4164" s="22"/>
      <c r="J4164" s="22" t="s">
        <v>118</v>
      </c>
      <c r="K4164" s="24"/>
      <c r="L4164" s="24"/>
      <c r="M4164" s="25" t="s">
        <v>5164</v>
      </c>
      <c r="N4164" s="22"/>
      <c r="O4164" s="22" t="s">
        <v>5165</v>
      </c>
      <c r="P4164" s="22" t="str">
        <f>HYPERLINK("https://ceds.ed.gov/cedselementdetails.aspx?termid=22542")</f>
        <v>https://ceds.ed.gov/cedselementdetails.aspx?termid=22542</v>
      </c>
      <c r="Q4164" s="22">
        <v>61896</v>
      </c>
    </row>
    <row r="4165" spans="1:17" ht="28.8" x14ac:dyDescent="0.3">
      <c r="A4165" s="22" t="s">
        <v>7922</v>
      </c>
      <c r="B4165" s="22" t="s">
        <v>7923</v>
      </c>
      <c r="C4165" s="22"/>
      <c r="D4165" s="22" t="s">
        <v>7710</v>
      </c>
      <c r="E4165" s="22" t="s">
        <v>5113</v>
      </c>
      <c r="F4165" s="24" t="s">
        <v>5114</v>
      </c>
      <c r="G4165" s="23" t="s">
        <v>32</v>
      </c>
      <c r="H4165" s="22"/>
      <c r="I4165" s="22"/>
      <c r="J4165" s="22" t="s">
        <v>3463</v>
      </c>
      <c r="K4165" s="24"/>
      <c r="L4165" s="24"/>
      <c r="M4165" s="25" t="s">
        <v>5115</v>
      </c>
      <c r="N4165" s="22"/>
      <c r="O4165" s="22" t="s">
        <v>5116</v>
      </c>
      <c r="P4165" s="22" t="str">
        <f>HYPERLINK("https://ceds.ed.gov/cedselementdetails.aspx?termid=22544")</f>
        <v>https://ceds.ed.gov/cedselementdetails.aspx?termid=22544</v>
      </c>
      <c r="Q4165" s="22">
        <v>61898</v>
      </c>
    </row>
    <row r="4166" spans="1:17" ht="43.2" x14ac:dyDescent="0.3">
      <c r="A4166" s="22" t="s">
        <v>7922</v>
      </c>
      <c r="B4166" s="22" t="s">
        <v>7923</v>
      </c>
      <c r="C4166" s="22"/>
      <c r="D4166" s="22" t="s">
        <v>7710</v>
      </c>
      <c r="E4166" s="22" t="s">
        <v>5117</v>
      </c>
      <c r="F4166" s="24" t="s">
        <v>5118</v>
      </c>
      <c r="G4166" s="26" t="s">
        <v>9003</v>
      </c>
      <c r="H4166" s="22"/>
      <c r="I4166" s="22"/>
      <c r="J4166" s="22"/>
      <c r="K4166" s="24"/>
      <c r="L4166" s="24"/>
      <c r="M4166" s="25" t="s">
        <v>5119</v>
      </c>
      <c r="N4166" s="22"/>
      <c r="O4166" s="22" t="s">
        <v>5120</v>
      </c>
      <c r="P4166" s="22" t="str">
        <f>HYPERLINK("https://ceds.ed.gov/cedselementdetails.aspx?termid=22540")</f>
        <v>https://ceds.ed.gov/cedselementdetails.aspx?termid=22540</v>
      </c>
      <c r="Q4166" s="22">
        <v>61894</v>
      </c>
    </row>
    <row r="4167" spans="1:17" ht="43.2" x14ac:dyDescent="0.3">
      <c r="A4167" s="22" t="s">
        <v>7922</v>
      </c>
      <c r="B4167" s="22" t="s">
        <v>7923</v>
      </c>
      <c r="C4167" s="22"/>
      <c r="D4167" s="22" t="s">
        <v>7710</v>
      </c>
      <c r="E4167" s="22" t="s">
        <v>5121</v>
      </c>
      <c r="F4167" s="24" t="s">
        <v>5122</v>
      </c>
      <c r="G4167" s="23" t="s">
        <v>32</v>
      </c>
      <c r="H4167" s="22"/>
      <c r="I4167" s="22"/>
      <c r="J4167" s="22" t="s">
        <v>50</v>
      </c>
      <c r="K4167" s="24"/>
      <c r="L4167" s="24"/>
      <c r="M4167" s="25" t="s">
        <v>5123</v>
      </c>
      <c r="N4167" s="22"/>
      <c r="O4167" s="22" t="s">
        <v>5124</v>
      </c>
      <c r="P4167" s="22" t="str">
        <f>HYPERLINK("https://ceds.ed.gov/cedselementdetails.aspx?termid=22541")</f>
        <v>https://ceds.ed.gov/cedselementdetails.aspx?termid=22541</v>
      </c>
      <c r="Q4167" s="22">
        <v>61895</v>
      </c>
    </row>
    <row r="4168" spans="1:17" ht="28.8" x14ac:dyDescent="0.3">
      <c r="A4168" s="22" t="s">
        <v>7922</v>
      </c>
      <c r="B4168" s="22" t="s">
        <v>7923</v>
      </c>
      <c r="C4168" s="22"/>
      <c r="D4168" s="22" t="s">
        <v>7710</v>
      </c>
      <c r="E4168" s="22" t="s">
        <v>5229</v>
      </c>
      <c r="F4168" s="24" t="s">
        <v>5230</v>
      </c>
      <c r="G4168" s="23" t="s">
        <v>32</v>
      </c>
      <c r="H4168" s="22"/>
      <c r="I4168" s="22"/>
      <c r="J4168" s="22" t="s">
        <v>3463</v>
      </c>
      <c r="K4168" s="24"/>
      <c r="L4168" s="24"/>
      <c r="M4168" s="25" t="s">
        <v>5231</v>
      </c>
      <c r="N4168" s="22"/>
      <c r="O4168" s="22" t="s">
        <v>5232</v>
      </c>
      <c r="P4168" s="22" t="str">
        <f>HYPERLINK("https://ceds.ed.gov/cedselementdetails.aspx?termid=22545")</f>
        <v>https://ceds.ed.gov/cedselementdetails.aspx?termid=22545</v>
      </c>
      <c r="Q4168" s="22">
        <v>61899</v>
      </c>
    </row>
    <row r="4169" spans="1:17" ht="28.8" x14ac:dyDescent="0.3">
      <c r="A4169" s="22" t="s">
        <v>7922</v>
      </c>
      <c r="B4169" s="22" t="s">
        <v>7923</v>
      </c>
      <c r="C4169" s="22"/>
      <c r="D4169" s="22" t="s">
        <v>7710</v>
      </c>
      <c r="E4169" s="22" t="s">
        <v>5233</v>
      </c>
      <c r="F4169" s="24" t="s">
        <v>5234</v>
      </c>
      <c r="G4169" s="23" t="s">
        <v>32</v>
      </c>
      <c r="H4169" s="22"/>
      <c r="I4169" s="22"/>
      <c r="J4169" s="22" t="s">
        <v>157</v>
      </c>
      <c r="K4169" s="24"/>
      <c r="L4169" s="24"/>
      <c r="M4169" s="25" t="s">
        <v>5235</v>
      </c>
      <c r="N4169" s="22"/>
      <c r="O4169" s="22" t="s">
        <v>5236</v>
      </c>
      <c r="P4169" s="22" t="str">
        <f>HYPERLINK("https://ceds.ed.gov/cedselementdetails.aspx?termid=21919")</f>
        <v>https://ceds.ed.gov/cedselementdetails.aspx?termid=21919</v>
      </c>
      <c r="Q4169" s="22">
        <v>59377</v>
      </c>
    </row>
    <row r="4170" spans="1:17" ht="43.2" x14ac:dyDescent="0.3">
      <c r="A4170" s="22" t="s">
        <v>7922</v>
      </c>
      <c r="B4170" s="22" t="s">
        <v>7923</v>
      </c>
      <c r="C4170" s="22"/>
      <c r="D4170" s="22" t="s">
        <v>7710</v>
      </c>
      <c r="E4170" s="22" t="s">
        <v>5237</v>
      </c>
      <c r="F4170" s="24" t="s">
        <v>5238</v>
      </c>
      <c r="G4170" s="23" t="s">
        <v>32</v>
      </c>
      <c r="H4170" s="22"/>
      <c r="I4170" s="22"/>
      <c r="J4170" s="22" t="s">
        <v>50</v>
      </c>
      <c r="K4170" s="24"/>
      <c r="L4170" s="24"/>
      <c r="M4170" s="25" t="s">
        <v>5239</v>
      </c>
      <c r="N4170" s="22"/>
      <c r="O4170" s="22" t="s">
        <v>5240</v>
      </c>
      <c r="P4170" s="22" t="str">
        <f>HYPERLINK("https://ceds.ed.gov/cedselementdetails.aspx?termid=22547")</f>
        <v>https://ceds.ed.gov/cedselementdetails.aspx?termid=22547</v>
      </c>
      <c r="Q4170" s="22">
        <v>61900</v>
      </c>
    </row>
    <row r="4171" spans="1:17" ht="28.8" x14ac:dyDescent="0.3">
      <c r="A4171" s="22" t="s">
        <v>7922</v>
      </c>
      <c r="B4171" s="22" t="s">
        <v>7923</v>
      </c>
      <c r="C4171" s="22"/>
      <c r="D4171" s="22" t="s">
        <v>7710</v>
      </c>
      <c r="E4171" s="22" t="s">
        <v>5150</v>
      </c>
      <c r="F4171" s="24" t="s">
        <v>5151</v>
      </c>
      <c r="G4171" s="23" t="s">
        <v>32</v>
      </c>
      <c r="H4171" s="22"/>
      <c r="I4171" s="22"/>
      <c r="J4171" s="22" t="s">
        <v>1844</v>
      </c>
      <c r="K4171" s="24"/>
      <c r="L4171" s="24"/>
      <c r="M4171" s="25" t="s">
        <v>5152</v>
      </c>
      <c r="N4171" s="22"/>
      <c r="O4171" s="22" t="s">
        <v>5153</v>
      </c>
      <c r="P4171" s="22" t="str">
        <f>HYPERLINK("https://ceds.ed.gov/cedselementdetails.aspx?termid=22158")</f>
        <v>https://ceds.ed.gov/cedselementdetails.aspx?termid=22158</v>
      </c>
      <c r="Q4171" s="22">
        <v>60348</v>
      </c>
    </row>
    <row r="4172" spans="1:17" ht="244.8" x14ac:dyDescent="0.3">
      <c r="A4172" s="22" t="s">
        <v>7922</v>
      </c>
      <c r="B4172" s="22" t="s">
        <v>7923</v>
      </c>
      <c r="C4172" s="22"/>
      <c r="D4172" s="22" t="s">
        <v>7710</v>
      </c>
      <c r="E4172" s="22" t="s">
        <v>1925</v>
      </c>
      <c r="F4172" s="24" t="s">
        <v>1926</v>
      </c>
      <c r="G4172" s="26" t="s">
        <v>8710</v>
      </c>
      <c r="H4172" s="22"/>
      <c r="I4172" s="22"/>
      <c r="J4172" s="22"/>
      <c r="K4172" s="24"/>
      <c r="L4172" s="24" t="s">
        <v>8034</v>
      </c>
      <c r="M4172" s="25" t="s">
        <v>1927</v>
      </c>
      <c r="N4172" s="22"/>
      <c r="O4172" s="22" t="s">
        <v>1928</v>
      </c>
      <c r="P4172" s="22" t="str">
        <f>HYPERLINK("https://ceds.ed.gov/cedselementdetails.aspx?termid=22254")</f>
        <v>https://ceds.ed.gov/cedselementdetails.aspx?termid=22254</v>
      </c>
      <c r="Q4172" s="22">
        <v>61824</v>
      </c>
    </row>
    <row r="4173" spans="1:17" ht="57.6" x14ac:dyDescent="0.3">
      <c r="A4173" s="22" t="s">
        <v>7922</v>
      </c>
      <c r="B4173" s="22" t="s">
        <v>7923</v>
      </c>
      <c r="C4173" s="22"/>
      <c r="D4173" s="22" t="s">
        <v>7710</v>
      </c>
      <c r="E4173" s="22" t="s">
        <v>2147</v>
      </c>
      <c r="F4173" s="24" t="s">
        <v>2148</v>
      </c>
      <c r="G4173" s="23" t="s">
        <v>32</v>
      </c>
      <c r="H4173" s="22"/>
      <c r="I4173" s="22"/>
      <c r="J4173" s="22" t="s">
        <v>50</v>
      </c>
      <c r="K4173" s="24"/>
      <c r="L4173" s="24"/>
      <c r="M4173" s="25" t="s">
        <v>2150</v>
      </c>
      <c r="N4173" s="22" t="s">
        <v>2151</v>
      </c>
      <c r="O4173" s="22" t="s">
        <v>2152</v>
      </c>
      <c r="P4173" s="22" t="str">
        <f>HYPERLINK("https://ceds.ed.gov/cedselementdetails.aspx?termid=21871")</f>
        <v>https://ceds.ed.gov/cedselementdetails.aspx?termid=21871</v>
      </c>
      <c r="Q4173" s="22">
        <v>61659</v>
      </c>
    </row>
    <row r="4174" spans="1:17" ht="409.6" x14ac:dyDescent="0.3">
      <c r="A4174" s="22" t="s">
        <v>7922</v>
      </c>
      <c r="B4174" s="22" t="s">
        <v>7923</v>
      </c>
      <c r="C4174" s="22"/>
      <c r="D4174" s="22" t="s">
        <v>7710</v>
      </c>
      <c r="E4174" s="22" t="s">
        <v>2163</v>
      </c>
      <c r="F4174" s="24" t="s">
        <v>2164</v>
      </c>
      <c r="G4174" s="26" t="s">
        <v>8732</v>
      </c>
      <c r="H4174" s="22"/>
      <c r="I4174" s="22"/>
      <c r="J4174" s="22"/>
      <c r="K4174" s="24"/>
      <c r="L4174" s="24" t="s">
        <v>8041</v>
      </c>
      <c r="M4174" s="25" t="s">
        <v>2165</v>
      </c>
      <c r="N4174" s="22" t="s">
        <v>2166</v>
      </c>
      <c r="O4174" s="22" t="s">
        <v>2167</v>
      </c>
      <c r="P4174" s="22" t="str">
        <f>HYPERLINK("https://ceds.ed.gov/cedselementdetails.aspx?termid=21869")</f>
        <v>https://ceds.ed.gov/cedselementdetails.aspx?termid=21869</v>
      </c>
      <c r="Q4174" s="22">
        <v>61565</v>
      </c>
    </row>
    <row r="4175" spans="1:17" ht="57.6" x14ac:dyDescent="0.3">
      <c r="A4175" s="22" t="s">
        <v>7922</v>
      </c>
      <c r="B4175" s="22" t="s">
        <v>7923</v>
      </c>
      <c r="C4175" s="22" t="s">
        <v>7924</v>
      </c>
      <c r="D4175" s="22" t="s">
        <v>7710</v>
      </c>
      <c r="E4175" s="22" t="s">
        <v>5212</v>
      </c>
      <c r="F4175" s="24" t="s">
        <v>5213</v>
      </c>
      <c r="G4175" s="23" t="s">
        <v>32</v>
      </c>
      <c r="H4175" s="22"/>
      <c r="I4175" s="22"/>
      <c r="J4175" s="22" t="s">
        <v>317</v>
      </c>
      <c r="K4175" s="24"/>
      <c r="L4175" s="24"/>
      <c r="M4175" s="25" t="s">
        <v>5215</v>
      </c>
      <c r="N4175" s="22"/>
      <c r="O4175" s="22" t="s">
        <v>5216</v>
      </c>
      <c r="P4175" s="22" t="str">
        <f>HYPERLINK("https://ceds.ed.gov/cedselementdetails.aspx?termid=22369")</f>
        <v>https://ceds.ed.gov/cedselementdetails.aspx?termid=22369</v>
      </c>
      <c r="Q4175" s="22">
        <v>61285</v>
      </c>
    </row>
    <row r="4176" spans="1:17" ht="72" x14ac:dyDescent="0.3">
      <c r="A4176" s="22" t="s">
        <v>7922</v>
      </c>
      <c r="B4176" s="22" t="s">
        <v>7923</v>
      </c>
      <c r="C4176" s="22" t="s">
        <v>7924</v>
      </c>
      <c r="D4176" s="22" t="s">
        <v>7710</v>
      </c>
      <c r="E4176" s="22" t="s">
        <v>5217</v>
      </c>
      <c r="F4176" s="24" t="s">
        <v>5218</v>
      </c>
      <c r="G4176" s="23" t="s">
        <v>32</v>
      </c>
      <c r="H4176" s="22"/>
      <c r="I4176" s="22"/>
      <c r="J4176" s="22" t="s">
        <v>990</v>
      </c>
      <c r="K4176" s="24"/>
      <c r="L4176" s="24"/>
      <c r="M4176" s="25" t="s">
        <v>5219</v>
      </c>
      <c r="N4176" s="22"/>
      <c r="O4176" s="22" t="s">
        <v>5220</v>
      </c>
      <c r="P4176" s="22" t="str">
        <f>HYPERLINK("https://ceds.ed.gov/cedselementdetails.aspx?termid=22161")</f>
        <v>https://ceds.ed.gov/cedselementdetails.aspx?termid=22161</v>
      </c>
      <c r="Q4176" s="22">
        <v>60351</v>
      </c>
    </row>
    <row r="4177" spans="1:17" ht="28.8" x14ac:dyDescent="0.3">
      <c r="A4177" s="22" t="s">
        <v>7922</v>
      </c>
      <c r="B4177" s="22" t="s">
        <v>7923</v>
      </c>
      <c r="C4177" s="22" t="s">
        <v>7924</v>
      </c>
      <c r="D4177" s="22" t="s">
        <v>7710</v>
      </c>
      <c r="E4177" s="22" t="s">
        <v>5797</v>
      </c>
      <c r="F4177" s="24" t="s">
        <v>5798</v>
      </c>
      <c r="G4177" s="23" t="s">
        <v>32</v>
      </c>
      <c r="H4177" s="22"/>
      <c r="I4177" s="22"/>
      <c r="J4177" s="22" t="s">
        <v>118</v>
      </c>
      <c r="K4177" s="24"/>
      <c r="L4177" s="24"/>
      <c r="M4177" s="25" t="s">
        <v>5799</v>
      </c>
      <c r="N4177" s="22"/>
      <c r="O4177" s="22" t="s">
        <v>5800</v>
      </c>
      <c r="P4177" s="22" t="str">
        <f>HYPERLINK("https://ceds.ed.gov/cedselementdetails.aspx?termid=22171")</f>
        <v>https://ceds.ed.gov/cedselementdetails.aspx?termid=22171</v>
      </c>
      <c r="Q4177" s="22">
        <v>59004</v>
      </c>
    </row>
    <row r="4178" spans="1:17" ht="28.8" x14ac:dyDescent="0.3">
      <c r="A4178" s="22" t="s">
        <v>7922</v>
      </c>
      <c r="B4178" s="22" t="s">
        <v>7925</v>
      </c>
      <c r="C4178" s="22"/>
      <c r="D4178" s="22" t="s">
        <v>7710</v>
      </c>
      <c r="E4178" s="22" t="s">
        <v>5809</v>
      </c>
      <c r="F4178" s="24" t="s">
        <v>5810</v>
      </c>
      <c r="G4178" s="23" t="s">
        <v>32</v>
      </c>
      <c r="H4178" s="22"/>
      <c r="I4178" s="22"/>
      <c r="J4178" s="22" t="s">
        <v>157</v>
      </c>
      <c r="K4178" s="24"/>
      <c r="L4178" s="24"/>
      <c r="M4178" s="25" t="s">
        <v>5811</v>
      </c>
      <c r="N4178" s="22"/>
      <c r="O4178" s="22" t="s">
        <v>5812</v>
      </c>
      <c r="P4178" s="22" t="str">
        <f>HYPERLINK("https://ceds.ed.gov/cedselementdetails.aspx?termid=22160")</f>
        <v>https://ceds.ed.gov/cedselementdetails.aspx?termid=22160</v>
      </c>
      <c r="Q4178" s="22">
        <v>60350</v>
      </c>
    </row>
    <row r="4179" spans="1:17" ht="28.8" x14ac:dyDescent="0.3">
      <c r="A4179" s="22" t="s">
        <v>7922</v>
      </c>
      <c r="B4179" s="22" t="s">
        <v>7925</v>
      </c>
      <c r="C4179" s="22"/>
      <c r="D4179" s="22" t="s">
        <v>7710</v>
      </c>
      <c r="E4179" s="22" t="s">
        <v>5805</v>
      </c>
      <c r="F4179" s="24" t="s">
        <v>5806</v>
      </c>
      <c r="G4179" s="23" t="s">
        <v>32</v>
      </c>
      <c r="H4179" s="22"/>
      <c r="I4179" s="22"/>
      <c r="J4179" s="22" t="s">
        <v>990</v>
      </c>
      <c r="K4179" s="24"/>
      <c r="L4179" s="24"/>
      <c r="M4179" s="25" t="s">
        <v>5807</v>
      </c>
      <c r="N4179" s="22"/>
      <c r="O4179" s="22" t="s">
        <v>5808</v>
      </c>
      <c r="P4179" s="22" t="str">
        <f>HYPERLINK("https://ceds.ed.gov/cedselementdetails.aspx?termid=22163")</f>
        <v>https://ceds.ed.gov/cedselementdetails.aspx?termid=22163</v>
      </c>
      <c r="Q4179" s="22">
        <v>60353</v>
      </c>
    </row>
    <row r="4180" spans="1:17" ht="28.8" x14ac:dyDescent="0.3">
      <c r="A4180" s="22" t="s">
        <v>7922</v>
      </c>
      <c r="B4180" s="22" t="s">
        <v>7925</v>
      </c>
      <c r="C4180" s="22"/>
      <c r="D4180" s="22" t="s">
        <v>7710</v>
      </c>
      <c r="E4180" s="22" t="s">
        <v>5801</v>
      </c>
      <c r="F4180" s="24" t="s">
        <v>8267</v>
      </c>
      <c r="G4180" s="23" t="s">
        <v>32</v>
      </c>
      <c r="H4180" s="22"/>
      <c r="I4180" s="22"/>
      <c r="J4180" s="22" t="s">
        <v>990</v>
      </c>
      <c r="K4180" s="24"/>
      <c r="L4180" s="24"/>
      <c r="M4180" s="25" t="s">
        <v>5803</v>
      </c>
      <c r="N4180" s="22"/>
      <c r="O4180" s="22" t="s">
        <v>5804</v>
      </c>
      <c r="P4180" s="22" t="str">
        <f>HYPERLINK("https://ceds.ed.gov/cedselementdetails.aspx?termid=22162")</f>
        <v>https://ceds.ed.gov/cedselementdetails.aspx?termid=22162</v>
      </c>
      <c r="Q4180" s="22">
        <v>60352</v>
      </c>
    </row>
    <row r="4181" spans="1:17" ht="57.6" x14ac:dyDescent="0.3">
      <c r="A4181" s="22" t="s">
        <v>7922</v>
      </c>
      <c r="B4181" s="22" t="s">
        <v>7925</v>
      </c>
      <c r="C4181" s="22"/>
      <c r="D4181" s="22" t="s">
        <v>7710</v>
      </c>
      <c r="E4181" s="22" t="s">
        <v>5813</v>
      </c>
      <c r="F4181" s="24" t="s">
        <v>8268</v>
      </c>
      <c r="G4181" s="23" t="s">
        <v>32</v>
      </c>
      <c r="H4181" s="22"/>
      <c r="I4181" s="22"/>
      <c r="J4181" s="22" t="s">
        <v>990</v>
      </c>
      <c r="K4181" s="24"/>
      <c r="L4181" s="24"/>
      <c r="M4181" s="25" t="s">
        <v>5814</v>
      </c>
      <c r="N4181" s="22"/>
      <c r="O4181" s="22" t="s">
        <v>5815</v>
      </c>
      <c r="P4181" s="22" t="str">
        <f>HYPERLINK("https://ceds.ed.gov/cedselementdetails.aspx?termid=22164")</f>
        <v>https://ceds.ed.gov/cedselementdetails.aspx?termid=22164</v>
      </c>
      <c r="Q4181" s="22">
        <v>60354</v>
      </c>
    </row>
    <row r="4182" spans="1:17" ht="28.8" x14ac:dyDescent="0.3">
      <c r="A4182" s="22" t="s">
        <v>7926</v>
      </c>
      <c r="B4182" s="22" t="s">
        <v>7723</v>
      </c>
      <c r="C4182" s="22"/>
      <c r="D4182" s="22" t="s">
        <v>7710</v>
      </c>
      <c r="E4182" s="22" t="s">
        <v>5703</v>
      </c>
      <c r="F4182" s="24" t="s">
        <v>5704</v>
      </c>
      <c r="G4182" s="23" t="s">
        <v>32</v>
      </c>
      <c r="H4182" s="22"/>
      <c r="I4182" s="22"/>
      <c r="J4182" s="22" t="s">
        <v>2856</v>
      </c>
      <c r="K4182" s="24"/>
      <c r="L4182" s="24"/>
      <c r="M4182" s="25" t="s">
        <v>5705</v>
      </c>
      <c r="N4182" s="22"/>
      <c r="O4182" s="22" t="s">
        <v>5706</v>
      </c>
      <c r="P4182" s="22" t="str">
        <f>HYPERLINK("https://ceds.ed.gov/cedselementdetails.aspx?termid=22731")</f>
        <v>https://ceds.ed.gov/cedselementdetails.aspx?termid=22731</v>
      </c>
      <c r="Q4182" s="22">
        <v>62998</v>
      </c>
    </row>
    <row r="4183" spans="1:17" ht="172.8" x14ac:dyDescent="0.3">
      <c r="A4183" s="22" t="s">
        <v>7926</v>
      </c>
      <c r="B4183" s="22" t="s">
        <v>7723</v>
      </c>
      <c r="C4183" s="22" t="s">
        <v>7711</v>
      </c>
      <c r="D4183" s="22" t="s">
        <v>7710</v>
      </c>
      <c r="E4183" s="22" t="s">
        <v>3633</v>
      </c>
      <c r="F4183" s="24" t="s">
        <v>3634</v>
      </c>
      <c r="G4183" s="23" t="s">
        <v>32</v>
      </c>
      <c r="H4183" s="22"/>
      <c r="I4183" s="22" t="s">
        <v>172</v>
      </c>
      <c r="J4183" s="22" t="s">
        <v>132</v>
      </c>
      <c r="K4183" s="24" t="s">
        <v>7946</v>
      </c>
      <c r="L4183" s="24" t="s">
        <v>7945</v>
      </c>
      <c r="M4183" s="25" t="s">
        <v>3635</v>
      </c>
      <c r="N4183" s="22"/>
      <c r="O4183" s="22" t="s">
        <v>3636</v>
      </c>
      <c r="P4183" s="22" t="str">
        <f>HYPERLINK("https://ceds.ed.gov/cedselementdetails.aspx?termid=21495")</f>
        <v>https://ceds.ed.gov/cedselementdetails.aspx?termid=21495</v>
      </c>
      <c r="Q4183" s="22">
        <v>58867</v>
      </c>
    </row>
    <row r="4184" spans="1:17" ht="43.2" x14ac:dyDescent="0.3">
      <c r="A4184" s="22" t="s">
        <v>7926</v>
      </c>
      <c r="B4184" s="22" t="s">
        <v>7723</v>
      </c>
      <c r="C4184" s="22" t="s">
        <v>7711</v>
      </c>
      <c r="D4184" s="22" t="s">
        <v>7710</v>
      </c>
      <c r="E4184" s="22" t="s">
        <v>5695</v>
      </c>
      <c r="F4184" s="24" t="s">
        <v>5696</v>
      </c>
      <c r="G4184" s="23" t="s">
        <v>32</v>
      </c>
      <c r="H4184" s="22" t="s">
        <v>207</v>
      </c>
      <c r="I4184" s="22" t="s">
        <v>172</v>
      </c>
      <c r="J4184" s="22" t="s">
        <v>157</v>
      </c>
      <c r="K4184" s="24" t="s">
        <v>7946</v>
      </c>
      <c r="L4184" s="24"/>
      <c r="M4184" s="25" t="s">
        <v>5697</v>
      </c>
      <c r="N4184" s="22"/>
      <c r="O4184" s="22" t="s">
        <v>5698</v>
      </c>
      <c r="P4184" s="22" t="str">
        <f>HYPERLINK("https://ceds.ed.gov/cedselementdetails.aspx?termid=21204")</f>
        <v>https://ceds.ed.gov/cedselementdetails.aspx?termid=21204</v>
      </c>
      <c r="Q4184" s="22">
        <v>59599</v>
      </c>
    </row>
    <row r="4185" spans="1:17" ht="172.8" x14ac:dyDescent="0.3">
      <c r="A4185" s="22" t="s">
        <v>7926</v>
      </c>
      <c r="B4185" s="22" t="s">
        <v>7723</v>
      </c>
      <c r="C4185" s="22" t="s">
        <v>7711</v>
      </c>
      <c r="D4185" s="22" t="s">
        <v>7710</v>
      </c>
      <c r="E4185" s="22" t="s">
        <v>5683</v>
      </c>
      <c r="F4185" s="24" t="s">
        <v>5684</v>
      </c>
      <c r="G4185" s="23" t="s">
        <v>32</v>
      </c>
      <c r="H4185" s="22" t="s">
        <v>109</v>
      </c>
      <c r="I4185" s="22" t="s">
        <v>172</v>
      </c>
      <c r="J4185" s="22" t="s">
        <v>132</v>
      </c>
      <c r="K4185" s="24" t="s">
        <v>7946</v>
      </c>
      <c r="L4185" s="24" t="s">
        <v>7945</v>
      </c>
      <c r="M4185" s="25" t="s">
        <v>5685</v>
      </c>
      <c r="N4185" s="22"/>
      <c r="O4185" s="22" t="s">
        <v>5686</v>
      </c>
      <c r="P4185" s="22" t="str">
        <f>HYPERLINK("https://ceds.ed.gov/cedselementdetails.aspx?termid=21825")</f>
        <v>https://ceds.ed.gov/cedselementdetails.aspx?termid=21825</v>
      </c>
      <c r="Q4185" s="22">
        <v>59600</v>
      </c>
    </row>
    <row r="4186" spans="1:17" ht="187.2" x14ac:dyDescent="0.3">
      <c r="A4186" s="22" t="s">
        <v>7926</v>
      </c>
      <c r="B4186" s="22" t="s">
        <v>7723</v>
      </c>
      <c r="C4186" s="22" t="s">
        <v>7711</v>
      </c>
      <c r="D4186" s="22" t="s">
        <v>7710</v>
      </c>
      <c r="E4186" s="22" t="s">
        <v>5679</v>
      </c>
      <c r="F4186" s="24" t="s">
        <v>5680</v>
      </c>
      <c r="G4186" s="26" t="s">
        <v>8485</v>
      </c>
      <c r="H4186" s="22" t="s">
        <v>109</v>
      </c>
      <c r="I4186" s="22" t="s">
        <v>172</v>
      </c>
      <c r="J4186" s="22"/>
      <c r="K4186" s="24" t="s">
        <v>7946</v>
      </c>
      <c r="L4186" s="24"/>
      <c r="M4186" s="25" t="s">
        <v>5681</v>
      </c>
      <c r="N4186" s="22"/>
      <c r="O4186" s="22" t="s">
        <v>5682</v>
      </c>
      <c r="P4186" s="22" t="str">
        <f>HYPERLINK("https://ceds.ed.gov/cedselementdetails.aspx?termid=21827")</f>
        <v>https://ceds.ed.gov/cedselementdetails.aspx?termid=21827</v>
      </c>
      <c r="Q4186" s="22">
        <v>59601</v>
      </c>
    </row>
    <row r="4187" spans="1:17" ht="28.8" x14ac:dyDescent="0.3">
      <c r="A4187" s="22" t="s">
        <v>7926</v>
      </c>
      <c r="B4187" s="22" t="s">
        <v>7723</v>
      </c>
      <c r="C4187" s="22" t="s">
        <v>7711</v>
      </c>
      <c r="D4187" s="22" t="s">
        <v>7710</v>
      </c>
      <c r="E4187" s="22" t="s">
        <v>3678</v>
      </c>
      <c r="F4187" s="24" t="s">
        <v>3679</v>
      </c>
      <c r="G4187" s="23" t="s">
        <v>32</v>
      </c>
      <c r="H4187" s="22"/>
      <c r="I4187" s="22"/>
      <c r="J4187" s="22" t="s">
        <v>157</v>
      </c>
      <c r="K4187" s="24"/>
      <c r="L4187" s="24"/>
      <c r="M4187" s="25" t="s">
        <v>3680</v>
      </c>
      <c r="N4187" s="22"/>
      <c r="O4187" s="22" t="s">
        <v>3681</v>
      </c>
      <c r="P4187" s="22" t="str">
        <f>HYPERLINK("https://ceds.ed.gov/cedselementdetails.aspx?termid=22172")</f>
        <v>https://ceds.ed.gov/cedselementdetails.aspx?termid=22172</v>
      </c>
      <c r="Q4187" s="22">
        <v>59609</v>
      </c>
    </row>
    <row r="4188" spans="1:17" ht="409.6" x14ac:dyDescent="0.3">
      <c r="A4188" s="22" t="s">
        <v>7926</v>
      </c>
      <c r="B4188" s="22" t="s">
        <v>7723</v>
      </c>
      <c r="C4188" s="22" t="s">
        <v>7711</v>
      </c>
      <c r="D4188" s="22" t="s">
        <v>7710</v>
      </c>
      <c r="E4188" s="22" t="s">
        <v>5715</v>
      </c>
      <c r="F4188" s="24" t="s">
        <v>5716</v>
      </c>
      <c r="G4188" s="26" t="s">
        <v>8493</v>
      </c>
      <c r="H4188" s="22"/>
      <c r="I4188" s="22" t="s">
        <v>172</v>
      </c>
      <c r="J4188" s="22"/>
      <c r="K4188" s="24" t="s">
        <v>8265</v>
      </c>
      <c r="L4188" s="24" t="s">
        <v>5717</v>
      </c>
      <c r="M4188" s="25" t="s">
        <v>5718</v>
      </c>
      <c r="N4188" s="22"/>
      <c r="O4188" s="22" t="s">
        <v>5719</v>
      </c>
      <c r="P4188" s="22" t="str">
        <f>HYPERLINK("https://ceds.ed.gov/cedselementdetails.aspx?termid=22165")</f>
        <v>https://ceds.ed.gov/cedselementdetails.aspx?termid=22165</v>
      </c>
      <c r="Q4188" s="22">
        <v>63001</v>
      </c>
    </row>
    <row r="4189" spans="1:17" ht="57.6" x14ac:dyDescent="0.3">
      <c r="A4189" s="22" t="s">
        <v>7926</v>
      </c>
      <c r="B4189" s="22" t="s">
        <v>7723</v>
      </c>
      <c r="C4189" s="22" t="s">
        <v>7711</v>
      </c>
      <c r="D4189" s="22" t="s">
        <v>7710</v>
      </c>
      <c r="E4189" s="22" t="s">
        <v>1573</v>
      </c>
      <c r="F4189" s="24" t="s">
        <v>1574</v>
      </c>
      <c r="G4189" s="23" t="s">
        <v>32</v>
      </c>
      <c r="H4189" s="22"/>
      <c r="I4189" s="22"/>
      <c r="J4189" s="22" t="s">
        <v>85</v>
      </c>
      <c r="K4189" s="24"/>
      <c r="L4189" s="24"/>
      <c r="M4189" s="25" t="s">
        <v>1576</v>
      </c>
      <c r="N4189" s="22"/>
      <c r="O4189" s="22" t="s">
        <v>1577</v>
      </c>
      <c r="P4189" s="22" t="str">
        <f>HYPERLINK("https://ceds.ed.gov/cedselementdetails.aspx?termid=22757")</f>
        <v>https://ceds.ed.gov/cedselementdetails.aspx?termid=22757</v>
      </c>
      <c r="Q4189" s="22">
        <v>63082</v>
      </c>
    </row>
    <row r="4190" spans="1:17" ht="28.8" x14ac:dyDescent="0.3">
      <c r="A4190" s="22" t="s">
        <v>7926</v>
      </c>
      <c r="B4190" s="22" t="s">
        <v>7723</v>
      </c>
      <c r="C4190" s="22" t="s">
        <v>7711</v>
      </c>
      <c r="D4190" s="22" t="s">
        <v>7710</v>
      </c>
      <c r="E4190" s="22" t="s">
        <v>1578</v>
      </c>
      <c r="F4190" s="24" t="s">
        <v>1579</v>
      </c>
      <c r="G4190" s="23" t="s">
        <v>32</v>
      </c>
      <c r="H4190" s="22"/>
      <c r="I4190" s="22"/>
      <c r="J4190" s="22" t="s">
        <v>55</v>
      </c>
      <c r="K4190" s="24"/>
      <c r="L4190" s="24"/>
      <c r="M4190" s="25" t="s">
        <v>1580</v>
      </c>
      <c r="N4190" s="22"/>
      <c r="O4190" s="22" t="s">
        <v>1581</v>
      </c>
      <c r="P4190" s="22" t="str">
        <f>HYPERLINK("https://ceds.ed.gov/cedselementdetails.aspx?termid=22756")</f>
        <v>https://ceds.ed.gov/cedselementdetails.aspx?termid=22756</v>
      </c>
      <c r="Q4190" s="22">
        <v>63083</v>
      </c>
    </row>
    <row r="4191" spans="1:17" ht="144" x14ac:dyDescent="0.3">
      <c r="A4191" s="22" t="s">
        <v>7926</v>
      </c>
      <c r="B4191" s="22" t="s">
        <v>7723</v>
      </c>
      <c r="C4191" s="22" t="s">
        <v>7711</v>
      </c>
      <c r="D4191" s="22" t="s">
        <v>7710</v>
      </c>
      <c r="E4191" s="22" t="s">
        <v>1600</v>
      </c>
      <c r="F4191" s="24" t="s">
        <v>1601</v>
      </c>
      <c r="G4191" s="23" t="s">
        <v>32</v>
      </c>
      <c r="H4191" s="22"/>
      <c r="I4191" s="22"/>
      <c r="J4191" s="22" t="s">
        <v>85</v>
      </c>
      <c r="K4191" s="24"/>
      <c r="L4191" s="24"/>
      <c r="M4191" s="25" t="s">
        <v>1602</v>
      </c>
      <c r="N4191" s="22"/>
      <c r="O4191" s="22" t="s">
        <v>1603</v>
      </c>
      <c r="P4191" s="22" t="str">
        <f>HYPERLINK("https://ceds.ed.gov/cedselementdetails.aspx?termid=22745")</f>
        <v>https://ceds.ed.gov/cedselementdetails.aspx?termid=22745</v>
      </c>
      <c r="Q4191" s="22">
        <v>63084</v>
      </c>
    </row>
    <row r="4192" spans="1:17" ht="144" x14ac:dyDescent="0.3">
      <c r="A4192" s="22" t="s">
        <v>7926</v>
      </c>
      <c r="B4192" s="22" t="s">
        <v>7723</v>
      </c>
      <c r="C4192" s="22" t="s">
        <v>7711</v>
      </c>
      <c r="D4192" s="22" t="s">
        <v>7710</v>
      </c>
      <c r="E4192" s="22" t="s">
        <v>1693</v>
      </c>
      <c r="F4192" s="24" t="s">
        <v>1694</v>
      </c>
      <c r="G4192" s="26" t="s">
        <v>8678</v>
      </c>
      <c r="H4192" s="22"/>
      <c r="I4192" s="22"/>
      <c r="J4192" s="22"/>
      <c r="K4192" s="24"/>
      <c r="L4192" s="24"/>
      <c r="M4192" s="25" t="s">
        <v>1695</v>
      </c>
      <c r="N4192" s="22"/>
      <c r="O4192" s="22" t="s">
        <v>1696</v>
      </c>
      <c r="P4192" s="22" t="str">
        <f>HYPERLINK("https://ceds.ed.gov/cedselementdetails.aspx?termid=22753")</f>
        <v>https://ceds.ed.gov/cedselementdetails.aspx?termid=22753</v>
      </c>
      <c r="Q4192" s="22">
        <v>63085</v>
      </c>
    </row>
    <row r="4193" spans="1:17" ht="43.2" x14ac:dyDescent="0.3">
      <c r="A4193" s="22" t="s">
        <v>7926</v>
      </c>
      <c r="B4193" s="22" t="s">
        <v>7723</v>
      </c>
      <c r="C4193" s="22" t="s">
        <v>7711</v>
      </c>
      <c r="D4193" s="22" t="s">
        <v>7710</v>
      </c>
      <c r="E4193" s="22" t="s">
        <v>1746</v>
      </c>
      <c r="F4193" s="24" t="s">
        <v>1747</v>
      </c>
      <c r="G4193" s="23" t="s">
        <v>32</v>
      </c>
      <c r="H4193" s="22"/>
      <c r="I4193" s="22"/>
      <c r="J4193" s="22" t="s">
        <v>1699</v>
      </c>
      <c r="K4193" s="24"/>
      <c r="L4193" s="24"/>
      <c r="M4193" s="25" t="s">
        <v>1748</v>
      </c>
      <c r="N4193" s="22"/>
      <c r="O4193" s="22" t="s">
        <v>1749</v>
      </c>
      <c r="P4193" s="22" t="str">
        <f>HYPERLINK("https://ceds.ed.gov/cedselementdetails.aspx?termid=22766")</f>
        <v>https://ceds.ed.gov/cedselementdetails.aspx?termid=22766</v>
      </c>
      <c r="Q4193" s="22">
        <v>63086</v>
      </c>
    </row>
    <row r="4194" spans="1:17" ht="86.4" x14ac:dyDescent="0.3">
      <c r="A4194" s="22" t="s">
        <v>7926</v>
      </c>
      <c r="B4194" s="22" t="s">
        <v>7723</v>
      </c>
      <c r="C4194" s="22" t="s">
        <v>7711</v>
      </c>
      <c r="D4194" s="22" t="s">
        <v>7710</v>
      </c>
      <c r="E4194" s="22" t="s">
        <v>1774</v>
      </c>
      <c r="F4194" s="24" t="s">
        <v>1775</v>
      </c>
      <c r="G4194" s="26" t="s">
        <v>8693</v>
      </c>
      <c r="H4194" s="22"/>
      <c r="I4194" s="22"/>
      <c r="J4194" s="22"/>
      <c r="K4194" s="24"/>
      <c r="L4194" s="24"/>
      <c r="M4194" s="25" t="s">
        <v>1776</v>
      </c>
      <c r="N4194" s="22"/>
      <c r="O4194" s="22" t="s">
        <v>1777</v>
      </c>
      <c r="P4194" s="22" t="str">
        <f>HYPERLINK("https://ceds.ed.gov/cedselementdetails.aspx?termid=22758")</f>
        <v>https://ceds.ed.gov/cedselementdetails.aspx?termid=22758</v>
      </c>
      <c r="Q4194" s="22">
        <v>63087</v>
      </c>
    </row>
    <row r="4195" spans="1:17" ht="43.2" x14ac:dyDescent="0.3">
      <c r="A4195" s="22" t="s">
        <v>7926</v>
      </c>
      <c r="B4195" s="22" t="s">
        <v>7723</v>
      </c>
      <c r="C4195" s="22" t="s">
        <v>7711</v>
      </c>
      <c r="D4195" s="22" t="s">
        <v>7710</v>
      </c>
      <c r="E4195" s="22" t="s">
        <v>1842</v>
      </c>
      <c r="F4195" s="24" t="s">
        <v>1843</v>
      </c>
      <c r="G4195" s="23" t="s">
        <v>32</v>
      </c>
      <c r="H4195" s="22"/>
      <c r="I4195" s="22"/>
      <c r="J4195" s="22" t="s">
        <v>1844</v>
      </c>
      <c r="K4195" s="24"/>
      <c r="L4195" s="24"/>
      <c r="M4195" s="25" t="s">
        <v>1845</v>
      </c>
      <c r="N4195" s="22"/>
      <c r="O4195" s="22" t="s">
        <v>1846</v>
      </c>
      <c r="P4195" s="22" t="str">
        <f>HYPERLINK("https://ceds.ed.gov/cedselementdetails.aspx?termid=22769")</f>
        <v>https://ceds.ed.gov/cedselementdetails.aspx?termid=22769</v>
      </c>
      <c r="Q4195" s="22">
        <v>63088</v>
      </c>
    </row>
    <row r="4196" spans="1:17" ht="86.4" x14ac:dyDescent="0.3">
      <c r="A4196" s="22" t="s">
        <v>7926</v>
      </c>
      <c r="B4196" s="22" t="s">
        <v>7723</v>
      </c>
      <c r="C4196" s="22" t="s">
        <v>7711</v>
      </c>
      <c r="D4196" s="22" t="s">
        <v>7710</v>
      </c>
      <c r="E4196" s="22" t="s">
        <v>1847</v>
      </c>
      <c r="F4196" s="24" t="s">
        <v>1848</v>
      </c>
      <c r="G4196" s="23" t="s">
        <v>32</v>
      </c>
      <c r="H4196" s="22"/>
      <c r="I4196" s="22"/>
      <c r="J4196" s="22" t="s">
        <v>1844</v>
      </c>
      <c r="K4196" s="24"/>
      <c r="L4196" s="24"/>
      <c r="M4196" s="25" t="s">
        <v>1849</v>
      </c>
      <c r="N4196" s="22"/>
      <c r="O4196" s="22" t="s">
        <v>1850</v>
      </c>
      <c r="P4196" s="22" t="str">
        <f>HYPERLINK("https://ceds.ed.gov/cedselementdetails.aspx?termid=22770")</f>
        <v>https://ceds.ed.gov/cedselementdetails.aspx?termid=22770</v>
      </c>
      <c r="Q4196" s="22">
        <v>63089</v>
      </c>
    </row>
    <row r="4197" spans="1:17" ht="86.4" x14ac:dyDescent="0.3">
      <c r="A4197" s="22" t="s">
        <v>7926</v>
      </c>
      <c r="B4197" s="22" t="s">
        <v>7723</v>
      </c>
      <c r="C4197" s="22" t="s">
        <v>7711</v>
      </c>
      <c r="D4197" s="22" t="s">
        <v>7710</v>
      </c>
      <c r="E4197" s="22" t="s">
        <v>1877</v>
      </c>
      <c r="F4197" s="24" t="s">
        <v>1878</v>
      </c>
      <c r="G4197" s="26" t="s">
        <v>8708</v>
      </c>
      <c r="H4197" s="22"/>
      <c r="I4197" s="22"/>
      <c r="J4197" s="22"/>
      <c r="K4197" s="24"/>
      <c r="L4197" s="24"/>
      <c r="M4197" s="25" t="s">
        <v>1879</v>
      </c>
      <c r="N4197" s="22"/>
      <c r="O4197" s="22" t="s">
        <v>1880</v>
      </c>
      <c r="P4197" s="22" t="str">
        <f>HYPERLINK("https://ceds.ed.gov/cedselementdetails.aspx?termid=22759")</f>
        <v>https://ceds.ed.gov/cedselementdetails.aspx?termid=22759</v>
      </c>
      <c r="Q4197" s="22">
        <v>63090</v>
      </c>
    </row>
    <row r="4198" spans="1:17" ht="86.4" x14ac:dyDescent="0.3">
      <c r="A4198" s="22" t="s">
        <v>7926</v>
      </c>
      <c r="B4198" s="22" t="s">
        <v>7723</v>
      </c>
      <c r="C4198" s="22" t="s">
        <v>7711</v>
      </c>
      <c r="D4198" s="22" t="s">
        <v>7710</v>
      </c>
      <c r="E4198" s="22" t="s">
        <v>7446</v>
      </c>
      <c r="F4198" s="24" t="s">
        <v>1881</v>
      </c>
      <c r="G4198" s="26" t="s">
        <v>8706</v>
      </c>
      <c r="H4198" s="22"/>
      <c r="I4198" s="22"/>
      <c r="J4198" s="22"/>
      <c r="K4198" s="24"/>
      <c r="L4198" s="24"/>
      <c r="M4198" s="25" t="s">
        <v>1882</v>
      </c>
      <c r="N4198" s="22"/>
      <c r="O4198" s="22" t="s">
        <v>1883</v>
      </c>
      <c r="P4198" s="22" t="str">
        <f>HYPERLINK("https://ceds.ed.gov/cedselementdetails.aspx?termid=22878")</f>
        <v>https://ceds.ed.gov/cedselementdetails.aspx?termid=22878</v>
      </c>
      <c r="Q4198" s="22">
        <v>63091</v>
      </c>
    </row>
    <row r="4199" spans="1:17" ht="28.8" x14ac:dyDescent="0.3">
      <c r="A4199" s="22" t="s">
        <v>7926</v>
      </c>
      <c r="B4199" s="22" t="s">
        <v>7723</v>
      </c>
      <c r="C4199" s="22" t="s">
        <v>7711</v>
      </c>
      <c r="D4199" s="22" t="s">
        <v>7710</v>
      </c>
      <c r="E4199" s="22" t="s">
        <v>3653</v>
      </c>
      <c r="F4199" s="24" t="s">
        <v>3654</v>
      </c>
      <c r="G4199" s="23" t="s">
        <v>32</v>
      </c>
      <c r="H4199" s="22"/>
      <c r="I4199" s="22"/>
      <c r="J4199" s="22" t="s">
        <v>118</v>
      </c>
      <c r="K4199" s="24"/>
      <c r="L4199" s="24"/>
      <c r="M4199" s="25" t="s">
        <v>3655</v>
      </c>
      <c r="N4199" s="22"/>
      <c r="O4199" s="22" t="s">
        <v>3656</v>
      </c>
      <c r="P4199" s="22" t="str">
        <f>HYPERLINK("https://ceds.ed.gov/cedselementdetails.aspx?termid=22749")</f>
        <v>https://ceds.ed.gov/cedselementdetails.aspx?termid=22749</v>
      </c>
      <c r="Q4199" s="22">
        <v>63092</v>
      </c>
    </row>
    <row r="4200" spans="1:17" ht="28.8" x14ac:dyDescent="0.3">
      <c r="A4200" s="22" t="s">
        <v>7926</v>
      </c>
      <c r="B4200" s="22" t="s">
        <v>7723</v>
      </c>
      <c r="C4200" s="22" t="s">
        <v>7711</v>
      </c>
      <c r="D4200" s="22" t="s">
        <v>7710</v>
      </c>
      <c r="E4200" s="22" t="s">
        <v>3657</v>
      </c>
      <c r="F4200" s="24" t="s">
        <v>3658</v>
      </c>
      <c r="G4200" s="23" t="s">
        <v>32</v>
      </c>
      <c r="H4200" s="22"/>
      <c r="I4200" s="22"/>
      <c r="J4200" s="22" t="s">
        <v>1844</v>
      </c>
      <c r="K4200" s="24"/>
      <c r="L4200" s="24"/>
      <c r="M4200" s="25" t="s">
        <v>3659</v>
      </c>
      <c r="N4200" s="22"/>
      <c r="O4200" s="22" t="s">
        <v>3660</v>
      </c>
      <c r="P4200" s="22" t="str">
        <f>HYPERLINK("https://ceds.ed.gov/cedselementdetails.aspx?termid=22750")</f>
        <v>https://ceds.ed.gov/cedselementdetails.aspx?termid=22750</v>
      </c>
      <c r="Q4200" s="22">
        <v>63093</v>
      </c>
    </row>
    <row r="4201" spans="1:17" ht="57.6" x14ac:dyDescent="0.3">
      <c r="A4201" s="22" t="s">
        <v>7926</v>
      </c>
      <c r="B4201" s="22" t="s">
        <v>7723</v>
      </c>
      <c r="C4201" s="22" t="s">
        <v>7711</v>
      </c>
      <c r="D4201" s="22" t="s">
        <v>7710</v>
      </c>
      <c r="E4201" s="22" t="s">
        <v>3673</v>
      </c>
      <c r="F4201" s="24" t="s">
        <v>3674</v>
      </c>
      <c r="G4201" s="23" t="s">
        <v>32</v>
      </c>
      <c r="H4201" s="22"/>
      <c r="I4201" s="22"/>
      <c r="J4201" s="22" t="s">
        <v>157</v>
      </c>
      <c r="K4201" s="24"/>
      <c r="L4201" s="24"/>
      <c r="M4201" s="25" t="s">
        <v>3675</v>
      </c>
      <c r="N4201" s="22" t="s">
        <v>3676</v>
      </c>
      <c r="O4201" s="22" t="s">
        <v>3677</v>
      </c>
      <c r="P4201" s="22" t="str">
        <f>HYPERLINK("https://ceds.ed.gov/cedselementdetails.aspx?termid=22755")</f>
        <v>https://ceds.ed.gov/cedselementdetails.aspx?termid=22755</v>
      </c>
      <c r="Q4201" s="22">
        <v>63094</v>
      </c>
    </row>
    <row r="4202" spans="1:17" ht="43.2" x14ac:dyDescent="0.3">
      <c r="A4202" s="22" t="s">
        <v>7926</v>
      </c>
      <c r="B4202" s="22" t="s">
        <v>7723</v>
      </c>
      <c r="C4202" s="22" t="s">
        <v>7711</v>
      </c>
      <c r="D4202" s="22" t="s">
        <v>7710</v>
      </c>
      <c r="E4202" s="22" t="s">
        <v>3682</v>
      </c>
      <c r="F4202" s="24" t="s">
        <v>3683</v>
      </c>
      <c r="G4202" s="26" t="s">
        <v>8865</v>
      </c>
      <c r="H4202" s="22"/>
      <c r="I4202" s="22"/>
      <c r="J4202" s="22"/>
      <c r="K4202" s="24"/>
      <c r="L4202" s="24"/>
      <c r="M4202" s="25" t="s">
        <v>3684</v>
      </c>
      <c r="N4202" s="22"/>
      <c r="O4202" s="22" t="s">
        <v>3685</v>
      </c>
      <c r="P4202" s="22" t="str">
        <f>HYPERLINK("https://ceds.ed.gov/cedselementdetails.aspx?termid=22751")</f>
        <v>https://ceds.ed.gov/cedselementdetails.aspx?termid=22751</v>
      </c>
      <c r="Q4202" s="22">
        <v>63095</v>
      </c>
    </row>
    <row r="4203" spans="1:17" x14ac:dyDescent="0.3">
      <c r="A4203" s="22" t="s">
        <v>7926</v>
      </c>
      <c r="B4203" s="22" t="s">
        <v>7723</v>
      </c>
      <c r="C4203" s="22" t="s">
        <v>7711</v>
      </c>
      <c r="D4203" s="22" t="s">
        <v>7710</v>
      </c>
      <c r="E4203" s="22" t="s">
        <v>3690</v>
      </c>
      <c r="F4203" s="24" t="s">
        <v>3691</v>
      </c>
      <c r="G4203" s="23" t="s">
        <v>32</v>
      </c>
      <c r="H4203" s="22"/>
      <c r="I4203" s="22"/>
      <c r="J4203" s="22" t="s">
        <v>3692</v>
      </c>
      <c r="K4203" s="24"/>
      <c r="L4203" s="24"/>
      <c r="M4203" s="25" t="s">
        <v>3693</v>
      </c>
      <c r="N4203" s="22"/>
      <c r="O4203" s="22" t="s">
        <v>3694</v>
      </c>
      <c r="P4203" s="22" t="str">
        <f>HYPERLINK("https://ceds.ed.gov/cedselementdetails.aspx?termid=22760")</f>
        <v>https://ceds.ed.gov/cedselementdetails.aspx?termid=22760</v>
      </c>
      <c r="Q4203" s="22">
        <v>63096</v>
      </c>
    </row>
    <row r="4204" spans="1:17" ht="43.2" x14ac:dyDescent="0.3">
      <c r="A4204" s="22" t="s">
        <v>7926</v>
      </c>
      <c r="B4204" s="22" t="s">
        <v>7723</v>
      </c>
      <c r="C4204" s="22" t="s">
        <v>7711</v>
      </c>
      <c r="D4204" s="22" t="s">
        <v>7710</v>
      </c>
      <c r="E4204" s="22" t="s">
        <v>3719</v>
      </c>
      <c r="F4204" s="24" t="s">
        <v>3720</v>
      </c>
      <c r="G4204" s="23" t="s">
        <v>32</v>
      </c>
      <c r="H4204" s="22"/>
      <c r="I4204" s="22"/>
      <c r="J4204" s="22" t="s">
        <v>118</v>
      </c>
      <c r="K4204" s="24"/>
      <c r="L4204" s="24"/>
      <c r="M4204" s="25" t="s">
        <v>3721</v>
      </c>
      <c r="N4204" s="22"/>
      <c r="O4204" s="22" t="s">
        <v>3722</v>
      </c>
      <c r="P4204" s="22" t="str">
        <f>HYPERLINK("https://ceds.ed.gov/cedselementdetails.aspx?termid=22761")</f>
        <v>https://ceds.ed.gov/cedselementdetails.aspx?termid=22761</v>
      </c>
      <c r="Q4204" s="22">
        <v>63097</v>
      </c>
    </row>
    <row r="4205" spans="1:17" ht="43.2" x14ac:dyDescent="0.3">
      <c r="A4205" s="22" t="s">
        <v>7926</v>
      </c>
      <c r="B4205" s="22" t="s">
        <v>7723</v>
      </c>
      <c r="C4205" s="22" t="s">
        <v>7711</v>
      </c>
      <c r="D4205" s="22" t="s">
        <v>7710</v>
      </c>
      <c r="E4205" s="22" t="s">
        <v>3723</v>
      </c>
      <c r="F4205" s="24" t="s">
        <v>3724</v>
      </c>
      <c r="G4205" s="26" t="s">
        <v>8869</v>
      </c>
      <c r="H4205" s="22"/>
      <c r="I4205" s="22"/>
      <c r="J4205" s="22"/>
      <c r="K4205" s="24"/>
      <c r="L4205" s="24"/>
      <c r="M4205" s="25" t="s">
        <v>3725</v>
      </c>
      <c r="N4205" s="22"/>
      <c r="O4205" s="22" t="s">
        <v>3726</v>
      </c>
      <c r="P4205" s="22" t="str">
        <f>HYPERLINK("https://ceds.ed.gov/cedselementdetails.aspx?termid=22762")</f>
        <v>https://ceds.ed.gov/cedselementdetails.aspx?termid=22762</v>
      </c>
      <c r="Q4205" s="22">
        <v>63098</v>
      </c>
    </row>
    <row r="4206" spans="1:17" ht="158.4" x14ac:dyDescent="0.3">
      <c r="A4206" s="22" t="s">
        <v>7926</v>
      </c>
      <c r="B4206" s="22" t="s">
        <v>7723</v>
      </c>
      <c r="C4206" s="22" t="s">
        <v>7711</v>
      </c>
      <c r="D4206" s="22" t="s">
        <v>7710</v>
      </c>
      <c r="E4206" s="22" t="s">
        <v>3727</v>
      </c>
      <c r="F4206" s="24" t="s">
        <v>3728</v>
      </c>
      <c r="G4206" s="26" t="s">
        <v>8870</v>
      </c>
      <c r="H4206" s="22"/>
      <c r="I4206" s="22"/>
      <c r="J4206" s="22"/>
      <c r="K4206" s="24"/>
      <c r="L4206" s="24"/>
      <c r="M4206" s="25" t="s">
        <v>3729</v>
      </c>
      <c r="N4206" s="22"/>
      <c r="O4206" s="22" t="s">
        <v>3730</v>
      </c>
      <c r="P4206" s="22" t="str">
        <f>HYPERLINK("https://ceds.ed.gov/cedselementdetails.aspx?termid=22763")</f>
        <v>https://ceds.ed.gov/cedselementdetails.aspx?termid=22763</v>
      </c>
      <c r="Q4206" s="22">
        <v>63099</v>
      </c>
    </row>
    <row r="4207" spans="1:17" x14ac:dyDescent="0.3">
      <c r="A4207" s="22" t="s">
        <v>7926</v>
      </c>
      <c r="B4207" s="22" t="s">
        <v>7723</v>
      </c>
      <c r="C4207" s="22" t="s">
        <v>7711</v>
      </c>
      <c r="D4207" s="22" t="s">
        <v>7710</v>
      </c>
      <c r="E4207" s="22" t="s">
        <v>3731</v>
      </c>
      <c r="F4207" s="24" t="s">
        <v>3732</v>
      </c>
      <c r="G4207" s="23" t="s">
        <v>32</v>
      </c>
      <c r="H4207" s="22"/>
      <c r="I4207" s="22"/>
      <c r="J4207" s="22" t="s">
        <v>1844</v>
      </c>
      <c r="K4207" s="24"/>
      <c r="L4207" s="24"/>
      <c r="M4207" s="25" t="s">
        <v>3733</v>
      </c>
      <c r="N4207" s="22"/>
      <c r="O4207" s="22" t="s">
        <v>3734</v>
      </c>
      <c r="P4207" s="22" t="str">
        <f>HYPERLINK("https://ceds.ed.gov/cedselementdetails.aspx?termid=22752")</f>
        <v>https://ceds.ed.gov/cedselementdetails.aspx?termid=22752</v>
      </c>
      <c r="Q4207" s="22">
        <v>63100</v>
      </c>
    </row>
    <row r="4208" spans="1:17" ht="43.2" x14ac:dyDescent="0.3">
      <c r="A4208" s="22" t="s">
        <v>7926</v>
      </c>
      <c r="B4208" s="22" t="s">
        <v>7723</v>
      </c>
      <c r="C4208" s="22" t="s">
        <v>7711</v>
      </c>
      <c r="D4208" s="22" t="s">
        <v>7710</v>
      </c>
      <c r="E4208" s="22" t="s">
        <v>3743</v>
      </c>
      <c r="F4208" s="24" t="s">
        <v>3744</v>
      </c>
      <c r="G4208" s="23" t="s">
        <v>32</v>
      </c>
      <c r="H4208" s="22"/>
      <c r="I4208" s="22"/>
      <c r="J4208" s="22" t="s">
        <v>1699</v>
      </c>
      <c r="K4208" s="24"/>
      <c r="L4208" s="24"/>
      <c r="M4208" s="25" t="s">
        <v>3745</v>
      </c>
      <c r="N4208" s="22"/>
      <c r="O4208" s="22" t="s">
        <v>3746</v>
      </c>
      <c r="P4208" s="22" t="str">
        <f>HYPERLINK("https://ceds.ed.gov/cedselementdetails.aspx?termid=22764")</f>
        <v>https://ceds.ed.gov/cedselementdetails.aspx?termid=22764</v>
      </c>
      <c r="Q4208" s="22">
        <v>63101</v>
      </c>
    </row>
    <row r="4209" spans="1:17" ht="43.2" x14ac:dyDescent="0.3">
      <c r="A4209" s="22" t="s">
        <v>7926</v>
      </c>
      <c r="B4209" s="22" t="s">
        <v>7723</v>
      </c>
      <c r="C4209" s="22" t="s">
        <v>7711</v>
      </c>
      <c r="D4209" s="22" t="s">
        <v>7710</v>
      </c>
      <c r="E4209" s="22" t="s">
        <v>3828</v>
      </c>
      <c r="F4209" s="24" t="s">
        <v>3829</v>
      </c>
      <c r="G4209" s="26" t="s">
        <v>22</v>
      </c>
      <c r="H4209" s="22"/>
      <c r="I4209" s="22"/>
      <c r="J4209" s="22"/>
      <c r="K4209" s="24"/>
      <c r="L4209" s="24"/>
      <c r="M4209" s="25" t="s">
        <v>3830</v>
      </c>
      <c r="N4209" s="22"/>
      <c r="O4209" s="22" t="s">
        <v>3831</v>
      </c>
      <c r="P4209" s="22" t="str">
        <f>HYPERLINK("https://ceds.ed.gov/cedselementdetails.aspx?termid=22887")</f>
        <v>https://ceds.ed.gov/cedselementdetails.aspx?termid=22887</v>
      </c>
      <c r="Q4209" s="22">
        <v>63102</v>
      </c>
    </row>
    <row r="4210" spans="1:17" ht="43.2" x14ac:dyDescent="0.3">
      <c r="A4210" s="22" t="s">
        <v>7926</v>
      </c>
      <c r="B4210" s="22" t="s">
        <v>7723</v>
      </c>
      <c r="C4210" s="22" t="s">
        <v>7711</v>
      </c>
      <c r="D4210" s="22" t="s">
        <v>7710</v>
      </c>
      <c r="E4210" s="22" t="s">
        <v>3836</v>
      </c>
      <c r="F4210" s="24" t="s">
        <v>3837</v>
      </c>
      <c r="G4210" s="23" t="s">
        <v>32</v>
      </c>
      <c r="H4210" s="22"/>
      <c r="I4210" s="22"/>
      <c r="J4210" s="22" t="s">
        <v>1518</v>
      </c>
      <c r="K4210" s="24"/>
      <c r="L4210" s="24"/>
      <c r="M4210" s="25" t="s">
        <v>3838</v>
      </c>
      <c r="N4210" s="22"/>
      <c r="O4210" s="22" t="s">
        <v>3839</v>
      </c>
      <c r="P4210" s="22" t="str">
        <f>HYPERLINK("https://ceds.ed.gov/cedselementdetails.aspx?termid=22765")</f>
        <v>https://ceds.ed.gov/cedselementdetails.aspx?termid=22765</v>
      </c>
      <c r="Q4210" s="22">
        <v>63103</v>
      </c>
    </row>
    <row r="4211" spans="1:17" ht="72" x14ac:dyDescent="0.3">
      <c r="A4211" s="22" t="s">
        <v>7926</v>
      </c>
      <c r="B4211" s="22" t="s">
        <v>7723</v>
      </c>
      <c r="C4211" s="22" t="s">
        <v>7711</v>
      </c>
      <c r="D4211" s="22" t="s">
        <v>7710</v>
      </c>
      <c r="E4211" s="22" t="s">
        <v>3840</v>
      </c>
      <c r="F4211" s="24" t="s">
        <v>3841</v>
      </c>
      <c r="G4211" s="23" t="s">
        <v>32</v>
      </c>
      <c r="H4211" s="22"/>
      <c r="I4211" s="22"/>
      <c r="J4211" s="22" t="s">
        <v>3842</v>
      </c>
      <c r="K4211" s="24"/>
      <c r="L4211" s="24"/>
      <c r="M4211" s="25" t="s">
        <v>3843</v>
      </c>
      <c r="N4211" s="22"/>
      <c r="O4211" s="22" t="s">
        <v>3844</v>
      </c>
      <c r="P4211" s="22" t="str">
        <f>HYPERLINK("https://ceds.ed.gov/cedselementdetails.aspx?termid=22754")</f>
        <v>https://ceds.ed.gov/cedselementdetails.aspx?termid=22754</v>
      </c>
      <c r="Q4211" s="22">
        <v>63104</v>
      </c>
    </row>
    <row r="4212" spans="1:17" ht="43.2" x14ac:dyDescent="0.3">
      <c r="A4212" s="22" t="s">
        <v>7926</v>
      </c>
      <c r="B4212" s="22" t="s">
        <v>7723</v>
      </c>
      <c r="C4212" s="22" t="s">
        <v>7711</v>
      </c>
      <c r="D4212" s="22" t="s">
        <v>7710</v>
      </c>
      <c r="E4212" s="22" t="s">
        <v>3845</v>
      </c>
      <c r="F4212" s="24" t="s">
        <v>3846</v>
      </c>
      <c r="G4212" s="23" t="s">
        <v>32</v>
      </c>
      <c r="H4212" s="22"/>
      <c r="I4212" s="22"/>
      <c r="J4212" s="22" t="s">
        <v>1165</v>
      </c>
      <c r="K4212" s="24"/>
      <c r="L4212" s="24"/>
      <c r="M4212" s="25" t="s">
        <v>3847</v>
      </c>
      <c r="N4212" s="22"/>
      <c r="O4212" s="22" t="s">
        <v>3848</v>
      </c>
      <c r="P4212" s="22" t="str">
        <f>HYPERLINK("https://ceds.ed.gov/cedselementdetails.aspx?termid=22767")</f>
        <v>https://ceds.ed.gov/cedselementdetails.aspx?termid=22767</v>
      </c>
      <c r="Q4212" s="22">
        <v>63105</v>
      </c>
    </row>
    <row r="4213" spans="1:17" ht="230.4" x14ac:dyDescent="0.3">
      <c r="A4213" s="22" t="s">
        <v>7926</v>
      </c>
      <c r="B4213" s="22" t="s">
        <v>7723</v>
      </c>
      <c r="C4213" s="22" t="s">
        <v>7711</v>
      </c>
      <c r="D4213" s="22" t="s">
        <v>7710</v>
      </c>
      <c r="E4213" s="22" t="s">
        <v>3849</v>
      </c>
      <c r="F4213" s="24" t="s">
        <v>3850</v>
      </c>
      <c r="G4213" s="26" t="s">
        <v>8885</v>
      </c>
      <c r="H4213" s="22"/>
      <c r="I4213" s="22"/>
      <c r="J4213" s="22"/>
      <c r="K4213" s="24"/>
      <c r="L4213" s="24"/>
      <c r="M4213" s="25" t="s">
        <v>3851</v>
      </c>
      <c r="N4213" s="22"/>
      <c r="O4213" s="22" t="s">
        <v>3852</v>
      </c>
      <c r="P4213" s="22" t="str">
        <f>HYPERLINK("https://ceds.ed.gov/cedselementdetails.aspx?termid=22768")</f>
        <v>https://ceds.ed.gov/cedselementdetails.aspx?termid=22768</v>
      </c>
      <c r="Q4213" s="22">
        <v>63106</v>
      </c>
    </row>
    <row r="4214" spans="1:17" ht="86.4" x14ac:dyDescent="0.3">
      <c r="A4214" s="22" t="s">
        <v>7926</v>
      </c>
      <c r="B4214" s="22" t="s">
        <v>7723</v>
      </c>
      <c r="C4214" s="22" t="s">
        <v>7711</v>
      </c>
      <c r="D4214" s="22" t="s">
        <v>7710</v>
      </c>
      <c r="E4214" s="22" t="s">
        <v>5707</v>
      </c>
      <c r="F4214" s="24" t="s">
        <v>5708</v>
      </c>
      <c r="G4214" s="26" t="s">
        <v>8491</v>
      </c>
      <c r="H4214" s="22"/>
      <c r="I4214" s="22" t="s">
        <v>172</v>
      </c>
      <c r="J4214" s="22"/>
      <c r="K4214" s="24" t="s">
        <v>8263</v>
      </c>
      <c r="L4214" s="24" t="s">
        <v>8264</v>
      </c>
      <c r="M4214" s="25" t="s">
        <v>5709</v>
      </c>
      <c r="N4214" s="22"/>
      <c r="O4214" s="22" t="s">
        <v>5710</v>
      </c>
      <c r="P4214" s="22" t="str">
        <f>HYPERLINK("https://ceds.ed.gov/cedselementdetails.aspx?termid=22886")</f>
        <v>https://ceds.ed.gov/cedselementdetails.aspx?termid=22886</v>
      </c>
      <c r="Q4214" s="22">
        <v>63107</v>
      </c>
    </row>
    <row r="4215" spans="1:17" ht="86.4" x14ac:dyDescent="0.3">
      <c r="A4215" s="22" t="s">
        <v>7926</v>
      </c>
      <c r="B4215" s="22" t="s">
        <v>7723</v>
      </c>
      <c r="C4215" s="22" t="s">
        <v>7711</v>
      </c>
      <c r="D4215" s="22" t="s">
        <v>7741</v>
      </c>
      <c r="E4215" s="22" t="s">
        <v>8312</v>
      </c>
      <c r="F4215" s="24" t="s">
        <v>8313</v>
      </c>
      <c r="G4215" s="23" t="s">
        <v>32</v>
      </c>
      <c r="H4215" s="22"/>
      <c r="I4215" s="22" t="s">
        <v>172</v>
      </c>
      <c r="J4215" s="22" t="s">
        <v>85</v>
      </c>
      <c r="K4215" s="24" t="s">
        <v>8314</v>
      </c>
      <c r="L4215" s="24" t="s">
        <v>6772</v>
      </c>
      <c r="M4215" s="25" t="s">
        <v>6773</v>
      </c>
      <c r="N4215" s="22"/>
      <c r="O4215" s="22" t="s">
        <v>8315</v>
      </c>
      <c r="P4215" s="22" t="str">
        <f>HYPERLINK("https://ceds.ed.gov/cedselementdetails.aspx?termid=22459")</f>
        <v>https://ceds.ed.gov/cedselementdetails.aspx?termid=22459</v>
      </c>
      <c r="Q4215" s="22">
        <v>63876</v>
      </c>
    </row>
    <row r="4216" spans="1:17" ht="72" x14ac:dyDescent="0.3">
      <c r="A4216" s="22" t="s">
        <v>7926</v>
      </c>
      <c r="B4216" s="22" t="s">
        <v>7723</v>
      </c>
      <c r="C4216" s="22" t="s">
        <v>7712</v>
      </c>
      <c r="D4216" s="22" t="s">
        <v>7710</v>
      </c>
      <c r="E4216" s="22" t="s">
        <v>199</v>
      </c>
      <c r="F4216" s="24" t="s">
        <v>200</v>
      </c>
      <c r="G4216" s="26" t="s">
        <v>8394</v>
      </c>
      <c r="H4216" s="24" t="s">
        <v>64</v>
      </c>
      <c r="I4216" s="22" t="s">
        <v>172</v>
      </c>
      <c r="J4216" s="22" t="s">
        <v>85</v>
      </c>
      <c r="K4216" s="24" t="s">
        <v>7946</v>
      </c>
      <c r="L4216" s="24"/>
      <c r="M4216" s="25" t="s">
        <v>201</v>
      </c>
      <c r="N4216" s="22"/>
      <c r="O4216" s="22" t="s">
        <v>202</v>
      </c>
      <c r="P4216" s="22" t="str">
        <f>HYPERLINK("https://ceds.ed.gov/cedselementdetails.aspx?termid=21644")</f>
        <v>https://ceds.ed.gov/cedselementdetails.aspx?termid=21644</v>
      </c>
      <c r="Q4216" s="22">
        <v>59602</v>
      </c>
    </row>
    <row r="4217" spans="1:17" ht="187.2" x14ac:dyDescent="0.3">
      <c r="A4217" s="22" t="s">
        <v>7926</v>
      </c>
      <c r="B4217" s="22" t="s">
        <v>7723</v>
      </c>
      <c r="C4217" s="22" t="s">
        <v>7712</v>
      </c>
      <c r="D4217" s="22" t="s">
        <v>7710</v>
      </c>
      <c r="E4217" s="22" t="s">
        <v>189</v>
      </c>
      <c r="F4217" s="24" t="s">
        <v>190</v>
      </c>
      <c r="G4217" s="23" t="s">
        <v>32</v>
      </c>
      <c r="H4217" s="24" t="s">
        <v>175</v>
      </c>
      <c r="I4217" s="22" t="s">
        <v>172</v>
      </c>
      <c r="J4217" s="22" t="s">
        <v>191</v>
      </c>
      <c r="K4217" s="24" t="s">
        <v>7946</v>
      </c>
      <c r="L4217" s="24"/>
      <c r="M4217" s="25" t="s">
        <v>192</v>
      </c>
      <c r="N4217" s="22"/>
      <c r="O4217" s="22" t="s">
        <v>193</v>
      </c>
      <c r="P4217" s="22" t="str">
        <f>HYPERLINK("https://ceds.ed.gov/cedselementdetails.aspx?termid=21269")</f>
        <v>https://ceds.ed.gov/cedselementdetails.aspx?termid=21269</v>
      </c>
      <c r="Q4217" s="22">
        <v>59603</v>
      </c>
    </row>
    <row r="4218" spans="1:17" ht="187.2" x14ac:dyDescent="0.3">
      <c r="A4218" s="22" t="s">
        <v>7926</v>
      </c>
      <c r="B4218" s="22" t="s">
        <v>7723</v>
      </c>
      <c r="C4218" s="22" t="s">
        <v>7712</v>
      </c>
      <c r="D4218" s="22" t="s">
        <v>7710</v>
      </c>
      <c r="E4218" s="22" t="s">
        <v>170</v>
      </c>
      <c r="F4218" s="24" t="s">
        <v>171</v>
      </c>
      <c r="G4218" s="23" t="s">
        <v>32</v>
      </c>
      <c r="H4218" s="24" t="s">
        <v>175</v>
      </c>
      <c r="I4218" s="22" t="s">
        <v>172</v>
      </c>
      <c r="J4218" s="22" t="s">
        <v>157</v>
      </c>
      <c r="K4218" s="24" t="s">
        <v>7946</v>
      </c>
      <c r="L4218" s="24"/>
      <c r="M4218" s="25" t="s">
        <v>173</v>
      </c>
      <c r="N4218" s="22"/>
      <c r="O4218" s="22" t="s">
        <v>174</v>
      </c>
      <c r="P4218" s="22" t="str">
        <f>HYPERLINK("https://ceds.ed.gov/cedselementdetails.aspx?termid=21019")</f>
        <v>https://ceds.ed.gov/cedselementdetails.aspx?termid=21019</v>
      </c>
      <c r="Q4218" s="22">
        <v>59604</v>
      </c>
    </row>
    <row r="4219" spans="1:17" ht="187.2" x14ac:dyDescent="0.3">
      <c r="A4219" s="22" t="s">
        <v>7926</v>
      </c>
      <c r="B4219" s="22" t="s">
        <v>7723</v>
      </c>
      <c r="C4219" s="22" t="s">
        <v>7712</v>
      </c>
      <c r="D4219" s="22" t="s">
        <v>7710</v>
      </c>
      <c r="E4219" s="22" t="s">
        <v>176</v>
      </c>
      <c r="F4219" s="24" t="s">
        <v>177</v>
      </c>
      <c r="G4219" s="23" t="s">
        <v>32</v>
      </c>
      <c r="H4219" s="24" t="s">
        <v>175</v>
      </c>
      <c r="I4219" s="22" t="s">
        <v>172</v>
      </c>
      <c r="J4219" s="22" t="s">
        <v>85</v>
      </c>
      <c r="K4219" s="24" t="s">
        <v>7946</v>
      </c>
      <c r="L4219" s="24"/>
      <c r="M4219" s="25" t="s">
        <v>178</v>
      </c>
      <c r="N4219" s="22"/>
      <c r="O4219" s="22" t="s">
        <v>179</v>
      </c>
      <c r="P4219" s="22" t="str">
        <f>HYPERLINK("https://ceds.ed.gov/cedselementdetails.aspx?termid=21040")</f>
        <v>https://ceds.ed.gov/cedselementdetails.aspx?termid=21040</v>
      </c>
      <c r="Q4219" s="22">
        <v>59605</v>
      </c>
    </row>
    <row r="4220" spans="1:17" ht="409.6" x14ac:dyDescent="0.3">
      <c r="A4220" s="22" t="s">
        <v>7926</v>
      </c>
      <c r="B4220" s="22" t="s">
        <v>7723</v>
      </c>
      <c r="C4220" s="22" t="s">
        <v>7712</v>
      </c>
      <c r="D4220" s="22" t="s">
        <v>7710</v>
      </c>
      <c r="E4220" s="22" t="s">
        <v>6941</v>
      </c>
      <c r="F4220" s="24" t="s">
        <v>6942</v>
      </c>
      <c r="G4220" s="26" t="s">
        <v>8533</v>
      </c>
      <c r="H4220" s="24" t="s">
        <v>6945</v>
      </c>
      <c r="I4220" s="22" t="s">
        <v>172</v>
      </c>
      <c r="J4220" s="22"/>
      <c r="K4220" s="24" t="s">
        <v>8327</v>
      </c>
      <c r="L4220" s="24"/>
      <c r="M4220" s="25" t="s">
        <v>6943</v>
      </c>
      <c r="N4220" s="22"/>
      <c r="O4220" s="22" t="s">
        <v>6944</v>
      </c>
      <c r="P4220" s="22" t="str">
        <f>HYPERLINK("https://ceds.ed.gov/cedselementdetails.aspx?termid=21267")</f>
        <v>https://ceds.ed.gov/cedselementdetails.aspx?termid=21267</v>
      </c>
      <c r="Q4220" s="22">
        <v>59608</v>
      </c>
    </row>
    <row r="4221" spans="1:17" ht="187.2" x14ac:dyDescent="0.3">
      <c r="A4221" s="22" t="s">
        <v>7926</v>
      </c>
      <c r="B4221" s="22" t="s">
        <v>7723</v>
      </c>
      <c r="C4221" s="22" t="s">
        <v>7712</v>
      </c>
      <c r="D4221" s="22" t="s">
        <v>7710</v>
      </c>
      <c r="E4221" s="22" t="s">
        <v>184</v>
      </c>
      <c r="F4221" s="24" t="s">
        <v>185</v>
      </c>
      <c r="G4221" s="23" t="s">
        <v>32</v>
      </c>
      <c r="H4221" s="24" t="s">
        <v>175</v>
      </c>
      <c r="I4221" s="22" t="s">
        <v>172</v>
      </c>
      <c r="J4221" s="22" t="s">
        <v>186</v>
      </c>
      <c r="K4221" s="24" t="s">
        <v>7946</v>
      </c>
      <c r="L4221" s="24"/>
      <c r="M4221" s="25" t="s">
        <v>187</v>
      </c>
      <c r="N4221" s="22"/>
      <c r="O4221" s="22" t="s">
        <v>188</v>
      </c>
      <c r="P4221" s="22" t="str">
        <f>HYPERLINK("https://ceds.ed.gov/cedselementdetails.aspx?termid=21214")</f>
        <v>https://ceds.ed.gov/cedselementdetails.aspx?termid=21214</v>
      </c>
      <c r="Q4221" s="22">
        <v>59606</v>
      </c>
    </row>
    <row r="4222" spans="1:17" ht="187.2" x14ac:dyDescent="0.3">
      <c r="A4222" s="22" t="s">
        <v>7926</v>
      </c>
      <c r="B4222" s="22" t="s">
        <v>7723</v>
      </c>
      <c r="C4222" s="22" t="s">
        <v>7712</v>
      </c>
      <c r="D4222" s="22" t="s">
        <v>7710</v>
      </c>
      <c r="E4222" s="22" t="s">
        <v>180</v>
      </c>
      <c r="F4222" s="24" t="s">
        <v>181</v>
      </c>
      <c r="G4222" s="23" t="s">
        <v>32</v>
      </c>
      <c r="H4222" s="24" t="s">
        <v>175</v>
      </c>
      <c r="I4222" s="22" t="s">
        <v>172</v>
      </c>
      <c r="J4222" s="22" t="s">
        <v>85</v>
      </c>
      <c r="K4222" s="24" t="s">
        <v>7946</v>
      </c>
      <c r="L4222" s="24"/>
      <c r="M4222" s="25" t="s">
        <v>182</v>
      </c>
      <c r="N4222" s="22"/>
      <c r="O4222" s="22" t="s">
        <v>183</v>
      </c>
      <c r="P4222" s="22" t="str">
        <f>HYPERLINK("https://ceds.ed.gov/cedselementdetails.aspx?termid=21190")</f>
        <v>https://ceds.ed.gov/cedselementdetails.aspx?termid=21190</v>
      </c>
      <c r="Q4222" s="22">
        <v>59607</v>
      </c>
    </row>
    <row r="4223" spans="1:17" ht="57.6" x14ac:dyDescent="0.3">
      <c r="A4223" s="22" t="s">
        <v>7926</v>
      </c>
      <c r="B4223" s="22" t="s">
        <v>7723</v>
      </c>
      <c r="C4223" s="22" t="s">
        <v>7712</v>
      </c>
      <c r="D4223" s="22" t="s">
        <v>7710</v>
      </c>
      <c r="E4223" s="22" t="s">
        <v>4982</v>
      </c>
      <c r="F4223" s="24" t="s">
        <v>4983</v>
      </c>
      <c r="G4223" s="23" t="s">
        <v>32</v>
      </c>
      <c r="H4223" s="22"/>
      <c r="I4223" s="22"/>
      <c r="J4223" s="22" t="s">
        <v>1165</v>
      </c>
      <c r="K4223" s="24"/>
      <c r="L4223" s="24"/>
      <c r="M4223" s="25" t="s">
        <v>4984</v>
      </c>
      <c r="N4223" s="22"/>
      <c r="O4223" s="22" t="s">
        <v>4982</v>
      </c>
      <c r="P4223" s="22" t="str">
        <f>HYPERLINK("https://ceds.ed.gov/cedselementdetails.aspx?termid=21599")</f>
        <v>https://ceds.ed.gov/cedselementdetails.aspx?termid=21599</v>
      </c>
      <c r="Q4223" s="22">
        <v>62254</v>
      </c>
    </row>
    <row r="4224" spans="1:17" ht="57.6" x14ac:dyDescent="0.3">
      <c r="A4224" s="22" t="s">
        <v>7926</v>
      </c>
      <c r="B4224" s="22" t="s">
        <v>7723</v>
      </c>
      <c r="C4224" s="22" t="s">
        <v>7712</v>
      </c>
      <c r="D4224" s="22" t="s">
        <v>7710</v>
      </c>
      <c r="E4224" s="22" t="s">
        <v>5372</v>
      </c>
      <c r="F4224" s="24" t="s">
        <v>5373</v>
      </c>
      <c r="G4224" s="23" t="s">
        <v>32</v>
      </c>
      <c r="H4224" s="22"/>
      <c r="I4224" s="22"/>
      <c r="J4224" s="22" t="s">
        <v>1165</v>
      </c>
      <c r="K4224" s="24"/>
      <c r="L4224" s="24"/>
      <c r="M4224" s="25" t="s">
        <v>5374</v>
      </c>
      <c r="N4224" s="22"/>
      <c r="O4224" s="22" t="s">
        <v>5372</v>
      </c>
      <c r="P4224" s="22" t="str">
        <f>HYPERLINK("https://ceds.ed.gov/cedselementdetails.aspx?termid=21600")</f>
        <v>https://ceds.ed.gov/cedselementdetails.aspx?termid=21600</v>
      </c>
      <c r="Q4224" s="22">
        <v>62277</v>
      </c>
    </row>
    <row r="4225" spans="1:17" ht="43.2" x14ac:dyDescent="0.3">
      <c r="A4225" s="22" t="s">
        <v>7926</v>
      </c>
      <c r="B4225" s="22" t="s">
        <v>7723</v>
      </c>
      <c r="C4225" s="22" t="s">
        <v>7712</v>
      </c>
      <c r="D4225" s="22" t="s">
        <v>7710</v>
      </c>
      <c r="E4225" s="22" t="s">
        <v>1798</v>
      </c>
      <c r="F4225" s="24" t="s">
        <v>1799</v>
      </c>
      <c r="G4225" s="23" t="s">
        <v>32</v>
      </c>
      <c r="H4225" s="22"/>
      <c r="I4225" s="22" t="s">
        <v>172</v>
      </c>
      <c r="J4225" s="22" t="s">
        <v>157</v>
      </c>
      <c r="K4225" s="24" t="s">
        <v>7946</v>
      </c>
      <c r="L4225" s="24"/>
      <c r="M4225" s="25" t="s">
        <v>1800</v>
      </c>
      <c r="N4225" s="22"/>
      <c r="O4225" s="22" t="s">
        <v>1801</v>
      </c>
      <c r="P4225" s="22" t="str">
        <f>HYPERLINK("https://ceds.ed.gov/cedselementdetails.aspx?termid=21595")</f>
        <v>https://ceds.ed.gov/cedselementdetails.aspx?termid=21595</v>
      </c>
      <c r="Q4225" s="22">
        <v>62999</v>
      </c>
    </row>
    <row r="4226" spans="1:17" ht="158.4" x14ac:dyDescent="0.3">
      <c r="A4226" s="22" t="s">
        <v>7926</v>
      </c>
      <c r="B4226" s="22" t="s">
        <v>7723</v>
      </c>
      <c r="C4226" s="22" t="s">
        <v>7712</v>
      </c>
      <c r="D4226" s="22" t="s">
        <v>7710</v>
      </c>
      <c r="E4226" s="22" t="s">
        <v>2536</v>
      </c>
      <c r="F4226" s="24" t="s">
        <v>2537</v>
      </c>
      <c r="G4226" s="23" t="s">
        <v>32</v>
      </c>
      <c r="H4226" s="22"/>
      <c r="I4226" s="22"/>
      <c r="J4226" s="22" t="s">
        <v>2538</v>
      </c>
      <c r="K4226" s="24"/>
      <c r="L4226" s="24"/>
      <c r="M4226" s="25" t="s">
        <v>2539</v>
      </c>
      <c r="N4226" s="22"/>
      <c r="O4226" s="22" t="s">
        <v>2540</v>
      </c>
      <c r="P4226" s="22" t="str">
        <f>HYPERLINK("https://ceds.ed.gov/cedselementdetails.aspx?termid=22176")</f>
        <v>https://ceds.ed.gov/cedselementdetails.aspx?termid=22176</v>
      </c>
      <c r="Q4226" s="22">
        <v>63000</v>
      </c>
    </row>
    <row r="4227" spans="1:17" ht="57.6" x14ac:dyDescent="0.3">
      <c r="A4227" s="22" t="s">
        <v>7926</v>
      </c>
      <c r="B4227" s="22" t="s">
        <v>7723</v>
      </c>
      <c r="C4227" s="22" t="s">
        <v>7712</v>
      </c>
      <c r="D4227" s="22" t="s">
        <v>7710</v>
      </c>
      <c r="E4227" s="22" t="s">
        <v>3228</v>
      </c>
      <c r="F4227" s="24" t="s">
        <v>3229</v>
      </c>
      <c r="G4227" s="26" t="s">
        <v>3039</v>
      </c>
      <c r="H4227" s="22"/>
      <c r="I4227" s="22" t="s">
        <v>172</v>
      </c>
      <c r="J4227" s="22"/>
      <c r="K4227" s="24" t="s">
        <v>7946</v>
      </c>
      <c r="L4227" s="24"/>
      <c r="M4227" s="25" t="s">
        <v>3230</v>
      </c>
      <c r="N4227" s="22"/>
      <c r="O4227" s="22" t="s">
        <v>3231</v>
      </c>
      <c r="P4227" s="22" t="str">
        <f>HYPERLINK("https://ceds.ed.gov/cedselementdetails.aspx?termid=22905")</f>
        <v>https://ceds.ed.gov/cedselementdetails.aspx?termid=22905</v>
      </c>
      <c r="Q4227" s="22">
        <v>63310</v>
      </c>
    </row>
    <row r="4228" spans="1:17" ht="115.2" x14ac:dyDescent="0.3">
      <c r="A4228" s="22" t="s">
        <v>7926</v>
      </c>
      <c r="B4228" s="22" t="s">
        <v>7723</v>
      </c>
      <c r="C4228" s="22" t="s">
        <v>7927</v>
      </c>
      <c r="D4228" s="22" t="s">
        <v>7710</v>
      </c>
      <c r="E4228" s="22" t="s">
        <v>1587</v>
      </c>
      <c r="F4228" s="24" t="s">
        <v>1588</v>
      </c>
      <c r="G4228" s="26" t="s">
        <v>8658</v>
      </c>
      <c r="H4228" s="22"/>
      <c r="I4228" s="22"/>
      <c r="J4228" s="22"/>
      <c r="K4228" s="24"/>
      <c r="L4228" s="24"/>
      <c r="M4228" s="25" t="s">
        <v>1590</v>
      </c>
      <c r="N4228" s="22"/>
      <c r="O4228" s="22" t="s">
        <v>1591</v>
      </c>
      <c r="P4228" s="22" t="str">
        <f>HYPERLINK("https://ceds.ed.gov/cedselementdetails.aspx?termid=22771")</f>
        <v>https://ceds.ed.gov/cedselementdetails.aspx?termid=22771</v>
      </c>
      <c r="Q4228" s="22">
        <v>63017</v>
      </c>
    </row>
    <row r="4229" spans="1:17" ht="100.8" x14ac:dyDescent="0.3">
      <c r="A4229" s="22" t="s">
        <v>7926</v>
      </c>
      <c r="B4229" s="22" t="s">
        <v>7723</v>
      </c>
      <c r="C4229" s="22" t="s">
        <v>7927</v>
      </c>
      <c r="D4229" s="22" t="s">
        <v>7710</v>
      </c>
      <c r="E4229" s="22" t="s">
        <v>1637</v>
      </c>
      <c r="F4229" s="24" t="s">
        <v>1638</v>
      </c>
      <c r="G4229" s="26" t="s">
        <v>8666</v>
      </c>
      <c r="H4229" s="22"/>
      <c r="I4229" s="22"/>
      <c r="J4229" s="22"/>
      <c r="K4229" s="24"/>
      <c r="L4229" s="24"/>
      <c r="M4229" s="25" t="s">
        <v>1639</v>
      </c>
      <c r="N4229" s="22"/>
      <c r="O4229" s="22" t="s">
        <v>1640</v>
      </c>
      <c r="P4229" s="22" t="str">
        <f>HYPERLINK("https://ceds.ed.gov/cedselementdetails.aspx?termid=22772")</f>
        <v>https://ceds.ed.gov/cedselementdetails.aspx?termid=22772</v>
      </c>
      <c r="Q4229" s="22">
        <v>63018</v>
      </c>
    </row>
    <row r="4230" spans="1:17" ht="129.6" x14ac:dyDescent="0.3">
      <c r="A4230" s="22" t="s">
        <v>7926</v>
      </c>
      <c r="B4230" s="22" t="s">
        <v>7723</v>
      </c>
      <c r="C4230" s="22" t="s">
        <v>7927</v>
      </c>
      <c r="D4230" s="22" t="s">
        <v>7710</v>
      </c>
      <c r="E4230" s="22" t="s">
        <v>1645</v>
      </c>
      <c r="F4230" s="24" t="s">
        <v>1646</v>
      </c>
      <c r="G4230" s="26" t="s">
        <v>8668</v>
      </c>
      <c r="H4230" s="22"/>
      <c r="I4230" s="22"/>
      <c r="J4230" s="22"/>
      <c r="K4230" s="24"/>
      <c r="L4230" s="24"/>
      <c r="M4230" s="25" t="s">
        <v>1647</v>
      </c>
      <c r="N4230" s="22"/>
      <c r="O4230" s="22" t="s">
        <v>1648</v>
      </c>
      <c r="P4230" s="22" t="str">
        <f>HYPERLINK("https://ceds.ed.gov/cedselementdetails.aspx?termid=22775")</f>
        <v>https://ceds.ed.gov/cedselementdetails.aspx?termid=22775</v>
      </c>
      <c r="Q4230" s="22">
        <v>63019</v>
      </c>
    </row>
    <row r="4231" spans="1:17" ht="144" x14ac:dyDescent="0.3">
      <c r="A4231" s="22" t="s">
        <v>7926</v>
      </c>
      <c r="B4231" s="22" t="s">
        <v>7723</v>
      </c>
      <c r="C4231" s="22" t="s">
        <v>7927</v>
      </c>
      <c r="D4231" s="22" t="s">
        <v>7710</v>
      </c>
      <c r="E4231" s="22" t="s">
        <v>1657</v>
      </c>
      <c r="F4231" s="24" t="s">
        <v>1658</v>
      </c>
      <c r="G4231" s="26" t="s">
        <v>8670</v>
      </c>
      <c r="H4231" s="22"/>
      <c r="I4231" s="22"/>
      <c r="J4231" s="22"/>
      <c r="K4231" s="24"/>
      <c r="L4231" s="24"/>
      <c r="M4231" s="25" t="s">
        <v>1659</v>
      </c>
      <c r="N4231" s="22"/>
      <c r="O4231" s="22" t="s">
        <v>1660</v>
      </c>
      <c r="P4231" s="22" t="str">
        <f>HYPERLINK("https://ceds.ed.gov/cedselementdetails.aspx?termid=22776")</f>
        <v>https://ceds.ed.gov/cedselementdetails.aspx?termid=22776</v>
      </c>
      <c r="Q4231" s="22">
        <v>63020</v>
      </c>
    </row>
    <row r="4232" spans="1:17" ht="129.6" x14ac:dyDescent="0.3">
      <c r="A4232" s="22" t="s">
        <v>7926</v>
      </c>
      <c r="B4232" s="22" t="s">
        <v>7723</v>
      </c>
      <c r="C4232" s="22" t="s">
        <v>7927</v>
      </c>
      <c r="D4232" s="22" t="s">
        <v>7710</v>
      </c>
      <c r="E4232" s="22" t="s">
        <v>1677</v>
      </c>
      <c r="F4232" s="24" t="s">
        <v>1678</v>
      </c>
      <c r="G4232" s="26" t="s">
        <v>8674</v>
      </c>
      <c r="H4232" s="22"/>
      <c r="I4232" s="22"/>
      <c r="J4232" s="22"/>
      <c r="K4232" s="24"/>
      <c r="L4232" s="24"/>
      <c r="M4232" s="25" t="s">
        <v>1679</v>
      </c>
      <c r="N4232" s="22"/>
      <c r="O4232" s="22" t="s">
        <v>1680</v>
      </c>
      <c r="P4232" s="22" t="str">
        <f>HYPERLINK("https://ceds.ed.gov/cedselementdetails.aspx?termid=22779")</f>
        <v>https://ceds.ed.gov/cedselementdetails.aspx?termid=22779</v>
      </c>
      <c r="Q4232" s="22">
        <v>63021</v>
      </c>
    </row>
    <row r="4233" spans="1:17" ht="158.4" x14ac:dyDescent="0.3">
      <c r="A4233" s="22" t="s">
        <v>7926</v>
      </c>
      <c r="B4233" s="22" t="s">
        <v>7723</v>
      </c>
      <c r="C4233" s="22" t="s">
        <v>7927</v>
      </c>
      <c r="D4233" s="22" t="s">
        <v>7710</v>
      </c>
      <c r="E4233" s="22" t="s">
        <v>1689</v>
      </c>
      <c r="F4233" s="24" t="s">
        <v>1690</v>
      </c>
      <c r="G4233" s="26" t="s">
        <v>8677</v>
      </c>
      <c r="H4233" s="22"/>
      <c r="I4233" s="22"/>
      <c r="J4233" s="22"/>
      <c r="K4233" s="24"/>
      <c r="L4233" s="24"/>
      <c r="M4233" s="25" t="s">
        <v>1691</v>
      </c>
      <c r="N4233" s="22"/>
      <c r="O4233" s="22" t="s">
        <v>1692</v>
      </c>
      <c r="P4233" s="22" t="str">
        <f>HYPERLINK("https://ceds.ed.gov/cedselementdetails.aspx?termid=22780")</f>
        <v>https://ceds.ed.gov/cedselementdetails.aspx?termid=22780</v>
      </c>
      <c r="Q4233" s="22">
        <v>63022</v>
      </c>
    </row>
    <row r="4234" spans="1:17" ht="129.6" x14ac:dyDescent="0.3">
      <c r="A4234" s="22" t="s">
        <v>7926</v>
      </c>
      <c r="B4234" s="22" t="s">
        <v>7723</v>
      </c>
      <c r="C4234" s="22" t="s">
        <v>7927</v>
      </c>
      <c r="D4234" s="22" t="s">
        <v>7710</v>
      </c>
      <c r="E4234" s="22" t="s">
        <v>1702</v>
      </c>
      <c r="F4234" s="24" t="s">
        <v>1703</v>
      </c>
      <c r="G4234" s="26" t="s">
        <v>8679</v>
      </c>
      <c r="H4234" s="22"/>
      <c r="I4234" s="22"/>
      <c r="J4234" s="22"/>
      <c r="K4234" s="24"/>
      <c r="L4234" s="24"/>
      <c r="M4234" s="25" t="s">
        <v>1704</v>
      </c>
      <c r="N4234" s="22"/>
      <c r="O4234" s="22" t="s">
        <v>1705</v>
      </c>
      <c r="P4234" s="22" t="str">
        <f>HYPERLINK("https://ceds.ed.gov/cedselementdetails.aspx?termid=22781")</f>
        <v>https://ceds.ed.gov/cedselementdetails.aspx?termid=22781</v>
      </c>
      <c r="Q4234" s="22">
        <v>63023</v>
      </c>
    </row>
    <row r="4235" spans="1:17" ht="72" x14ac:dyDescent="0.3">
      <c r="A4235" s="22" t="s">
        <v>7926</v>
      </c>
      <c r="B4235" s="22" t="s">
        <v>7723</v>
      </c>
      <c r="C4235" s="22" t="s">
        <v>7927</v>
      </c>
      <c r="D4235" s="22" t="s">
        <v>7710</v>
      </c>
      <c r="E4235" s="22" t="s">
        <v>1710</v>
      </c>
      <c r="F4235" s="24" t="s">
        <v>1711</v>
      </c>
      <c r="G4235" s="23" t="s">
        <v>32</v>
      </c>
      <c r="H4235" s="22"/>
      <c r="I4235" s="22"/>
      <c r="J4235" s="22" t="s">
        <v>55</v>
      </c>
      <c r="K4235" s="24"/>
      <c r="L4235" s="24"/>
      <c r="M4235" s="25" t="s">
        <v>1712</v>
      </c>
      <c r="N4235" s="22"/>
      <c r="O4235" s="22" t="s">
        <v>1713</v>
      </c>
      <c r="P4235" s="22" t="str">
        <f>HYPERLINK("https://ceds.ed.gov/cedselementdetails.aspx?termid=22782")</f>
        <v>https://ceds.ed.gov/cedselementdetails.aspx?termid=22782</v>
      </c>
      <c r="Q4235" s="22">
        <v>63024</v>
      </c>
    </row>
    <row r="4236" spans="1:17" ht="86.4" x14ac:dyDescent="0.3">
      <c r="A4236" s="22" t="s">
        <v>7926</v>
      </c>
      <c r="B4236" s="22" t="s">
        <v>7723</v>
      </c>
      <c r="C4236" s="22" t="s">
        <v>7927</v>
      </c>
      <c r="D4236" s="22" t="s">
        <v>7710</v>
      </c>
      <c r="E4236" s="22" t="s">
        <v>1734</v>
      </c>
      <c r="F4236" s="24" t="s">
        <v>1735</v>
      </c>
      <c r="G4236" s="26" t="s">
        <v>8686</v>
      </c>
      <c r="H4236" s="22"/>
      <c r="I4236" s="22"/>
      <c r="J4236" s="22"/>
      <c r="K4236" s="24"/>
      <c r="L4236" s="24"/>
      <c r="M4236" s="25" t="s">
        <v>1736</v>
      </c>
      <c r="N4236" s="22"/>
      <c r="O4236" s="22" t="s">
        <v>1737</v>
      </c>
      <c r="P4236" s="22" t="str">
        <f>HYPERLINK("https://ceds.ed.gov/cedselementdetails.aspx?termid=22783")</f>
        <v>https://ceds.ed.gov/cedselementdetails.aspx?termid=22783</v>
      </c>
      <c r="Q4236" s="22">
        <v>63025</v>
      </c>
    </row>
    <row r="4237" spans="1:17" ht="72" x14ac:dyDescent="0.3">
      <c r="A4237" s="22" t="s">
        <v>7926</v>
      </c>
      <c r="B4237" s="22" t="s">
        <v>7723</v>
      </c>
      <c r="C4237" s="22" t="s">
        <v>7927</v>
      </c>
      <c r="D4237" s="22" t="s">
        <v>7710</v>
      </c>
      <c r="E4237" s="22" t="s">
        <v>1738</v>
      </c>
      <c r="F4237" s="24" t="s">
        <v>1739</v>
      </c>
      <c r="G4237" s="26" t="s">
        <v>8687</v>
      </c>
      <c r="H4237" s="22"/>
      <c r="I4237" s="22"/>
      <c r="J4237" s="22"/>
      <c r="K4237" s="24"/>
      <c r="L4237" s="24"/>
      <c r="M4237" s="25" t="s">
        <v>1740</v>
      </c>
      <c r="N4237" s="22"/>
      <c r="O4237" s="22" t="s">
        <v>1741</v>
      </c>
      <c r="P4237" s="22" t="str">
        <f>HYPERLINK("https://ceds.ed.gov/cedselementdetails.aspx?termid=22790")</f>
        <v>https://ceds.ed.gov/cedselementdetails.aspx?termid=22790</v>
      </c>
      <c r="Q4237" s="22">
        <v>63026</v>
      </c>
    </row>
    <row r="4238" spans="1:17" ht="230.4" x14ac:dyDescent="0.3">
      <c r="A4238" s="22" t="s">
        <v>7926</v>
      </c>
      <c r="B4238" s="22" t="s">
        <v>7723</v>
      </c>
      <c r="C4238" s="22" t="s">
        <v>7927</v>
      </c>
      <c r="D4238" s="22" t="s">
        <v>7710</v>
      </c>
      <c r="E4238" s="22" t="s">
        <v>1770</v>
      </c>
      <c r="F4238" s="24" t="s">
        <v>1771</v>
      </c>
      <c r="G4238" s="26" t="s">
        <v>8692</v>
      </c>
      <c r="H4238" s="22"/>
      <c r="I4238" s="22"/>
      <c r="J4238" s="22"/>
      <c r="K4238" s="24"/>
      <c r="L4238" s="24"/>
      <c r="M4238" s="25" t="s">
        <v>1772</v>
      </c>
      <c r="N4238" s="22"/>
      <c r="O4238" s="22" t="s">
        <v>1773</v>
      </c>
      <c r="P4238" s="22" t="str">
        <f>HYPERLINK("https://ceds.ed.gov/cedselementdetails.aspx?termid=22784")</f>
        <v>https://ceds.ed.gov/cedselementdetails.aspx?termid=22784</v>
      </c>
      <c r="Q4238" s="22">
        <v>63027</v>
      </c>
    </row>
    <row r="4239" spans="1:17" ht="100.8" x14ac:dyDescent="0.3">
      <c r="A4239" s="22" t="s">
        <v>7926</v>
      </c>
      <c r="B4239" s="22" t="s">
        <v>7723</v>
      </c>
      <c r="C4239" s="22" t="s">
        <v>7927</v>
      </c>
      <c r="D4239" s="22" t="s">
        <v>7710</v>
      </c>
      <c r="E4239" s="22" t="s">
        <v>1790</v>
      </c>
      <c r="F4239" s="24" t="s">
        <v>1791</v>
      </c>
      <c r="G4239" s="26" t="s">
        <v>8696</v>
      </c>
      <c r="H4239" s="22"/>
      <c r="I4239" s="22"/>
      <c r="J4239" s="22"/>
      <c r="K4239" s="24"/>
      <c r="L4239" s="24"/>
      <c r="M4239" s="25" t="s">
        <v>1792</v>
      </c>
      <c r="N4239" s="22"/>
      <c r="O4239" s="22" t="s">
        <v>1793</v>
      </c>
      <c r="P4239" s="22" t="str">
        <f>HYPERLINK("https://ceds.ed.gov/cedselementdetails.aspx?termid=22785")</f>
        <v>https://ceds.ed.gov/cedselementdetails.aspx?termid=22785</v>
      </c>
      <c r="Q4239" s="22">
        <v>63028</v>
      </c>
    </row>
    <row r="4240" spans="1:17" ht="172.8" x14ac:dyDescent="0.3">
      <c r="A4240" s="22" t="s">
        <v>7926</v>
      </c>
      <c r="B4240" s="22" t="s">
        <v>7723</v>
      </c>
      <c r="C4240" s="22" t="s">
        <v>7927</v>
      </c>
      <c r="D4240" s="22" t="s">
        <v>7710</v>
      </c>
      <c r="E4240" s="22" t="s">
        <v>1822</v>
      </c>
      <c r="F4240" s="24" t="s">
        <v>1823</v>
      </c>
      <c r="G4240" s="26" t="s">
        <v>8701</v>
      </c>
      <c r="H4240" s="22"/>
      <c r="I4240" s="22"/>
      <c r="J4240" s="22"/>
      <c r="K4240" s="24"/>
      <c r="L4240" s="24"/>
      <c r="M4240" s="25" t="s">
        <v>1824</v>
      </c>
      <c r="N4240" s="22"/>
      <c r="O4240" s="22" t="s">
        <v>1825</v>
      </c>
      <c r="P4240" s="22" t="str">
        <f>HYPERLINK("https://ceds.ed.gov/cedselementdetails.aspx?termid=22792")</f>
        <v>https://ceds.ed.gov/cedselementdetails.aspx?termid=22792</v>
      </c>
      <c r="Q4240" s="22">
        <v>63029</v>
      </c>
    </row>
    <row r="4241" spans="1:17" ht="100.8" x14ac:dyDescent="0.3">
      <c r="A4241" s="22" t="s">
        <v>7926</v>
      </c>
      <c r="B4241" s="22" t="s">
        <v>7723</v>
      </c>
      <c r="C4241" s="22" t="s">
        <v>7927</v>
      </c>
      <c r="D4241" s="22" t="s">
        <v>7710</v>
      </c>
      <c r="E4241" s="22" t="s">
        <v>1826</v>
      </c>
      <c r="F4241" s="24" t="s">
        <v>1827</v>
      </c>
      <c r="G4241" s="26" t="s">
        <v>8702</v>
      </c>
      <c r="H4241" s="22"/>
      <c r="I4241" s="22"/>
      <c r="J4241" s="22"/>
      <c r="K4241" s="24"/>
      <c r="L4241" s="24"/>
      <c r="M4241" s="25" t="s">
        <v>1828</v>
      </c>
      <c r="N4241" s="22"/>
      <c r="O4241" s="22" t="s">
        <v>1829</v>
      </c>
      <c r="P4241" s="22" t="str">
        <f>HYPERLINK("https://ceds.ed.gov/cedselementdetails.aspx?termid=22788")</f>
        <v>https://ceds.ed.gov/cedselementdetails.aspx?termid=22788</v>
      </c>
      <c r="Q4241" s="22">
        <v>63030</v>
      </c>
    </row>
    <row r="4242" spans="1:17" ht="72" x14ac:dyDescent="0.3">
      <c r="A4242" s="22" t="s">
        <v>7926</v>
      </c>
      <c r="B4242" s="22" t="s">
        <v>7723</v>
      </c>
      <c r="C4242" s="22" t="s">
        <v>7927</v>
      </c>
      <c r="D4242" s="22" t="s">
        <v>7710</v>
      </c>
      <c r="E4242" s="22" t="s">
        <v>1838</v>
      </c>
      <c r="F4242" s="24" t="s">
        <v>1839</v>
      </c>
      <c r="G4242" s="26" t="s">
        <v>8704</v>
      </c>
      <c r="H4242" s="22"/>
      <c r="I4242" s="22"/>
      <c r="J4242" s="22"/>
      <c r="K4242" s="24"/>
      <c r="L4242" s="24"/>
      <c r="M4242" s="25" t="s">
        <v>1840</v>
      </c>
      <c r="N4242" s="22"/>
      <c r="O4242" s="22" t="s">
        <v>1841</v>
      </c>
      <c r="P4242" s="22" t="str">
        <f>HYPERLINK("https://ceds.ed.gov/cedselementdetails.aspx?termid=22793")</f>
        <v>https://ceds.ed.gov/cedselementdetails.aspx?termid=22793</v>
      </c>
      <c r="Q4242" s="22">
        <v>63031</v>
      </c>
    </row>
    <row r="4243" spans="1:17" ht="100.8" x14ac:dyDescent="0.3">
      <c r="A4243" s="22" t="s">
        <v>7926</v>
      </c>
      <c r="B4243" s="22" t="s">
        <v>7723</v>
      </c>
      <c r="C4243" s="22" t="s">
        <v>7927</v>
      </c>
      <c r="D4243" s="22" t="s">
        <v>7710</v>
      </c>
      <c r="E4243" s="22" t="s">
        <v>3661</v>
      </c>
      <c r="F4243" s="24" t="s">
        <v>3662</v>
      </c>
      <c r="G4243" s="26" t="s">
        <v>8863</v>
      </c>
      <c r="H4243" s="22"/>
      <c r="I4243" s="22"/>
      <c r="J4243" s="22"/>
      <c r="K4243" s="24"/>
      <c r="L4243" s="24"/>
      <c r="M4243" s="25" t="s">
        <v>3663</v>
      </c>
      <c r="N4243" s="22"/>
      <c r="O4243" s="22" t="s">
        <v>3664</v>
      </c>
      <c r="P4243" s="22" t="str">
        <f>HYPERLINK("https://ceds.ed.gov/cedselementdetails.aspx?termid=22777")</f>
        <v>https://ceds.ed.gov/cedselementdetails.aspx?termid=22777</v>
      </c>
      <c r="Q4243" s="22">
        <v>63032</v>
      </c>
    </row>
    <row r="4244" spans="1:17" ht="100.8" x14ac:dyDescent="0.3">
      <c r="A4244" s="22" t="s">
        <v>7926</v>
      </c>
      <c r="B4244" s="22" t="s">
        <v>7723</v>
      </c>
      <c r="C4244" s="22" t="s">
        <v>7927</v>
      </c>
      <c r="D4244" s="22" t="s">
        <v>7710</v>
      </c>
      <c r="E4244" s="22" t="s">
        <v>3707</v>
      </c>
      <c r="F4244" s="24" t="s">
        <v>3708</v>
      </c>
      <c r="G4244" s="26" t="s">
        <v>8868</v>
      </c>
      <c r="H4244" s="22"/>
      <c r="I4244" s="22"/>
      <c r="J4244" s="22"/>
      <c r="K4244" s="24"/>
      <c r="L4244" s="24"/>
      <c r="M4244" s="25" t="s">
        <v>3709</v>
      </c>
      <c r="N4244" s="22"/>
      <c r="O4244" s="22" t="s">
        <v>3710</v>
      </c>
      <c r="P4244" s="22" t="str">
        <f>HYPERLINK("https://ceds.ed.gov/cedselementdetails.aspx?termid=22773")</f>
        <v>https://ceds.ed.gov/cedselementdetails.aspx?termid=22773</v>
      </c>
      <c r="Q4244" s="22">
        <v>63033</v>
      </c>
    </row>
    <row r="4245" spans="1:17" ht="216" x14ac:dyDescent="0.3">
      <c r="A4245" s="22" t="s">
        <v>7926</v>
      </c>
      <c r="B4245" s="22" t="s">
        <v>7723</v>
      </c>
      <c r="C4245" s="22" t="s">
        <v>7927</v>
      </c>
      <c r="D4245" s="22" t="s">
        <v>7710</v>
      </c>
      <c r="E4245" s="22" t="s">
        <v>3747</v>
      </c>
      <c r="F4245" s="24" t="s">
        <v>3748</v>
      </c>
      <c r="G4245" s="26" t="s">
        <v>8871</v>
      </c>
      <c r="H4245" s="22"/>
      <c r="I4245" s="22"/>
      <c r="J4245" s="22"/>
      <c r="K4245" s="24"/>
      <c r="L4245" s="24"/>
      <c r="M4245" s="25" t="s">
        <v>3749</v>
      </c>
      <c r="N4245" s="22"/>
      <c r="O4245" s="22" t="s">
        <v>3750</v>
      </c>
      <c r="P4245" s="22" t="str">
        <f>HYPERLINK("https://ceds.ed.gov/cedselementdetails.aspx?termid=22778")</f>
        <v>https://ceds.ed.gov/cedselementdetails.aspx?termid=22778</v>
      </c>
      <c r="Q4245" s="22">
        <v>63034</v>
      </c>
    </row>
    <row r="4246" spans="1:17" ht="28.8" x14ac:dyDescent="0.3">
      <c r="A4246" s="22" t="s">
        <v>7926</v>
      </c>
      <c r="B4246" s="22" t="s">
        <v>7723</v>
      </c>
      <c r="C4246" s="22" t="s">
        <v>7927</v>
      </c>
      <c r="D4246" s="22" t="s">
        <v>7710</v>
      </c>
      <c r="E4246" s="22" t="s">
        <v>3796</v>
      </c>
      <c r="F4246" s="24" t="s">
        <v>3797</v>
      </c>
      <c r="G4246" s="23" t="s">
        <v>32</v>
      </c>
      <c r="H4246" s="22"/>
      <c r="I4246" s="22"/>
      <c r="J4246" s="22" t="s">
        <v>157</v>
      </c>
      <c r="K4246" s="24"/>
      <c r="L4246" s="24"/>
      <c r="M4246" s="25" t="s">
        <v>3798</v>
      </c>
      <c r="N4246" s="22"/>
      <c r="O4246" s="22" t="s">
        <v>3799</v>
      </c>
      <c r="P4246" s="22" t="str">
        <f>HYPERLINK("https://ceds.ed.gov/cedselementdetails.aspx?termid=22789")</f>
        <v>https://ceds.ed.gov/cedselementdetails.aspx?termid=22789</v>
      </c>
      <c r="Q4246" s="22">
        <v>63035</v>
      </c>
    </row>
    <row r="4247" spans="1:17" ht="72" x14ac:dyDescent="0.3">
      <c r="A4247" s="22" t="s">
        <v>7926</v>
      </c>
      <c r="B4247" s="22" t="s">
        <v>7723</v>
      </c>
      <c r="C4247" s="22" t="s">
        <v>7927</v>
      </c>
      <c r="D4247" s="22" t="s">
        <v>7710</v>
      </c>
      <c r="E4247" s="22" t="s">
        <v>3820</v>
      </c>
      <c r="F4247" s="24" t="s">
        <v>3821</v>
      </c>
      <c r="G4247" s="23" t="s">
        <v>32</v>
      </c>
      <c r="H4247" s="22"/>
      <c r="I4247" s="22"/>
      <c r="J4247" s="22" t="s">
        <v>328</v>
      </c>
      <c r="K4247" s="24"/>
      <c r="L4247" s="24"/>
      <c r="M4247" s="25" t="s">
        <v>3822</v>
      </c>
      <c r="N4247" s="22"/>
      <c r="O4247" s="22" t="s">
        <v>3823</v>
      </c>
      <c r="P4247" s="22" t="str">
        <f>HYPERLINK("https://ceds.ed.gov/cedselementdetails.aspx?termid=22791")</f>
        <v>https://ceds.ed.gov/cedselementdetails.aspx?termid=22791</v>
      </c>
      <c r="Q4247" s="22">
        <v>63036</v>
      </c>
    </row>
    <row r="4248" spans="1:17" ht="187.2" x14ac:dyDescent="0.3">
      <c r="A4248" s="22" t="s">
        <v>7926</v>
      </c>
      <c r="B4248" s="22" t="s">
        <v>7723</v>
      </c>
      <c r="C4248" s="22" t="s">
        <v>7927</v>
      </c>
      <c r="D4248" s="22" t="s">
        <v>7710</v>
      </c>
      <c r="E4248" s="22" t="s">
        <v>3869</v>
      </c>
      <c r="F4248" s="24" t="s">
        <v>3870</v>
      </c>
      <c r="G4248" s="26" t="s">
        <v>8889</v>
      </c>
      <c r="H4248" s="22"/>
      <c r="I4248" s="22"/>
      <c r="J4248" s="22"/>
      <c r="K4248" s="24"/>
      <c r="L4248" s="24"/>
      <c r="M4248" s="25" t="s">
        <v>3871</v>
      </c>
      <c r="N4248" s="22"/>
      <c r="O4248" s="22" t="s">
        <v>3872</v>
      </c>
      <c r="P4248" s="22" t="str">
        <f>HYPERLINK("https://ceds.ed.gov/cedselementdetails.aspx?termid=22786")</f>
        <v>https://ceds.ed.gov/cedselementdetails.aspx?termid=22786</v>
      </c>
      <c r="Q4248" s="22">
        <v>63037</v>
      </c>
    </row>
    <row r="4249" spans="1:17" ht="43.2" x14ac:dyDescent="0.3">
      <c r="A4249" s="22" t="s">
        <v>7926</v>
      </c>
      <c r="B4249" s="22" t="s">
        <v>7723</v>
      </c>
      <c r="C4249" s="22" t="s">
        <v>7927</v>
      </c>
      <c r="D4249" s="22" t="s">
        <v>7710</v>
      </c>
      <c r="E4249" s="22" t="s">
        <v>3873</v>
      </c>
      <c r="F4249" s="24" t="s">
        <v>3874</v>
      </c>
      <c r="G4249" s="23" t="s">
        <v>32</v>
      </c>
      <c r="H4249" s="22"/>
      <c r="I4249" s="22"/>
      <c r="J4249" s="22" t="s">
        <v>157</v>
      </c>
      <c r="K4249" s="24"/>
      <c r="L4249" s="24"/>
      <c r="M4249" s="25" t="s">
        <v>3875</v>
      </c>
      <c r="N4249" s="22"/>
      <c r="O4249" s="22" t="s">
        <v>3876</v>
      </c>
      <c r="P4249" s="22" t="str">
        <f>HYPERLINK("https://ceds.ed.gov/cedselementdetails.aspx?termid=22787")</f>
        <v>https://ceds.ed.gov/cedselementdetails.aspx?termid=22787</v>
      </c>
      <c r="Q4249" s="22">
        <v>63038</v>
      </c>
    </row>
    <row r="4250" spans="1:17" ht="129.6" x14ac:dyDescent="0.3">
      <c r="A4250" s="22" t="s">
        <v>7926</v>
      </c>
      <c r="B4250" s="22" t="s">
        <v>7723</v>
      </c>
      <c r="C4250" s="22" t="s">
        <v>7927</v>
      </c>
      <c r="D4250" s="22" t="s">
        <v>7710</v>
      </c>
      <c r="E4250" s="22" t="s">
        <v>3877</v>
      </c>
      <c r="F4250" s="24" t="s">
        <v>3878</v>
      </c>
      <c r="G4250" s="26" t="s">
        <v>8890</v>
      </c>
      <c r="H4250" s="22"/>
      <c r="I4250" s="22"/>
      <c r="J4250" s="22"/>
      <c r="K4250" s="24"/>
      <c r="L4250" s="24"/>
      <c r="M4250" s="25" t="s">
        <v>3879</v>
      </c>
      <c r="N4250" s="22"/>
      <c r="O4250" s="22" t="s">
        <v>3880</v>
      </c>
      <c r="P4250" s="22" t="str">
        <f>HYPERLINK("https://ceds.ed.gov/cedselementdetails.aspx?termid=22774")</f>
        <v>https://ceds.ed.gov/cedselementdetails.aspx?termid=22774</v>
      </c>
      <c r="Q4250" s="22">
        <v>63039</v>
      </c>
    </row>
    <row r="4251" spans="1:17" ht="43.2" x14ac:dyDescent="0.3">
      <c r="A4251" s="22" t="s">
        <v>7926</v>
      </c>
      <c r="B4251" s="22" t="s">
        <v>7723</v>
      </c>
      <c r="C4251" s="22" t="s">
        <v>7928</v>
      </c>
      <c r="D4251" s="22" t="s">
        <v>7710</v>
      </c>
      <c r="E4251" s="22" t="s">
        <v>2439</v>
      </c>
      <c r="F4251" s="24" t="s">
        <v>8052</v>
      </c>
      <c r="G4251" s="23" t="s">
        <v>32</v>
      </c>
      <c r="H4251" s="22"/>
      <c r="I4251" s="22"/>
      <c r="J4251" s="22" t="s">
        <v>118</v>
      </c>
      <c r="K4251" s="24"/>
      <c r="L4251" s="24"/>
      <c r="M4251" s="25" t="s">
        <v>2441</v>
      </c>
      <c r="N4251" s="22"/>
      <c r="O4251" s="22" t="s">
        <v>2442</v>
      </c>
      <c r="P4251" s="22" t="str">
        <f>HYPERLINK("https://ceds.ed.gov/cedselementdetails.aspx?termid=22879")</f>
        <v>https://ceds.ed.gov/cedselementdetails.aspx?termid=22879</v>
      </c>
      <c r="Q4251" s="22">
        <v>63040</v>
      </c>
    </row>
    <row r="4252" spans="1:17" ht="57.6" x14ac:dyDescent="0.3">
      <c r="A4252" s="22" t="s">
        <v>7926</v>
      </c>
      <c r="B4252" s="22" t="s">
        <v>7723</v>
      </c>
      <c r="C4252" s="22" t="s">
        <v>7928</v>
      </c>
      <c r="D4252" s="22" t="s">
        <v>7710</v>
      </c>
      <c r="E4252" s="22" t="s">
        <v>2443</v>
      </c>
      <c r="F4252" s="24" t="s">
        <v>2444</v>
      </c>
      <c r="G4252" s="23" t="s">
        <v>32</v>
      </c>
      <c r="H4252" s="22"/>
      <c r="I4252" s="22"/>
      <c r="J4252" s="22" t="s">
        <v>118</v>
      </c>
      <c r="K4252" s="24"/>
      <c r="L4252" s="24"/>
      <c r="M4252" s="25" t="s">
        <v>2445</v>
      </c>
      <c r="N4252" s="22"/>
      <c r="O4252" s="22" t="s">
        <v>2446</v>
      </c>
      <c r="P4252" s="22" t="str">
        <f>HYPERLINK("https://ceds.ed.gov/cedselementdetails.aspx?termid=22881")</f>
        <v>https://ceds.ed.gov/cedselementdetails.aspx?termid=22881</v>
      </c>
      <c r="Q4252" s="22">
        <v>63041</v>
      </c>
    </row>
    <row r="4253" spans="1:17" ht="43.2" x14ac:dyDescent="0.3">
      <c r="A4253" s="22" t="s">
        <v>7926</v>
      </c>
      <c r="B4253" s="22" t="s">
        <v>7723</v>
      </c>
      <c r="C4253" s="22" t="s">
        <v>7928</v>
      </c>
      <c r="D4253" s="22" t="s">
        <v>7710</v>
      </c>
      <c r="E4253" s="22" t="s">
        <v>2447</v>
      </c>
      <c r="F4253" s="24" t="s">
        <v>2448</v>
      </c>
      <c r="G4253" s="23" t="s">
        <v>32</v>
      </c>
      <c r="H4253" s="22"/>
      <c r="I4253" s="22"/>
      <c r="J4253" s="22" t="s">
        <v>118</v>
      </c>
      <c r="K4253" s="24"/>
      <c r="L4253" s="24"/>
      <c r="M4253" s="25" t="s">
        <v>2449</v>
      </c>
      <c r="N4253" s="22"/>
      <c r="O4253" s="22" t="s">
        <v>2450</v>
      </c>
      <c r="P4253" s="22" t="str">
        <f>HYPERLINK("https://ceds.ed.gov/cedselementdetails.aspx?termid=22880")</f>
        <v>https://ceds.ed.gov/cedselementdetails.aspx?termid=22880</v>
      </c>
      <c r="Q4253" s="22">
        <v>63042</v>
      </c>
    </row>
    <row r="4254" spans="1:17" ht="72" x14ac:dyDescent="0.3">
      <c r="A4254" s="22" t="s">
        <v>7926</v>
      </c>
      <c r="B4254" s="22" t="s">
        <v>7723</v>
      </c>
      <c r="C4254" s="22" t="s">
        <v>7928</v>
      </c>
      <c r="D4254" s="22" t="s">
        <v>7710</v>
      </c>
      <c r="E4254" s="22" t="s">
        <v>2451</v>
      </c>
      <c r="F4254" s="24" t="s">
        <v>2452</v>
      </c>
      <c r="G4254" s="23" t="s">
        <v>32</v>
      </c>
      <c r="H4254" s="22"/>
      <c r="I4254" s="22"/>
      <c r="J4254" s="22" t="s">
        <v>1699</v>
      </c>
      <c r="K4254" s="24"/>
      <c r="L4254" s="24"/>
      <c r="M4254" s="25" t="s">
        <v>2453</v>
      </c>
      <c r="N4254" s="22"/>
      <c r="O4254" s="22" t="s">
        <v>2454</v>
      </c>
      <c r="P4254" s="22" t="str">
        <f>HYPERLINK("https://ceds.ed.gov/cedselementdetails.aspx?termid=22882")</f>
        <v>https://ceds.ed.gov/cedselementdetails.aspx?termid=22882</v>
      </c>
      <c r="Q4254" s="22">
        <v>63043</v>
      </c>
    </row>
    <row r="4255" spans="1:17" ht="43.2" x14ac:dyDescent="0.3">
      <c r="A4255" s="22" t="s">
        <v>7926</v>
      </c>
      <c r="B4255" s="22" t="s">
        <v>7723</v>
      </c>
      <c r="C4255" s="22" t="s">
        <v>7929</v>
      </c>
      <c r="D4255" s="22" t="s">
        <v>7710</v>
      </c>
      <c r="E4255" s="22" t="s">
        <v>3857</v>
      </c>
      <c r="F4255" s="24" t="s">
        <v>3858</v>
      </c>
      <c r="G4255" s="23" t="s">
        <v>32</v>
      </c>
      <c r="H4255" s="22"/>
      <c r="I4255" s="22"/>
      <c r="J4255" s="22" t="s">
        <v>113</v>
      </c>
      <c r="K4255" s="24"/>
      <c r="L4255" s="24"/>
      <c r="M4255" s="25" t="s">
        <v>3859</v>
      </c>
      <c r="N4255" s="22"/>
      <c r="O4255" s="22" t="s">
        <v>3860</v>
      </c>
      <c r="P4255" s="22" t="str">
        <f>HYPERLINK("https://ceds.ed.gov/cedselementdetails.aspx?termid=22174")</f>
        <v>https://ceds.ed.gov/cedselementdetails.aspx?termid=22174</v>
      </c>
      <c r="Q4255" s="22">
        <v>59611</v>
      </c>
    </row>
    <row r="4256" spans="1:17" ht="316.8" x14ac:dyDescent="0.3">
      <c r="A4256" s="22" t="s">
        <v>7926</v>
      </c>
      <c r="B4256" s="22" t="s">
        <v>7723</v>
      </c>
      <c r="C4256" s="22" t="s">
        <v>7929</v>
      </c>
      <c r="D4256" s="22" t="s">
        <v>7710</v>
      </c>
      <c r="E4256" s="22" t="s">
        <v>1582</v>
      </c>
      <c r="F4256" s="24" t="s">
        <v>1583</v>
      </c>
      <c r="G4256" s="26" t="s">
        <v>8657</v>
      </c>
      <c r="H4256" s="22"/>
      <c r="I4256" s="22"/>
      <c r="J4256" s="22"/>
      <c r="K4256" s="24"/>
      <c r="L4256" s="24"/>
      <c r="M4256" s="25" t="s">
        <v>1585</v>
      </c>
      <c r="N4256" s="22"/>
      <c r="O4256" s="22" t="s">
        <v>1586</v>
      </c>
      <c r="P4256" s="22" t="str">
        <f>HYPERLINK("https://ceds.ed.gov/cedselementdetails.aspx?termid=22794")</f>
        <v>https://ceds.ed.gov/cedselementdetails.aspx?termid=22794</v>
      </c>
      <c r="Q4256" s="22">
        <v>63044</v>
      </c>
    </row>
    <row r="4257" spans="1:17" ht="28.8" x14ac:dyDescent="0.3">
      <c r="A4257" s="22" t="s">
        <v>7926</v>
      </c>
      <c r="B4257" s="22" t="s">
        <v>7723</v>
      </c>
      <c r="C4257" s="22" t="s">
        <v>7929</v>
      </c>
      <c r="D4257" s="22" t="s">
        <v>7710</v>
      </c>
      <c r="E4257" s="22" t="s">
        <v>1592</v>
      </c>
      <c r="F4257" s="24" t="s">
        <v>1593</v>
      </c>
      <c r="G4257" s="23" t="s">
        <v>32</v>
      </c>
      <c r="H4257" s="22"/>
      <c r="I4257" s="22"/>
      <c r="J4257" s="22" t="s">
        <v>1339</v>
      </c>
      <c r="K4257" s="24"/>
      <c r="L4257" s="24"/>
      <c r="M4257" s="25" t="s">
        <v>1594</v>
      </c>
      <c r="N4257" s="22"/>
      <c r="O4257" s="22" t="s">
        <v>1595</v>
      </c>
      <c r="P4257" s="22" t="str">
        <f>HYPERLINK("https://ceds.ed.gov/cedselementdetails.aspx?termid=22815")</f>
        <v>https://ceds.ed.gov/cedselementdetails.aspx?termid=22815</v>
      </c>
      <c r="Q4257" s="22">
        <v>63045</v>
      </c>
    </row>
    <row r="4258" spans="1:17" ht="28.8" x14ac:dyDescent="0.3">
      <c r="A4258" s="22" t="s">
        <v>7926</v>
      </c>
      <c r="B4258" s="22" t="s">
        <v>7723</v>
      </c>
      <c r="C4258" s="22" t="s">
        <v>7929</v>
      </c>
      <c r="D4258" s="22" t="s">
        <v>7710</v>
      </c>
      <c r="E4258" s="22" t="s">
        <v>1596</v>
      </c>
      <c r="F4258" s="24" t="s">
        <v>1597</v>
      </c>
      <c r="G4258" s="23" t="s">
        <v>32</v>
      </c>
      <c r="H4258" s="22"/>
      <c r="I4258" s="22"/>
      <c r="J4258" s="22" t="s">
        <v>157</v>
      </c>
      <c r="K4258" s="24"/>
      <c r="L4258" s="24"/>
      <c r="M4258" s="25" t="s">
        <v>1598</v>
      </c>
      <c r="N4258" s="22"/>
      <c r="O4258" s="22" t="s">
        <v>1599</v>
      </c>
      <c r="P4258" s="22" t="str">
        <f>HYPERLINK("https://ceds.ed.gov/cedselementdetails.aspx?termid=22816")</f>
        <v>https://ceds.ed.gov/cedselementdetails.aspx?termid=22816</v>
      </c>
      <c r="Q4258" s="22">
        <v>63046</v>
      </c>
    </row>
    <row r="4259" spans="1:17" ht="115.2" x14ac:dyDescent="0.3">
      <c r="A4259" s="22" t="s">
        <v>7926</v>
      </c>
      <c r="B4259" s="22" t="s">
        <v>7723</v>
      </c>
      <c r="C4259" s="22" t="s">
        <v>7929</v>
      </c>
      <c r="D4259" s="22" t="s">
        <v>7710</v>
      </c>
      <c r="E4259" s="22" t="s">
        <v>1604</v>
      </c>
      <c r="F4259" s="24" t="s">
        <v>1605</v>
      </c>
      <c r="G4259" s="26" t="s">
        <v>8659</v>
      </c>
      <c r="H4259" s="22"/>
      <c r="I4259" s="22"/>
      <c r="J4259" s="22"/>
      <c r="K4259" s="24"/>
      <c r="L4259" s="24"/>
      <c r="M4259" s="25" t="s">
        <v>1606</v>
      </c>
      <c r="N4259" s="22"/>
      <c r="O4259" s="22" t="s">
        <v>1607</v>
      </c>
      <c r="P4259" s="22" t="str">
        <f>HYPERLINK("https://ceds.ed.gov/cedselementdetails.aspx?termid=22795")</f>
        <v>https://ceds.ed.gov/cedselementdetails.aspx?termid=22795</v>
      </c>
      <c r="Q4259" s="22">
        <v>63047</v>
      </c>
    </row>
    <row r="4260" spans="1:17" ht="129.6" x14ac:dyDescent="0.3">
      <c r="A4260" s="22" t="s">
        <v>7926</v>
      </c>
      <c r="B4260" s="22" t="s">
        <v>7723</v>
      </c>
      <c r="C4260" s="22" t="s">
        <v>7929</v>
      </c>
      <c r="D4260" s="22" t="s">
        <v>7710</v>
      </c>
      <c r="E4260" s="22" t="s">
        <v>1608</v>
      </c>
      <c r="F4260" s="24" t="s">
        <v>1609</v>
      </c>
      <c r="G4260" s="26" t="s">
        <v>8660</v>
      </c>
      <c r="H4260" s="22"/>
      <c r="I4260" s="22"/>
      <c r="J4260" s="22"/>
      <c r="K4260" s="24"/>
      <c r="L4260" s="24"/>
      <c r="M4260" s="25" t="s">
        <v>1610</v>
      </c>
      <c r="N4260" s="22"/>
      <c r="O4260" s="22" t="s">
        <v>1611</v>
      </c>
      <c r="P4260" s="22" t="str">
        <f>HYPERLINK("https://ceds.ed.gov/cedselementdetails.aspx?termid=22817")</f>
        <v>https://ceds.ed.gov/cedselementdetails.aspx?termid=22817</v>
      </c>
      <c r="Q4260" s="22">
        <v>63048</v>
      </c>
    </row>
    <row r="4261" spans="1:17" ht="100.8" x14ac:dyDescent="0.3">
      <c r="A4261" s="22" t="s">
        <v>7926</v>
      </c>
      <c r="B4261" s="22" t="s">
        <v>7723</v>
      </c>
      <c r="C4261" s="22" t="s">
        <v>7929</v>
      </c>
      <c r="D4261" s="22" t="s">
        <v>7710</v>
      </c>
      <c r="E4261" s="22" t="s">
        <v>1612</v>
      </c>
      <c r="F4261" s="24" t="s">
        <v>1613</v>
      </c>
      <c r="G4261" s="26" t="s">
        <v>8661</v>
      </c>
      <c r="H4261" s="22"/>
      <c r="I4261" s="22"/>
      <c r="J4261" s="22"/>
      <c r="K4261" s="24"/>
      <c r="L4261" s="24"/>
      <c r="M4261" s="25" t="s">
        <v>1614</v>
      </c>
      <c r="N4261" s="22"/>
      <c r="O4261" s="22" t="s">
        <v>1615</v>
      </c>
      <c r="P4261" s="22" t="str">
        <f>HYPERLINK("https://ceds.ed.gov/cedselementdetails.aspx?termid=22796")</f>
        <v>https://ceds.ed.gov/cedselementdetails.aspx?termid=22796</v>
      </c>
      <c r="Q4261" s="22">
        <v>63049</v>
      </c>
    </row>
    <row r="4262" spans="1:17" ht="409.6" x14ac:dyDescent="0.3">
      <c r="A4262" s="22" t="s">
        <v>7926</v>
      </c>
      <c r="B4262" s="22" t="s">
        <v>7723</v>
      </c>
      <c r="C4262" s="22" t="s">
        <v>7929</v>
      </c>
      <c r="D4262" s="22" t="s">
        <v>7710</v>
      </c>
      <c r="E4262" s="22" t="s">
        <v>1620</v>
      </c>
      <c r="F4262" s="24" t="s">
        <v>1621</v>
      </c>
      <c r="G4262" s="26" t="s">
        <v>8662</v>
      </c>
      <c r="H4262" s="22"/>
      <c r="I4262" s="22"/>
      <c r="J4262" s="22"/>
      <c r="K4262" s="24"/>
      <c r="L4262" s="24"/>
      <c r="M4262" s="25" t="s">
        <v>1622</v>
      </c>
      <c r="N4262" s="22"/>
      <c r="O4262" s="22" t="s">
        <v>1623</v>
      </c>
      <c r="P4262" s="22" t="str">
        <f>HYPERLINK("https://ceds.ed.gov/cedselementdetails.aspx?termid=22798")</f>
        <v>https://ceds.ed.gov/cedselementdetails.aspx?termid=22798</v>
      </c>
      <c r="Q4262" s="22">
        <v>63050</v>
      </c>
    </row>
    <row r="4263" spans="1:17" ht="144" x14ac:dyDescent="0.3">
      <c r="A4263" s="22" t="s">
        <v>7926</v>
      </c>
      <c r="B4263" s="22" t="s">
        <v>7723</v>
      </c>
      <c r="C4263" s="22" t="s">
        <v>7929</v>
      </c>
      <c r="D4263" s="22" t="s">
        <v>7710</v>
      </c>
      <c r="E4263" s="22" t="s">
        <v>1629</v>
      </c>
      <c r="F4263" s="24" t="s">
        <v>1630</v>
      </c>
      <c r="G4263" s="26" t="s">
        <v>8664</v>
      </c>
      <c r="H4263" s="22"/>
      <c r="I4263" s="22"/>
      <c r="J4263" s="22"/>
      <c r="K4263" s="24"/>
      <c r="L4263" s="24"/>
      <c r="M4263" s="25" t="s">
        <v>1631</v>
      </c>
      <c r="N4263" s="22"/>
      <c r="O4263" s="22" t="s">
        <v>1632</v>
      </c>
      <c r="P4263" s="22" t="str">
        <f>HYPERLINK("https://ceds.ed.gov/cedselementdetails.aspx?termid=22799")</f>
        <v>https://ceds.ed.gov/cedselementdetails.aspx?termid=22799</v>
      </c>
      <c r="Q4263" s="22">
        <v>63051</v>
      </c>
    </row>
    <row r="4264" spans="1:17" ht="216" x14ac:dyDescent="0.3">
      <c r="A4264" s="22" t="s">
        <v>7926</v>
      </c>
      <c r="B4264" s="22" t="s">
        <v>7723</v>
      </c>
      <c r="C4264" s="22" t="s">
        <v>7929</v>
      </c>
      <c r="D4264" s="22" t="s">
        <v>7710</v>
      </c>
      <c r="E4264" s="22" t="s">
        <v>1653</v>
      </c>
      <c r="F4264" s="24" t="s">
        <v>1654</v>
      </c>
      <c r="G4264" s="26" t="s">
        <v>8669</v>
      </c>
      <c r="H4264" s="22"/>
      <c r="I4264" s="22"/>
      <c r="J4264" s="22"/>
      <c r="K4264" s="24"/>
      <c r="L4264" s="24"/>
      <c r="M4264" s="25" t="s">
        <v>1655</v>
      </c>
      <c r="N4264" s="22"/>
      <c r="O4264" s="22" t="s">
        <v>1656</v>
      </c>
      <c r="P4264" s="22" t="str">
        <f>HYPERLINK("https://ceds.ed.gov/cedselementdetails.aspx?termid=22797")</f>
        <v>https://ceds.ed.gov/cedselementdetails.aspx?termid=22797</v>
      </c>
      <c r="Q4264" s="22">
        <v>63052</v>
      </c>
    </row>
    <row r="4265" spans="1:17" ht="144" x14ac:dyDescent="0.3">
      <c r="A4265" s="22" t="s">
        <v>7926</v>
      </c>
      <c r="B4265" s="22" t="s">
        <v>7723</v>
      </c>
      <c r="C4265" s="22" t="s">
        <v>7929</v>
      </c>
      <c r="D4265" s="22" t="s">
        <v>7710</v>
      </c>
      <c r="E4265" s="22" t="s">
        <v>1673</v>
      </c>
      <c r="F4265" s="24" t="s">
        <v>1674</v>
      </c>
      <c r="G4265" s="26" t="s">
        <v>8673</v>
      </c>
      <c r="H4265" s="22"/>
      <c r="I4265" s="22"/>
      <c r="J4265" s="22"/>
      <c r="K4265" s="24"/>
      <c r="L4265" s="24"/>
      <c r="M4265" s="25" t="s">
        <v>1675</v>
      </c>
      <c r="N4265" s="22"/>
      <c r="O4265" s="22" t="s">
        <v>1676</v>
      </c>
      <c r="P4265" s="22" t="str">
        <f>HYPERLINK("https://ceds.ed.gov/cedselementdetails.aspx?termid=22800")</f>
        <v>https://ceds.ed.gov/cedselementdetails.aspx?termid=22800</v>
      </c>
      <c r="Q4265" s="22">
        <v>63053</v>
      </c>
    </row>
    <row r="4266" spans="1:17" ht="273.60000000000002" x14ac:dyDescent="0.3">
      <c r="A4266" s="22" t="s">
        <v>7926</v>
      </c>
      <c r="B4266" s="22" t="s">
        <v>7723</v>
      </c>
      <c r="C4266" s="22" t="s">
        <v>7929</v>
      </c>
      <c r="D4266" s="22" t="s">
        <v>7710</v>
      </c>
      <c r="E4266" s="22" t="s">
        <v>1681</v>
      </c>
      <c r="F4266" s="24" t="s">
        <v>1682</v>
      </c>
      <c r="G4266" s="26" t="s">
        <v>8675</v>
      </c>
      <c r="H4266" s="22"/>
      <c r="I4266" s="22"/>
      <c r="J4266" s="22"/>
      <c r="K4266" s="24"/>
      <c r="L4266" s="24"/>
      <c r="M4266" s="25" t="s">
        <v>1683</v>
      </c>
      <c r="N4266" s="22"/>
      <c r="O4266" s="22" t="s">
        <v>1684</v>
      </c>
      <c r="P4266" s="22" t="str">
        <f>HYPERLINK("https://ceds.ed.gov/cedselementdetails.aspx?termid=22802")</f>
        <v>https://ceds.ed.gov/cedselementdetails.aspx?termid=22802</v>
      </c>
      <c r="Q4266" s="22">
        <v>63054</v>
      </c>
    </row>
    <row r="4267" spans="1:17" ht="72" x14ac:dyDescent="0.3">
      <c r="A4267" s="22" t="s">
        <v>7926</v>
      </c>
      <c r="B4267" s="22" t="s">
        <v>7723</v>
      </c>
      <c r="C4267" s="22" t="s">
        <v>7929</v>
      </c>
      <c r="D4267" s="22" t="s">
        <v>7710</v>
      </c>
      <c r="E4267" s="22" t="s">
        <v>1685</v>
      </c>
      <c r="F4267" s="24" t="s">
        <v>1686</v>
      </c>
      <c r="G4267" s="26" t="s">
        <v>8676</v>
      </c>
      <c r="H4267" s="22"/>
      <c r="I4267" s="22"/>
      <c r="J4267" s="22"/>
      <c r="K4267" s="24"/>
      <c r="L4267" s="24"/>
      <c r="M4267" s="25" t="s">
        <v>1687</v>
      </c>
      <c r="N4267" s="22"/>
      <c r="O4267" s="22" t="s">
        <v>1688</v>
      </c>
      <c r="P4267" s="22" t="str">
        <f>HYPERLINK("https://ceds.ed.gov/cedselementdetails.aspx?termid=22824")</f>
        <v>https://ceds.ed.gov/cedselementdetails.aspx?termid=22824</v>
      </c>
      <c r="Q4267" s="22">
        <v>63055</v>
      </c>
    </row>
    <row r="4268" spans="1:17" ht="216" x14ac:dyDescent="0.3">
      <c r="A4268" s="22" t="s">
        <v>7926</v>
      </c>
      <c r="B4268" s="22" t="s">
        <v>7723</v>
      </c>
      <c r="C4268" s="22" t="s">
        <v>7929</v>
      </c>
      <c r="D4268" s="22" t="s">
        <v>7710</v>
      </c>
      <c r="E4268" s="22" t="s">
        <v>1706</v>
      </c>
      <c r="F4268" s="24" t="s">
        <v>1707</v>
      </c>
      <c r="G4268" s="26" t="s">
        <v>8680</v>
      </c>
      <c r="H4268" s="22"/>
      <c r="I4268" s="22"/>
      <c r="J4268" s="22"/>
      <c r="K4268" s="24"/>
      <c r="L4268" s="24"/>
      <c r="M4268" s="25" t="s">
        <v>1708</v>
      </c>
      <c r="N4268" s="22"/>
      <c r="O4268" s="22" t="s">
        <v>1709</v>
      </c>
      <c r="P4268" s="22" t="str">
        <f>HYPERLINK("https://ceds.ed.gov/cedselementdetails.aspx?termid=22803")</f>
        <v>https://ceds.ed.gov/cedselementdetails.aspx?termid=22803</v>
      </c>
      <c r="Q4268" s="22">
        <v>63056</v>
      </c>
    </row>
    <row r="4269" spans="1:17" ht="129.6" x14ac:dyDescent="0.3">
      <c r="A4269" s="22" t="s">
        <v>7926</v>
      </c>
      <c r="B4269" s="22" t="s">
        <v>7723</v>
      </c>
      <c r="C4269" s="22" t="s">
        <v>7929</v>
      </c>
      <c r="D4269" s="22" t="s">
        <v>7710</v>
      </c>
      <c r="E4269" s="22" t="s">
        <v>1730</v>
      </c>
      <c r="F4269" s="24" t="s">
        <v>1731</v>
      </c>
      <c r="G4269" s="26" t="s">
        <v>8685</v>
      </c>
      <c r="H4269" s="22"/>
      <c r="I4269" s="22"/>
      <c r="J4269" s="22"/>
      <c r="K4269" s="24"/>
      <c r="L4269" s="24"/>
      <c r="M4269" s="25" t="s">
        <v>1732</v>
      </c>
      <c r="N4269" s="22"/>
      <c r="O4269" s="22" t="s">
        <v>1733</v>
      </c>
      <c r="P4269" s="22" t="str">
        <f>HYPERLINK("https://ceds.ed.gov/cedselementdetails.aspx?termid=22804")</f>
        <v>https://ceds.ed.gov/cedselementdetails.aspx?termid=22804</v>
      </c>
      <c r="Q4269" s="22">
        <v>63057</v>
      </c>
    </row>
    <row r="4270" spans="1:17" ht="244.8" x14ac:dyDescent="0.3">
      <c r="A4270" s="22" t="s">
        <v>7926</v>
      </c>
      <c r="B4270" s="22" t="s">
        <v>7723</v>
      </c>
      <c r="C4270" s="22" t="s">
        <v>7929</v>
      </c>
      <c r="D4270" s="22" t="s">
        <v>7710</v>
      </c>
      <c r="E4270" s="22" t="s">
        <v>1754</v>
      </c>
      <c r="F4270" s="24" t="s">
        <v>1755</v>
      </c>
      <c r="G4270" s="26" t="s">
        <v>8688</v>
      </c>
      <c r="H4270" s="22"/>
      <c r="I4270" s="22"/>
      <c r="J4270" s="22"/>
      <c r="K4270" s="24"/>
      <c r="L4270" s="24"/>
      <c r="M4270" s="25" t="s">
        <v>1756</v>
      </c>
      <c r="N4270" s="22"/>
      <c r="O4270" s="22" t="s">
        <v>1757</v>
      </c>
      <c r="P4270" s="22" t="str">
        <f>HYPERLINK("https://ceds.ed.gov/cedselementdetails.aspx?termid=22805")</f>
        <v>https://ceds.ed.gov/cedselementdetails.aspx?termid=22805</v>
      </c>
      <c r="Q4270" s="22">
        <v>63058</v>
      </c>
    </row>
    <row r="4271" spans="1:17" ht="216" x14ac:dyDescent="0.3">
      <c r="A4271" s="22" t="s">
        <v>7926</v>
      </c>
      <c r="B4271" s="22" t="s">
        <v>7723</v>
      </c>
      <c r="C4271" s="22" t="s">
        <v>7929</v>
      </c>
      <c r="D4271" s="22" t="s">
        <v>7710</v>
      </c>
      <c r="E4271" s="22" t="s">
        <v>1758</v>
      </c>
      <c r="F4271" s="24" t="s">
        <v>1759</v>
      </c>
      <c r="G4271" s="26" t="s">
        <v>8689</v>
      </c>
      <c r="H4271" s="22"/>
      <c r="I4271" s="22"/>
      <c r="J4271" s="22"/>
      <c r="K4271" s="24"/>
      <c r="L4271" s="24"/>
      <c r="M4271" s="25" t="s">
        <v>1760</v>
      </c>
      <c r="N4271" s="22"/>
      <c r="O4271" s="22" t="s">
        <v>1761</v>
      </c>
      <c r="P4271" s="22" t="str">
        <f>HYPERLINK("https://ceds.ed.gov/cedselementdetails.aspx?termid=22806")</f>
        <v>https://ceds.ed.gov/cedselementdetails.aspx?termid=22806</v>
      </c>
      <c r="Q4271" s="22">
        <v>63059</v>
      </c>
    </row>
    <row r="4272" spans="1:17" ht="129.6" x14ac:dyDescent="0.3">
      <c r="A4272" s="22" t="s">
        <v>7926</v>
      </c>
      <c r="B4272" s="22" t="s">
        <v>7723</v>
      </c>
      <c r="C4272" s="22" t="s">
        <v>7929</v>
      </c>
      <c r="D4272" s="22" t="s">
        <v>7710</v>
      </c>
      <c r="E4272" s="22" t="s">
        <v>1762</v>
      </c>
      <c r="F4272" s="24" t="s">
        <v>1763</v>
      </c>
      <c r="G4272" s="26" t="s">
        <v>8690</v>
      </c>
      <c r="H4272" s="22"/>
      <c r="I4272" s="22"/>
      <c r="J4272" s="22"/>
      <c r="K4272" s="24"/>
      <c r="L4272" s="24"/>
      <c r="M4272" s="25" t="s">
        <v>1764</v>
      </c>
      <c r="N4272" s="22"/>
      <c r="O4272" s="22" t="s">
        <v>1765</v>
      </c>
      <c r="P4272" s="22" t="str">
        <f>HYPERLINK("https://ceds.ed.gov/cedselementdetails.aspx?termid=22807")</f>
        <v>https://ceds.ed.gov/cedselementdetails.aspx?termid=22807</v>
      </c>
      <c r="Q4272" s="22">
        <v>63060</v>
      </c>
    </row>
    <row r="4273" spans="1:17" ht="273.60000000000002" x14ac:dyDescent="0.3">
      <c r="A4273" s="22" t="s">
        <v>7926</v>
      </c>
      <c r="B4273" s="22" t="s">
        <v>7723</v>
      </c>
      <c r="C4273" s="22" t="s">
        <v>7929</v>
      </c>
      <c r="D4273" s="22" t="s">
        <v>7710</v>
      </c>
      <c r="E4273" s="22" t="s">
        <v>1766</v>
      </c>
      <c r="F4273" s="24" t="s">
        <v>1767</v>
      </c>
      <c r="G4273" s="26" t="s">
        <v>8691</v>
      </c>
      <c r="H4273" s="22"/>
      <c r="I4273" s="22"/>
      <c r="J4273" s="22"/>
      <c r="K4273" s="24"/>
      <c r="L4273" s="24"/>
      <c r="M4273" s="25" t="s">
        <v>1768</v>
      </c>
      <c r="N4273" s="22"/>
      <c r="O4273" s="22" t="s">
        <v>1769</v>
      </c>
      <c r="P4273" s="22" t="str">
        <f>HYPERLINK("https://ceds.ed.gov/cedselementdetails.aspx?termid=22808")</f>
        <v>https://ceds.ed.gov/cedselementdetails.aspx?termid=22808</v>
      </c>
      <c r="Q4273" s="22">
        <v>63061</v>
      </c>
    </row>
    <row r="4274" spans="1:17" ht="216" x14ac:dyDescent="0.3">
      <c r="A4274" s="22" t="s">
        <v>7926</v>
      </c>
      <c r="B4274" s="22" t="s">
        <v>7723</v>
      </c>
      <c r="C4274" s="22" t="s">
        <v>7929</v>
      </c>
      <c r="D4274" s="22" t="s">
        <v>7710</v>
      </c>
      <c r="E4274" s="22" t="s">
        <v>1782</v>
      </c>
      <c r="F4274" s="24" t="s">
        <v>1783</v>
      </c>
      <c r="G4274" s="26" t="s">
        <v>8694</v>
      </c>
      <c r="H4274" s="22"/>
      <c r="I4274" s="22"/>
      <c r="J4274" s="22"/>
      <c r="K4274" s="24"/>
      <c r="L4274" s="24"/>
      <c r="M4274" s="25" t="s">
        <v>1784</v>
      </c>
      <c r="N4274" s="22"/>
      <c r="O4274" s="22" t="s">
        <v>1785</v>
      </c>
      <c r="P4274" s="22" t="str">
        <f>HYPERLINK("https://ceds.ed.gov/cedselementdetails.aspx?termid=22809")</f>
        <v>https://ceds.ed.gov/cedselementdetails.aspx?termid=22809</v>
      </c>
      <c r="Q4274" s="22">
        <v>63062</v>
      </c>
    </row>
    <row r="4275" spans="1:17" ht="187.2" x14ac:dyDescent="0.3">
      <c r="A4275" s="22" t="s">
        <v>7926</v>
      </c>
      <c r="B4275" s="22" t="s">
        <v>7723</v>
      </c>
      <c r="C4275" s="22" t="s">
        <v>7929</v>
      </c>
      <c r="D4275" s="22" t="s">
        <v>7710</v>
      </c>
      <c r="E4275" s="22" t="s">
        <v>1786</v>
      </c>
      <c r="F4275" s="24" t="s">
        <v>1787</v>
      </c>
      <c r="G4275" s="26" t="s">
        <v>8695</v>
      </c>
      <c r="H4275" s="22"/>
      <c r="I4275" s="22"/>
      <c r="J4275" s="22"/>
      <c r="K4275" s="24"/>
      <c r="L4275" s="24"/>
      <c r="M4275" s="25" t="s">
        <v>1788</v>
      </c>
      <c r="N4275" s="22"/>
      <c r="O4275" s="22" t="s">
        <v>1789</v>
      </c>
      <c r="P4275" s="22" t="str">
        <f>HYPERLINK("https://ceds.ed.gov/cedselementdetails.aspx?termid=22810")</f>
        <v>https://ceds.ed.gov/cedselementdetails.aspx?termid=22810</v>
      </c>
      <c r="Q4275" s="22">
        <v>63063</v>
      </c>
    </row>
    <row r="4276" spans="1:17" ht="28.8" x14ac:dyDescent="0.3">
      <c r="A4276" s="22" t="s">
        <v>7926</v>
      </c>
      <c r="B4276" s="22" t="s">
        <v>7723</v>
      </c>
      <c r="C4276" s="22" t="s">
        <v>7929</v>
      </c>
      <c r="D4276" s="22" t="s">
        <v>7710</v>
      </c>
      <c r="E4276" s="22" t="s">
        <v>1794</v>
      </c>
      <c r="F4276" s="24" t="s">
        <v>1795</v>
      </c>
      <c r="G4276" s="23" t="s">
        <v>32</v>
      </c>
      <c r="H4276" s="22"/>
      <c r="I4276" s="22"/>
      <c r="J4276" s="22" t="s">
        <v>55</v>
      </c>
      <c r="K4276" s="24"/>
      <c r="L4276" s="24"/>
      <c r="M4276" s="25" t="s">
        <v>1796</v>
      </c>
      <c r="N4276" s="22"/>
      <c r="O4276" s="22" t="s">
        <v>1797</v>
      </c>
      <c r="P4276" s="22" t="str">
        <f>HYPERLINK("https://ceds.ed.gov/cedselementdetails.aspx?termid=22831")</f>
        <v>https://ceds.ed.gov/cedselementdetails.aspx?termid=22831</v>
      </c>
      <c r="Q4276" s="22">
        <v>63064</v>
      </c>
    </row>
    <row r="4277" spans="1:17" ht="244.8" x14ac:dyDescent="0.3">
      <c r="A4277" s="22" t="s">
        <v>7926</v>
      </c>
      <c r="B4277" s="22" t="s">
        <v>7723</v>
      </c>
      <c r="C4277" s="22" t="s">
        <v>7929</v>
      </c>
      <c r="D4277" s="22" t="s">
        <v>7710</v>
      </c>
      <c r="E4277" s="22" t="s">
        <v>1806</v>
      </c>
      <c r="F4277" s="24" t="s">
        <v>1807</v>
      </c>
      <c r="G4277" s="26" t="s">
        <v>8698</v>
      </c>
      <c r="H4277" s="22"/>
      <c r="I4277" s="22"/>
      <c r="J4277" s="22"/>
      <c r="K4277" s="24"/>
      <c r="L4277" s="24"/>
      <c r="M4277" s="25" t="s">
        <v>1808</v>
      </c>
      <c r="N4277" s="22"/>
      <c r="O4277" s="22" t="s">
        <v>1809</v>
      </c>
      <c r="P4277" s="22" t="str">
        <f>HYPERLINK("https://ceds.ed.gov/cedselementdetails.aspx?termid=22812")</f>
        <v>https://ceds.ed.gov/cedselementdetails.aspx?termid=22812</v>
      </c>
      <c r="Q4277" s="22">
        <v>63065</v>
      </c>
    </row>
    <row r="4278" spans="1:17" ht="129.6" x14ac:dyDescent="0.3">
      <c r="A4278" s="22" t="s">
        <v>7926</v>
      </c>
      <c r="B4278" s="22" t="s">
        <v>7723</v>
      </c>
      <c r="C4278" s="22" t="s">
        <v>7929</v>
      </c>
      <c r="D4278" s="22" t="s">
        <v>7710</v>
      </c>
      <c r="E4278" s="22" t="s">
        <v>1814</v>
      </c>
      <c r="F4278" s="24" t="s">
        <v>1815</v>
      </c>
      <c r="G4278" s="26" t="s">
        <v>8699</v>
      </c>
      <c r="H4278" s="22"/>
      <c r="I4278" s="22"/>
      <c r="J4278" s="22"/>
      <c r="K4278" s="24"/>
      <c r="L4278" s="24"/>
      <c r="M4278" s="25" t="s">
        <v>1816</v>
      </c>
      <c r="N4278" s="22"/>
      <c r="O4278" s="22" t="s">
        <v>1817</v>
      </c>
      <c r="P4278" s="22" t="str">
        <f>HYPERLINK("https://ceds.ed.gov/cedselementdetails.aspx?termid=22813")</f>
        <v>https://ceds.ed.gov/cedselementdetails.aspx?termid=22813</v>
      </c>
      <c r="Q4278" s="22">
        <v>63066</v>
      </c>
    </row>
    <row r="4279" spans="1:17" ht="158.4" x14ac:dyDescent="0.3">
      <c r="A4279" s="22" t="s">
        <v>7926</v>
      </c>
      <c r="B4279" s="22" t="s">
        <v>7723</v>
      </c>
      <c r="C4279" s="22" t="s">
        <v>7929</v>
      </c>
      <c r="D4279" s="22" t="s">
        <v>7710</v>
      </c>
      <c r="E4279" s="22" t="s">
        <v>1818</v>
      </c>
      <c r="F4279" s="24" t="s">
        <v>1819</v>
      </c>
      <c r="G4279" s="26" t="s">
        <v>8700</v>
      </c>
      <c r="H4279" s="22"/>
      <c r="I4279" s="22"/>
      <c r="J4279" s="22"/>
      <c r="K4279" s="24"/>
      <c r="L4279" s="24"/>
      <c r="M4279" s="25" t="s">
        <v>1820</v>
      </c>
      <c r="N4279" s="22"/>
      <c r="O4279" s="22" t="s">
        <v>1821</v>
      </c>
      <c r="P4279" s="22" t="str">
        <f>HYPERLINK("https://ceds.ed.gov/cedselementdetails.aspx?termid=22814")</f>
        <v>https://ceds.ed.gov/cedselementdetails.aspx?termid=22814</v>
      </c>
      <c r="Q4279" s="22">
        <v>63067</v>
      </c>
    </row>
    <row r="4280" spans="1:17" ht="57.6" x14ac:dyDescent="0.3">
      <c r="A4280" s="22" t="s">
        <v>7926</v>
      </c>
      <c r="B4280" s="22" t="s">
        <v>7723</v>
      </c>
      <c r="C4280" s="22" t="s">
        <v>7929</v>
      </c>
      <c r="D4280" s="22" t="s">
        <v>7710</v>
      </c>
      <c r="E4280" s="22" t="s">
        <v>3699</v>
      </c>
      <c r="F4280" s="24" t="s">
        <v>3700</v>
      </c>
      <c r="G4280" s="23" t="s">
        <v>32</v>
      </c>
      <c r="H4280" s="22"/>
      <c r="I4280" s="22"/>
      <c r="J4280" s="22" t="s">
        <v>118</v>
      </c>
      <c r="K4280" s="24"/>
      <c r="L4280" s="24"/>
      <c r="M4280" s="25" t="s">
        <v>3701</v>
      </c>
      <c r="N4280" s="22"/>
      <c r="O4280" s="22" t="s">
        <v>3702</v>
      </c>
      <c r="P4280" s="22" t="str">
        <f>HYPERLINK("https://ceds.ed.gov/cedselementdetails.aspx?termid=22818")</f>
        <v>https://ceds.ed.gov/cedselementdetails.aspx?termid=22818</v>
      </c>
      <c r="Q4280" s="22">
        <v>63068</v>
      </c>
    </row>
    <row r="4281" spans="1:17" ht="57.6" x14ac:dyDescent="0.3">
      <c r="A4281" s="22" t="s">
        <v>7926</v>
      </c>
      <c r="B4281" s="22" t="s">
        <v>7723</v>
      </c>
      <c r="C4281" s="22" t="s">
        <v>7929</v>
      </c>
      <c r="D4281" s="22" t="s">
        <v>7710</v>
      </c>
      <c r="E4281" s="22" t="s">
        <v>3703</v>
      </c>
      <c r="F4281" s="24" t="s">
        <v>3704</v>
      </c>
      <c r="G4281" s="23" t="s">
        <v>32</v>
      </c>
      <c r="H4281" s="22"/>
      <c r="I4281" s="22"/>
      <c r="J4281" s="22" t="s">
        <v>55</v>
      </c>
      <c r="K4281" s="24"/>
      <c r="L4281" s="24"/>
      <c r="M4281" s="25" t="s">
        <v>3705</v>
      </c>
      <c r="N4281" s="22"/>
      <c r="O4281" s="22" t="s">
        <v>3706</v>
      </c>
      <c r="P4281" s="22" t="str">
        <f>HYPERLINK("https://ceds.ed.gov/cedselementdetails.aspx?termid=22819")</f>
        <v>https://ceds.ed.gov/cedselementdetails.aspx?termid=22819</v>
      </c>
      <c r="Q4281" s="22">
        <v>63069</v>
      </c>
    </row>
    <row r="4282" spans="1:17" ht="57.6" x14ac:dyDescent="0.3">
      <c r="A4282" s="22" t="s">
        <v>7926</v>
      </c>
      <c r="B4282" s="22" t="s">
        <v>7723</v>
      </c>
      <c r="C4282" s="22" t="s">
        <v>7929</v>
      </c>
      <c r="D4282" s="22" t="s">
        <v>7710</v>
      </c>
      <c r="E4282" s="22" t="s">
        <v>3711</v>
      </c>
      <c r="F4282" s="24" t="s">
        <v>3712</v>
      </c>
      <c r="G4282" s="23" t="s">
        <v>32</v>
      </c>
      <c r="H4282" s="22"/>
      <c r="I4282" s="22"/>
      <c r="J4282" s="22" t="s">
        <v>55</v>
      </c>
      <c r="K4282" s="24"/>
      <c r="L4282" s="24"/>
      <c r="M4282" s="25" t="s">
        <v>3713</v>
      </c>
      <c r="N4282" s="22"/>
      <c r="O4282" s="22" t="s">
        <v>3714</v>
      </c>
      <c r="P4282" s="22" t="str">
        <f>HYPERLINK("https://ceds.ed.gov/cedselementdetails.aspx?termid=22820")</f>
        <v>https://ceds.ed.gov/cedselementdetails.aspx?termid=22820</v>
      </c>
      <c r="Q4282" s="22">
        <v>63070</v>
      </c>
    </row>
    <row r="4283" spans="1:17" ht="57.6" x14ac:dyDescent="0.3">
      <c r="A4283" s="22" t="s">
        <v>7926</v>
      </c>
      <c r="B4283" s="22" t="s">
        <v>7723</v>
      </c>
      <c r="C4283" s="22" t="s">
        <v>7929</v>
      </c>
      <c r="D4283" s="22" t="s">
        <v>7710</v>
      </c>
      <c r="E4283" s="22" t="s">
        <v>3715</v>
      </c>
      <c r="F4283" s="24" t="s">
        <v>3716</v>
      </c>
      <c r="G4283" s="23" t="s">
        <v>32</v>
      </c>
      <c r="H4283" s="22"/>
      <c r="I4283" s="22"/>
      <c r="J4283" s="22" t="s">
        <v>85</v>
      </c>
      <c r="K4283" s="24"/>
      <c r="L4283" s="24"/>
      <c r="M4283" s="25" t="s">
        <v>3717</v>
      </c>
      <c r="N4283" s="22"/>
      <c r="O4283" s="22" t="s">
        <v>3718</v>
      </c>
      <c r="P4283" s="22" t="str">
        <f>HYPERLINK("https://ceds.ed.gov/cedselementdetails.aspx?termid=22821")</f>
        <v>https://ceds.ed.gov/cedselementdetails.aspx?termid=22821</v>
      </c>
      <c r="Q4283" s="22">
        <v>63071</v>
      </c>
    </row>
    <row r="4284" spans="1:17" ht="43.2" x14ac:dyDescent="0.3">
      <c r="A4284" s="22" t="s">
        <v>7926</v>
      </c>
      <c r="B4284" s="22" t="s">
        <v>7723</v>
      </c>
      <c r="C4284" s="22" t="s">
        <v>7929</v>
      </c>
      <c r="D4284" s="22" t="s">
        <v>7710</v>
      </c>
      <c r="E4284" s="22" t="s">
        <v>3739</v>
      </c>
      <c r="F4284" s="24" t="s">
        <v>3740</v>
      </c>
      <c r="G4284" s="23" t="s">
        <v>32</v>
      </c>
      <c r="H4284" s="22"/>
      <c r="I4284" s="22"/>
      <c r="J4284" s="22" t="s">
        <v>1518</v>
      </c>
      <c r="K4284" s="24"/>
      <c r="L4284" s="24"/>
      <c r="M4284" s="25" t="s">
        <v>3741</v>
      </c>
      <c r="N4284" s="22"/>
      <c r="O4284" s="22" t="s">
        <v>3742</v>
      </c>
      <c r="P4284" s="22" t="str">
        <f>HYPERLINK("https://ceds.ed.gov/cedselementdetails.aspx?termid=22822")</f>
        <v>https://ceds.ed.gov/cedselementdetails.aspx?termid=22822</v>
      </c>
      <c r="Q4284" s="22">
        <v>63072</v>
      </c>
    </row>
    <row r="4285" spans="1:17" ht="100.8" x14ac:dyDescent="0.3">
      <c r="A4285" s="22" t="s">
        <v>7926</v>
      </c>
      <c r="B4285" s="22" t="s">
        <v>7723</v>
      </c>
      <c r="C4285" s="22" t="s">
        <v>7929</v>
      </c>
      <c r="D4285" s="22" t="s">
        <v>7710</v>
      </c>
      <c r="E4285" s="22" t="s">
        <v>3756</v>
      </c>
      <c r="F4285" s="24" t="s">
        <v>3757</v>
      </c>
      <c r="G4285" s="26" t="s">
        <v>8873</v>
      </c>
      <c r="H4285" s="22"/>
      <c r="I4285" s="22"/>
      <c r="J4285" s="22"/>
      <c r="K4285" s="24"/>
      <c r="L4285" s="24"/>
      <c r="M4285" s="25" t="s">
        <v>3758</v>
      </c>
      <c r="N4285" s="22"/>
      <c r="O4285" s="22" t="s">
        <v>3759</v>
      </c>
      <c r="P4285" s="22" t="str">
        <f>HYPERLINK("https://ceds.ed.gov/cedselementdetails.aspx?termid=22801")</f>
        <v>https://ceds.ed.gov/cedselementdetails.aspx?termid=22801</v>
      </c>
      <c r="Q4285" s="22">
        <v>63073</v>
      </c>
    </row>
    <row r="4286" spans="1:17" ht="43.2" x14ac:dyDescent="0.3">
      <c r="A4286" s="22" t="s">
        <v>7926</v>
      </c>
      <c r="B4286" s="22" t="s">
        <v>7723</v>
      </c>
      <c r="C4286" s="22" t="s">
        <v>7929</v>
      </c>
      <c r="D4286" s="22" t="s">
        <v>7710</v>
      </c>
      <c r="E4286" s="22" t="s">
        <v>3760</v>
      </c>
      <c r="F4286" s="24" t="s">
        <v>3761</v>
      </c>
      <c r="G4286" s="23" t="s">
        <v>32</v>
      </c>
      <c r="H4286" s="22"/>
      <c r="I4286" s="22"/>
      <c r="J4286" s="22" t="s">
        <v>118</v>
      </c>
      <c r="K4286" s="24"/>
      <c r="L4286" s="24"/>
      <c r="M4286" s="25" t="s">
        <v>3762</v>
      </c>
      <c r="N4286" s="22"/>
      <c r="O4286" s="22" t="s">
        <v>3763</v>
      </c>
      <c r="P4286" s="22" t="str">
        <f>HYPERLINK("https://ceds.ed.gov/cedselementdetails.aspx?termid=22823")</f>
        <v>https://ceds.ed.gov/cedselementdetails.aspx?termid=22823</v>
      </c>
      <c r="Q4286" s="22">
        <v>63074</v>
      </c>
    </row>
    <row r="4287" spans="1:17" ht="43.2" x14ac:dyDescent="0.3">
      <c r="A4287" s="22" t="s">
        <v>7926</v>
      </c>
      <c r="B4287" s="22" t="s">
        <v>7723</v>
      </c>
      <c r="C4287" s="22" t="s">
        <v>7929</v>
      </c>
      <c r="D4287" s="22" t="s">
        <v>7710</v>
      </c>
      <c r="E4287" s="22" t="s">
        <v>3768</v>
      </c>
      <c r="F4287" s="24" t="s">
        <v>3769</v>
      </c>
      <c r="G4287" s="23" t="s">
        <v>32</v>
      </c>
      <c r="H4287" s="22"/>
      <c r="I4287" s="22"/>
      <c r="J4287" s="22" t="s">
        <v>1301</v>
      </c>
      <c r="K4287" s="24"/>
      <c r="L4287" s="24"/>
      <c r="M4287" s="25" t="s">
        <v>3770</v>
      </c>
      <c r="N4287" s="22"/>
      <c r="O4287" s="22" t="s">
        <v>3771</v>
      </c>
      <c r="P4287" s="22" t="str">
        <f>HYPERLINK("https://ceds.ed.gov/cedselementdetails.aspx?termid=22827")</f>
        <v>https://ceds.ed.gov/cedselementdetails.aspx?termid=22827</v>
      </c>
      <c r="Q4287" s="22">
        <v>63075</v>
      </c>
    </row>
    <row r="4288" spans="1:17" ht="28.8" x14ac:dyDescent="0.3">
      <c r="A4288" s="22" t="s">
        <v>7926</v>
      </c>
      <c r="B4288" s="22" t="s">
        <v>7723</v>
      </c>
      <c r="C4288" s="22" t="s">
        <v>7929</v>
      </c>
      <c r="D4288" s="22" t="s">
        <v>7710</v>
      </c>
      <c r="E4288" s="22" t="s">
        <v>3772</v>
      </c>
      <c r="F4288" s="24" t="s">
        <v>3773</v>
      </c>
      <c r="G4288" s="23" t="s">
        <v>32</v>
      </c>
      <c r="H4288" s="22"/>
      <c r="I4288" s="22"/>
      <c r="J4288" s="22" t="s">
        <v>55</v>
      </c>
      <c r="K4288" s="24"/>
      <c r="L4288" s="24"/>
      <c r="M4288" s="25" t="s">
        <v>3774</v>
      </c>
      <c r="N4288" s="22"/>
      <c r="O4288" s="22" t="s">
        <v>3775</v>
      </c>
      <c r="P4288" s="22" t="str">
        <f>HYPERLINK("https://ceds.ed.gov/cedselementdetails.aspx?termid=22828")</f>
        <v>https://ceds.ed.gov/cedselementdetails.aspx?termid=22828</v>
      </c>
      <c r="Q4288" s="22">
        <v>63076</v>
      </c>
    </row>
    <row r="4289" spans="1:17" ht="259.2" x14ac:dyDescent="0.3">
      <c r="A4289" s="22" t="s">
        <v>7926</v>
      </c>
      <c r="B4289" s="22" t="s">
        <v>7723</v>
      </c>
      <c r="C4289" s="22" t="s">
        <v>7929</v>
      </c>
      <c r="D4289" s="22" t="s">
        <v>7710</v>
      </c>
      <c r="E4289" s="22" t="s">
        <v>3853</v>
      </c>
      <c r="F4289" s="24" t="s">
        <v>3854</v>
      </c>
      <c r="G4289" s="26" t="s">
        <v>8886</v>
      </c>
      <c r="H4289" s="22"/>
      <c r="I4289" s="22"/>
      <c r="J4289" s="22"/>
      <c r="K4289" s="24"/>
      <c r="L4289" s="24"/>
      <c r="M4289" s="25" t="s">
        <v>3855</v>
      </c>
      <c r="N4289" s="22"/>
      <c r="O4289" s="22" t="s">
        <v>3856</v>
      </c>
      <c r="P4289" s="22" t="str">
        <f>HYPERLINK("https://ceds.ed.gov/cedselementdetails.aspx?termid=22811")</f>
        <v>https://ceds.ed.gov/cedselementdetails.aspx?termid=22811</v>
      </c>
      <c r="Q4289" s="22">
        <v>63077</v>
      </c>
    </row>
    <row r="4290" spans="1:17" ht="28.8" x14ac:dyDescent="0.3">
      <c r="A4290" s="22" t="s">
        <v>7926</v>
      </c>
      <c r="B4290" s="22" t="s">
        <v>7723</v>
      </c>
      <c r="C4290" s="22" t="s">
        <v>7929</v>
      </c>
      <c r="D4290" s="22" t="s">
        <v>7710</v>
      </c>
      <c r="E4290" s="22" t="s">
        <v>4273</v>
      </c>
      <c r="F4290" s="24" t="s">
        <v>4274</v>
      </c>
      <c r="G4290" s="23" t="s">
        <v>32</v>
      </c>
      <c r="H4290" s="22"/>
      <c r="I4290" s="22"/>
      <c r="J4290" s="22" t="s">
        <v>55</v>
      </c>
      <c r="K4290" s="24"/>
      <c r="L4290" s="24"/>
      <c r="M4290" s="25" t="s">
        <v>4275</v>
      </c>
      <c r="N4290" s="22"/>
      <c r="O4290" s="22" t="s">
        <v>4276</v>
      </c>
      <c r="P4290" s="22" t="str">
        <f>HYPERLINK("https://ceds.ed.gov/cedselementdetails.aspx?termid=22825")</f>
        <v>https://ceds.ed.gov/cedselementdetails.aspx?termid=22825</v>
      </c>
      <c r="Q4290" s="22">
        <v>63078</v>
      </c>
    </row>
    <row r="4291" spans="1:17" ht="43.2" x14ac:dyDescent="0.3">
      <c r="A4291" s="22" t="s">
        <v>7926</v>
      </c>
      <c r="B4291" s="22" t="s">
        <v>7723</v>
      </c>
      <c r="C4291" s="22" t="s">
        <v>7929</v>
      </c>
      <c r="D4291" s="22" t="s">
        <v>7710</v>
      </c>
      <c r="E4291" s="22" t="s">
        <v>4277</v>
      </c>
      <c r="F4291" s="24" t="s">
        <v>4278</v>
      </c>
      <c r="G4291" s="23" t="s">
        <v>32</v>
      </c>
      <c r="H4291" s="22"/>
      <c r="I4291" s="22"/>
      <c r="J4291" s="22" t="s">
        <v>118</v>
      </c>
      <c r="K4291" s="24"/>
      <c r="L4291" s="24"/>
      <c r="M4291" s="25" t="s">
        <v>4279</v>
      </c>
      <c r="N4291" s="22"/>
      <c r="O4291" s="22" t="s">
        <v>4280</v>
      </c>
      <c r="P4291" s="22" t="str">
        <f>HYPERLINK("https://ceds.ed.gov/cedselementdetails.aspx?termid=22826")</f>
        <v>https://ceds.ed.gov/cedselementdetails.aspx?termid=22826</v>
      </c>
      <c r="Q4291" s="22">
        <v>63079</v>
      </c>
    </row>
    <row r="4292" spans="1:17" ht="43.2" x14ac:dyDescent="0.3">
      <c r="A4292" s="22" t="s">
        <v>7926</v>
      </c>
      <c r="B4292" s="22" t="s">
        <v>7723</v>
      </c>
      <c r="C4292" s="22" t="s">
        <v>7929</v>
      </c>
      <c r="D4292" s="22" t="s">
        <v>7710</v>
      </c>
      <c r="E4292" s="22" t="s">
        <v>4767</v>
      </c>
      <c r="F4292" s="24" t="s">
        <v>4768</v>
      </c>
      <c r="G4292" s="23" t="s">
        <v>32</v>
      </c>
      <c r="H4292" s="22"/>
      <c r="I4292" s="22"/>
      <c r="J4292" s="22" t="s">
        <v>1844</v>
      </c>
      <c r="K4292" s="24"/>
      <c r="L4292" s="24"/>
      <c r="M4292" s="25" t="s">
        <v>4769</v>
      </c>
      <c r="N4292" s="22"/>
      <c r="O4292" s="22" t="s">
        <v>4770</v>
      </c>
      <c r="P4292" s="22" t="str">
        <f>HYPERLINK("https://ceds.ed.gov/cedselementdetails.aspx?termid=22829")</f>
        <v>https://ceds.ed.gov/cedselementdetails.aspx?termid=22829</v>
      </c>
      <c r="Q4292" s="22">
        <v>63080</v>
      </c>
    </row>
    <row r="4293" spans="1:17" ht="57.6" x14ac:dyDescent="0.3">
      <c r="A4293" s="22" t="s">
        <v>7926</v>
      </c>
      <c r="B4293" s="22" t="s">
        <v>7723</v>
      </c>
      <c r="C4293" s="22" t="s">
        <v>7929</v>
      </c>
      <c r="D4293" s="22" t="s">
        <v>7710</v>
      </c>
      <c r="E4293" s="22" t="s">
        <v>5307</v>
      </c>
      <c r="F4293" s="24" t="s">
        <v>5308</v>
      </c>
      <c r="G4293" s="23" t="s">
        <v>32</v>
      </c>
      <c r="H4293" s="22"/>
      <c r="I4293" s="22"/>
      <c r="J4293" s="22" t="s">
        <v>1518</v>
      </c>
      <c r="K4293" s="24"/>
      <c r="L4293" s="24"/>
      <c r="M4293" s="25" t="s">
        <v>5309</v>
      </c>
      <c r="N4293" s="22"/>
      <c r="O4293" s="22" t="s">
        <v>5310</v>
      </c>
      <c r="P4293" s="22" t="str">
        <f>HYPERLINK("https://ceds.ed.gov/cedselementdetails.aspx?termid=22830")</f>
        <v>https://ceds.ed.gov/cedselementdetails.aspx?termid=22830</v>
      </c>
      <c r="Q4293" s="22">
        <v>63081</v>
      </c>
    </row>
    <row r="4294" spans="1:17" ht="331.2" x14ac:dyDescent="0.3">
      <c r="A4294" s="22" t="s">
        <v>7926</v>
      </c>
      <c r="B4294" s="22" t="s">
        <v>7723</v>
      </c>
      <c r="C4294" s="22" t="s">
        <v>7930</v>
      </c>
      <c r="D4294" s="22" t="s">
        <v>7710</v>
      </c>
      <c r="E4294" s="22" t="s">
        <v>1834</v>
      </c>
      <c r="F4294" s="24" t="s">
        <v>1835</v>
      </c>
      <c r="G4294" s="26" t="s">
        <v>8703</v>
      </c>
      <c r="H4294" s="22"/>
      <c r="I4294" s="22"/>
      <c r="J4294" s="22"/>
      <c r="K4294" s="24"/>
      <c r="L4294" s="24"/>
      <c r="M4294" s="25" t="s">
        <v>1836</v>
      </c>
      <c r="N4294" s="22"/>
      <c r="O4294" s="22" t="s">
        <v>1837</v>
      </c>
      <c r="P4294" s="22" t="str">
        <f>HYPERLINK("https://ceds.ed.gov/cedselementdetails.aspx?termid=22173")</f>
        <v>https://ceds.ed.gov/cedselementdetails.aspx?termid=22173</v>
      </c>
      <c r="Q4294" s="22">
        <v>59610</v>
      </c>
    </row>
    <row r="4295" spans="1:17" ht="244.8" x14ac:dyDescent="0.3">
      <c r="A4295" s="22" t="s">
        <v>7926</v>
      </c>
      <c r="B4295" s="22" t="s">
        <v>7723</v>
      </c>
      <c r="C4295" s="22" t="s">
        <v>7930</v>
      </c>
      <c r="D4295" s="22" t="s">
        <v>7710</v>
      </c>
      <c r="E4295" s="22" t="s">
        <v>3861</v>
      </c>
      <c r="F4295" s="24" t="s">
        <v>3862</v>
      </c>
      <c r="G4295" s="26" t="s">
        <v>8887</v>
      </c>
      <c r="H4295" s="22"/>
      <c r="I4295" s="22"/>
      <c r="J4295" s="22"/>
      <c r="K4295" s="24"/>
      <c r="L4295" s="24"/>
      <c r="M4295" s="25" t="s">
        <v>3863</v>
      </c>
      <c r="N4295" s="22"/>
      <c r="O4295" s="22" t="s">
        <v>3864</v>
      </c>
      <c r="P4295" s="22" t="str">
        <f>HYPERLINK("https://ceds.ed.gov/cedselementdetails.aspx?termid=22175")</f>
        <v>https://ceds.ed.gov/cedselementdetails.aspx?termid=22175</v>
      </c>
      <c r="Q4295" s="22">
        <v>59612</v>
      </c>
    </row>
    <row r="4296" spans="1:17" ht="43.2" x14ac:dyDescent="0.3">
      <c r="A4296" s="22" t="s">
        <v>7926</v>
      </c>
      <c r="B4296" s="22" t="s">
        <v>7723</v>
      </c>
      <c r="C4296" s="22" t="s">
        <v>7930</v>
      </c>
      <c r="D4296" s="22" t="s">
        <v>7710</v>
      </c>
      <c r="E4296" s="22" t="s">
        <v>1522</v>
      </c>
      <c r="F4296" s="24" t="s">
        <v>1523</v>
      </c>
      <c r="G4296" s="26" t="s">
        <v>22</v>
      </c>
      <c r="H4296" s="22"/>
      <c r="I4296" s="22"/>
      <c r="J4296" s="22"/>
      <c r="K4296" s="24"/>
      <c r="L4296" s="24"/>
      <c r="M4296" s="25" t="s">
        <v>1525</v>
      </c>
      <c r="N4296" s="22"/>
      <c r="O4296" s="22" t="s">
        <v>1526</v>
      </c>
      <c r="P4296" s="22" t="str">
        <f>HYPERLINK("https://ceds.ed.gov/cedselementdetails.aspx?termid=22883")</f>
        <v>https://ceds.ed.gov/cedselementdetails.aspx?termid=22883</v>
      </c>
      <c r="Q4296" s="22">
        <v>63130</v>
      </c>
    </row>
    <row r="4297" spans="1:17" ht="57.6" x14ac:dyDescent="0.3">
      <c r="A4297" s="22" t="s">
        <v>7926</v>
      </c>
      <c r="B4297" s="22" t="s">
        <v>7723</v>
      </c>
      <c r="C4297" s="22" t="s">
        <v>7930</v>
      </c>
      <c r="D4297" s="22" t="s">
        <v>7710</v>
      </c>
      <c r="E4297" s="22" t="s">
        <v>1616</v>
      </c>
      <c r="F4297" s="24" t="s">
        <v>1617</v>
      </c>
      <c r="G4297" s="26" t="s">
        <v>22</v>
      </c>
      <c r="H4297" s="22"/>
      <c r="I4297" s="22"/>
      <c r="J4297" s="22"/>
      <c r="K4297" s="24"/>
      <c r="L4297" s="24"/>
      <c r="M4297" s="25" t="s">
        <v>1618</v>
      </c>
      <c r="N4297" s="22"/>
      <c r="O4297" s="22" t="s">
        <v>1619</v>
      </c>
      <c r="P4297" s="22" t="str">
        <f>HYPERLINK("https://ceds.ed.gov/cedselementdetails.aspx?termid=22884")</f>
        <v>https://ceds.ed.gov/cedselementdetails.aspx?termid=22884</v>
      </c>
      <c r="Q4297" s="22">
        <v>63131</v>
      </c>
    </row>
    <row r="4298" spans="1:17" ht="158.4" x14ac:dyDescent="0.3">
      <c r="A4298" s="22" t="s">
        <v>7926</v>
      </c>
      <c r="B4298" s="22" t="s">
        <v>7723</v>
      </c>
      <c r="C4298" s="22" t="s">
        <v>7930</v>
      </c>
      <c r="D4298" s="22" t="s">
        <v>7710</v>
      </c>
      <c r="E4298" s="22" t="s">
        <v>1641</v>
      </c>
      <c r="F4298" s="24" t="s">
        <v>1642</v>
      </c>
      <c r="G4298" s="26" t="s">
        <v>8667</v>
      </c>
      <c r="H4298" s="22"/>
      <c r="I4298" s="22"/>
      <c r="J4298" s="22"/>
      <c r="K4298" s="24"/>
      <c r="L4298" s="24"/>
      <c r="M4298" s="25" t="s">
        <v>1643</v>
      </c>
      <c r="N4298" s="22"/>
      <c r="O4298" s="22" t="s">
        <v>1644</v>
      </c>
      <c r="P4298" s="22" t="str">
        <f>HYPERLINK("https://ceds.ed.gov/cedselementdetails.aspx?termid=22836")</f>
        <v>https://ceds.ed.gov/cedselementdetails.aspx?termid=22836</v>
      </c>
      <c r="Q4298" s="22">
        <v>63132</v>
      </c>
    </row>
    <row r="4299" spans="1:17" ht="57.6" x14ac:dyDescent="0.3">
      <c r="A4299" s="22" t="s">
        <v>7926</v>
      </c>
      <c r="B4299" s="22" t="s">
        <v>7723</v>
      </c>
      <c r="C4299" s="22" t="s">
        <v>7930</v>
      </c>
      <c r="D4299" s="22" t="s">
        <v>7710</v>
      </c>
      <c r="E4299" s="22" t="s">
        <v>1697</v>
      </c>
      <c r="F4299" s="24" t="s">
        <v>1698</v>
      </c>
      <c r="G4299" s="23" t="s">
        <v>32</v>
      </c>
      <c r="H4299" s="22"/>
      <c r="I4299" s="22"/>
      <c r="J4299" s="22" t="s">
        <v>1699</v>
      </c>
      <c r="K4299" s="24"/>
      <c r="L4299" s="24"/>
      <c r="M4299" s="25" t="s">
        <v>1700</v>
      </c>
      <c r="N4299" s="22"/>
      <c r="O4299" s="22" t="s">
        <v>1701</v>
      </c>
      <c r="P4299" s="22" t="str">
        <f>HYPERLINK("https://ceds.ed.gov/cedselementdetails.aspx?termid=22837")</f>
        <v>https://ceds.ed.gov/cedselementdetails.aspx?termid=22837</v>
      </c>
      <c r="Q4299" s="22">
        <v>63133</v>
      </c>
    </row>
    <row r="4300" spans="1:17" ht="43.2" x14ac:dyDescent="0.3">
      <c r="A4300" s="22" t="s">
        <v>7926</v>
      </c>
      <c r="B4300" s="22" t="s">
        <v>7723</v>
      </c>
      <c r="C4300" s="22" t="s">
        <v>7930</v>
      </c>
      <c r="D4300" s="22" t="s">
        <v>7710</v>
      </c>
      <c r="E4300" s="22" t="s">
        <v>1714</v>
      </c>
      <c r="F4300" s="24" t="s">
        <v>1715</v>
      </c>
      <c r="G4300" s="26" t="s">
        <v>8681</v>
      </c>
      <c r="H4300" s="22"/>
      <c r="I4300" s="22"/>
      <c r="J4300" s="22"/>
      <c r="K4300" s="24"/>
      <c r="L4300" s="24"/>
      <c r="M4300" s="25" t="s">
        <v>1716</v>
      </c>
      <c r="N4300" s="22"/>
      <c r="O4300" s="22" t="s">
        <v>1717</v>
      </c>
      <c r="P4300" s="22" t="str">
        <f>HYPERLINK("https://ceds.ed.gov/cedselementdetails.aspx?termid=22832")</f>
        <v>https://ceds.ed.gov/cedselementdetails.aspx?termid=22832</v>
      </c>
      <c r="Q4300" s="22">
        <v>63134</v>
      </c>
    </row>
    <row r="4301" spans="1:17" ht="72" x14ac:dyDescent="0.3">
      <c r="A4301" s="22" t="s">
        <v>7926</v>
      </c>
      <c r="B4301" s="22" t="s">
        <v>7723</v>
      </c>
      <c r="C4301" s="22" t="s">
        <v>7930</v>
      </c>
      <c r="D4301" s="22" t="s">
        <v>7710</v>
      </c>
      <c r="E4301" s="22" t="s">
        <v>1718</v>
      </c>
      <c r="F4301" s="24" t="s">
        <v>1719</v>
      </c>
      <c r="G4301" s="26" t="s">
        <v>8682</v>
      </c>
      <c r="H4301" s="22"/>
      <c r="I4301" s="22"/>
      <c r="J4301" s="22"/>
      <c r="K4301" s="24"/>
      <c r="L4301" s="24"/>
      <c r="M4301" s="25" t="s">
        <v>1720</v>
      </c>
      <c r="N4301" s="22"/>
      <c r="O4301" s="22" t="s">
        <v>1721</v>
      </c>
      <c r="P4301" s="22" t="str">
        <f>HYPERLINK("https://ceds.ed.gov/cedselementdetails.aspx?termid=22833")</f>
        <v>https://ceds.ed.gov/cedselementdetails.aspx?termid=22833</v>
      </c>
      <c r="Q4301" s="22">
        <v>63135</v>
      </c>
    </row>
    <row r="4302" spans="1:17" ht="72" x14ac:dyDescent="0.3">
      <c r="A4302" s="22" t="s">
        <v>7926</v>
      </c>
      <c r="B4302" s="22" t="s">
        <v>7723</v>
      </c>
      <c r="C4302" s="22" t="s">
        <v>7930</v>
      </c>
      <c r="D4302" s="22" t="s">
        <v>7710</v>
      </c>
      <c r="E4302" s="22" t="s">
        <v>1722</v>
      </c>
      <c r="F4302" s="24" t="s">
        <v>1723</v>
      </c>
      <c r="G4302" s="26" t="s">
        <v>8683</v>
      </c>
      <c r="H4302" s="22"/>
      <c r="I4302" s="22"/>
      <c r="J4302" s="22"/>
      <c r="K4302" s="24"/>
      <c r="L4302" s="24"/>
      <c r="M4302" s="25" t="s">
        <v>1724</v>
      </c>
      <c r="N4302" s="22"/>
      <c r="O4302" s="22" t="s">
        <v>1725</v>
      </c>
      <c r="P4302" s="22" t="str">
        <f>HYPERLINK("https://ceds.ed.gov/cedselementdetails.aspx?termid=22834")</f>
        <v>https://ceds.ed.gov/cedselementdetails.aspx?termid=22834</v>
      </c>
      <c r="Q4302" s="22">
        <v>63136</v>
      </c>
    </row>
    <row r="4303" spans="1:17" ht="86.4" x14ac:dyDescent="0.3">
      <c r="A4303" s="22" t="s">
        <v>7926</v>
      </c>
      <c r="B4303" s="22" t="s">
        <v>7723</v>
      </c>
      <c r="C4303" s="22" t="s">
        <v>7930</v>
      </c>
      <c r="D4303" s="22" t="s">
        <v>7710</v>
      </c>
      <c r="E4303" s="22" t="s">
        <v>1726</v>
      </c>
      <c r="F4303" s="24" t="s">
        <v>1727</v>
      </c>
      <c r="G4303" s="26" t="s">
        <v>8684</v>
      </c>
      <c r="H4303" s="22"/>
      <c r="I4303" s="22"/>
      <c r="J4303" s="22"/>
      <c r="K4303" s="24"/>
      <c r="L4303" s="24"/>
      <c r="M4303" s="25" t="s">
        <v>1728</v>
      </c>
      <c r="N4303" s="22"/>
      <c r="O4303" s="22" t="s">
        <v>1729</v>
      </c>
      <c r="P4303" s="22" t="str">
        <f>HYPERLINK("https://ceds.ed.gov/cedselementdetails.aspx?termid=22835")</f>
        <v>https://ceds.ed.gov/cedselementdetails.aspx?termid=22835</v>
      </c>
      <c r="Q4303" s="22">
        <v>63137</v>
      </c>
    </row>
    <row r="4304" spans="1:17" ht="57.6" x14ac:dyDescent="0.3">
      <c r="A4304" s="22" t="s">
        <v>7926</v>
      </c>
      <c r="B4304" s="22" t="s">
        <v>7723</v>
      </c>
      <c r="C4304" s="22" t="s">
        <v>7930</v>
      </c>
      <c r="D4304" s="22" t="s">
        <v>7710</v>
      </c>
      <c r="E4304" s="22" t="s">
        <v>1742</v>
      </c>
      <c r="F4304" s="24" t="s">
        <v>1743</v>
      </c>
      <c r="G4304" s="23" t="s">
        <v>32</v>
      </c>
      <c r="H4304" s="22"/>
      <c r="I4304" s="22"/>
      <c r="J4304" s="22" t="s">
        <v>1518</v>
      </c>
      <c r="K4304" s="24"/>
      <c r="L4304" s="24"/>
      <c r="M4304" s="25" t="s">
        <v>1744</v>
      </c>
      <c r="N4304" s="22"/>
      <c r="O4304" s="22" t="s">
        <v>1745</v>
      </c>
      <c r="P4304" s="22" t="str">
        <f>HYPERLINK("https://ceds.ed.gov/cedselementdetails.aspx?termid=22838")</f>
        <v>https://ceds.ed.gov/cedselementdetails.aspx?termid=22838</v>
      </c>
      <c r="Q4304" s="22">
        <v>63138</v>
      </c>
    </row>
    <row r="4305" spans="1:17" ht="57.6" x14ac:dyDescent="0.3">
      <c r="A4305" s="22" t="s">
        <v>7926</v>
      </c>
      <c r="B4305" s="22" t="s">
        <v>7723</v>
      </c>
      <c r="C4305" s="22" t="s">
        <v>7930</v>
      </c>
      <c r="D4305" s="22" t="s">
        <v>7710</v>
      </c>
      <c r="E4305" s="22" t="s">
        <v>1750</v>
      </c>
      <c r="F4305" s="24" t="s">
        <v>1751</v>
      </c>
      <c r="G4305" s="23" t="s">
        <v>32</v>
      </c>
      <c r="H4305" s="22"/>
      <c r="I4305" s="22"/>
      <c r="J4305" s="22" t="s">
        <v>1699</v>
      </c>
      <c r="K4305" s="24"/>
      <c r="L4305" s="24"/>
      <c r="M4305" s="25" t="s">
        <v>1752</v>
      </c>
      <c r="N4305" s="22"/>
      <c r="O4305" s="22" t="s">
        <v>1753</v>
      </c>
      <c r="P4305" s="22" t="str">
        <f>HYPERLINK("https://ceds.ed.gov/cedselementdetails.aspx?termid=22839")</f>
        <v>https://ceds.ed.gov/cedselementdetails.aspx?termid=22839</v>
      </c>
      <c r="Q4305" s="22">
        <v>63139</v>
      </c>
    </row>
    <row r="4306" spans="1:17" ht="57.6" x14ac:dyDescent="0.3">
      <c r="A4306" s="22" t="s">
        <v>7926</v>
      </c>
      <c r="B4306" s="22" t="s">
        <v>7723</v>
      </c>
      <c r="C4306" s="22" t="s">
        <v>7930</v>
      </c>
      <c r="D4306" s="22" t="s">
        <v>7710</v>
      </c>
      <c r="E4306" s="22" t="s">
        <v>1778</v>
      </c>
      <c r="F4306" s="24" t="s">
        <v>1779</v>
      </c>
      <c r="G4306" s="23" t="s">
        <v>32</v>
      </c>
      <c r="H4306" s="22"/>
      <c r="I4306" s="22"/>
      <c r="J4306" s="22" t="s">
        <v>55</v>
      </c>
      <c r="K4306" s="24"/>
      <c r="L4306" s="24"/>
      <c r="M4306" s="25" t="s">
        <v>1780</v>
      </c>
      <c r="N4306" s="22"/>
      <c r="O4306" s="22" t="s">
        <v>1781</v>
      </c>
      <c r="P4306" s="22" t="str">
        <f>HYPERLINK("https://ceds.ed.gov/cedselementdetails.aspx?termid=22840")</f>
        <v>https://ceds.ed.gov/cedselementdetails.aspx?termid=22840</v>
      </c>
      <c r="Q4306" s="22">
        <v>63140</v>
      </c>
    </row>
    <row r="4307" spans="1:17" ht="115.2" x14ac:dyDescent="0.3">
      <c r="A4307" s="22" t="s">
        <v>7926</v>
      </c>
      <c r="B4307" s="22" t="s">
        <v>7723</v>
      </c>
      <c r="C4307" s="22" t="s">
        <v>7930</v>
      </c>
      <c r="D4307" s="22" t="s">
        <v>7710</v>
      </c>
      <c r="E4307" s="22" t="s">
        <v>1802</v>
      </c>
      <c r="F4307" s="24" t="s">
        <v>1803</v>
      </c>
      <c r="G4307" s="26" t="s">
        <v>8697</v>
      </c>
      <c r="H4307" s="22"/>
      <c r="I4307" s="22"/>
      <c r="J4307" s="22"/>
      <c r="K4307" s="24"/>
      <c r="L4307" s="24"/>
      <c r="M4307" s="25" t="s">
        <v>1804</v>
      </c>
      <c r="N4307" s="22"/>
      <c r="O4307" s="22" t="s">
        <v>1805</v>
      </c>
      <c r="P4307" s="22" t="str">
        <f>HYPERLINK("https://ceds.ed.gov/cedselementdetails.aspx?termid=22841")</f>
        <v>https://ceds.ed.gov/cedselementdetails.aspx?termid=22841</v>
      </c>
      <c r="Q4307" s="22">
        <v>63141</v>
      </c>
    </row>
    <row r="4308" spans="1:17" ht="72" x14ac:dyDescent="0.3">
      <c r="A4308" s="22" t="s">
        <v>7926</v>
      </c>
      <c r="B4308" s="22" t="s">
        <v>7723</v>
      </c>
      <c r="C4308" s="22" t="s">
        <v>7930</v>
      </c>
      <c r="D4308" s="22" t="s">
        <v>7710</v>
      </c>
      <c r="E4308" s="22" t="s">
        <v>1810</v>
      </c>
      <c r="F4308" s="24" t="s">
        <v>1811</v>
      </c>
      <c r="G4308" s="23" t="s">
        <v>32</v>
      </c>
      <c r="H4308" s="22"/>
      <c r="I4308" s="22"/>
      <c r="J4308" s="22" t="s">
        <v>1518</v>
      </c>
      <c r="K4308" s="24"/>
      <c r="L4308" s="24"/>
      <c r="M4308" s="25" t="s">
        <v>1812</v>
      </c>
      <c r="N4308" s="22"/>
      <c r="O4308" s="22" t="s">
        <v>1813</v>
      </c>
      <c r="P4308" s="22" t="str">
        <f>HYPERLINK("https://ceds.ed.gov/cedselementdetails.aspx?termid=22842")</f>
        <v>https://ceds.ed.gov/cedselementdetails.aspx?termid=22842</v>
      </c>
      <c r="Q4308" s="22">
        <v>63142</v>
      </c>
    </row>
    <row r="4309" spans="1:17" ht="72" x14ac:dyDescent="0.3">
      <c r="A4309" s="22" t="s">
        <v>7926</v>
      </c>
      <c r="B4309" s="22" t="s">
        <v>7723</v>
      </c>
      <c r="C4309" s="22" t="s">
        <v>7930</v>
      </c>
      <c r="D4309" s="22" t="s">
        <v>7710</v>
      </c>
      <c r="E4309" s="22" t="s">
        <v>1830</v>
      </c>
      <c r="F4309" s="24" t="s">
        <v>1831</v>
      </c>
      <c r="G4309" s="26" t="s">
        <v>22</v>
      </c>
      <c r="H4309" s="22"/>
      <c r="I4309" s="22"/>
      <c r="J4309" s="22"/>
      <c r="K4309" s="24"/>
      <c r="L4309" s="24"/>
      <c r="M4309" s="25" t="s">
        <v>1832</v>
      </c>
      <c r="N4309" s="22"/>
      <c r="O4309" s="22" t="s">
        <v>1833</v>
      </c>
      <c r="P4309" s="22" t="str">
        <f>HYPERLINK("https://ceds.ed.gov/cedselementdetails.aspx?termid=22844")</f>
        <v>https://ceds.ed.gov/cedselementdetails.aspx?termid=22844</v>
      </c>
      <c r="Q4309" s="22">
        <v>63143</v>
      </c>
    </row>
    <row r="4310" spans="1:17" ht="72" x14ac:dyDescent="0.3">
      <c r="A4310" s="22" t="s">
        <v>7926</v>
      </c>
      <c r="B4310" s="22" t="s">
        <v>7723</v>
      </c>
      <c r="C4310" s="22" t="s">
        <v>7930</v>
      </c>
      <c r="D4310" s="22" t="s">
        <v>7710</v>
      </c>
      <c r="E4310" s="22" t="s">
        <v>3735</v>
      </c>
      <c r="F4310" s="24" t="s">
        <v>3736</v>
      </c>
      <c r="G4310" s="23" t="s">
        <v>32</v>
      </c>
      <c r="H4310" s="22"/>
      <c r="I4310" s="22" t="s">
        <v>172</v>
      </c>
      <c r="J4310" s="22" t="s">
        <v>1699</v>
      </c>
      <c r="K4310" s="24" t="s">
        <v>8116</v>
      </c>
      <c r="L4310" s="24" t="s">
        <v>8117</v>
      </c>
      <c r="M4310" s="25" t="s">
        <v>3737</v>
      </c>
      <c r="N4310" s="22"/>
      <c r="O4310" s="22" t="s">
        <v>3738</v>
      </c>
      <c r="P4310" s="22" t="str">
        <f>HYPERLINK("https://ceds.ed.gov/cedselementdetails.aspx?termid=22885")</f>
        <v>https://ceds.ed.gov/cedselementdetails.aspx?termid=22885</v>
      </c>
      <c r="Q4310" s="22">
        <v>63144</v>
      </c>
    </row>
    <row r="4311" spans="1:17" ht="28.8" x14ac:dyDescent="0.3">
      <c r="A4311" s="22" t="s">
        <v>7926</v>
      </c>
      <c r="B4311" s="22" t="s">
        <v>7723</v>
      </c>
      <c r="C4311" s="22" t="s">
        <v>7930</v>
      </c>
      <c r="D4311" s="22" t="s">
        <v>7741</v>
      </c>
      <c r="E4311" s="22" t="s">
        <v>7947</v>
      </c>
      <c r="F4311" s="24" t="s">
        <v>7948</v>
      </c>
      <c r="G4311" s="23" t="s">
        <v>32</v>
      </c>
      <c r="H4311" s="22"/>
      <c r="I4311" s="22" t="s">
        <v>167</v>
      </c>
      <c r="J4311" s="22" t="s">
        <v>148</v>
      </c>
      <c r="K4311" s="24" t="s">
        <v>7949</v>
      </c>
      <c r="L4311" s="24"/>
      <c r="M4311" s="25" t="s">
        <v>8351</v>
      </c>
      <c r="N4311" s="22"/>
      <c r="O4311" s="22" t="s">
        <v>7950</v>
      </c>
      <c r="P4311" s="22" t="str">
        <f>HYPERLINK("https://ceds.ed.gov/cedselementdetails.aspx?termid=22972")</f>
        <v>https://ceds.ed.gov/cedselementdetails.aspx?termid=22972</v>
      </c>
      <c r="Q4311" s="22">
        <v>63877</v>
      </c>
    </row>
    <row r="4312" spans="1:17" ht="43.2" x14ac:dyDescent="0.3">
      <c r="A4312" s="22" t="s">
        <v>7926</v>
      </c>
      <c r="B4312" s="22" t="s">
        <v>7723</v>
      </c>
      <c r="C4312" s="22" t="s">
        <v>7930</v>
      </c>
      <c r="D4312" s="22" t="s">
        <v>7741</v>
      </c>
      <c r="E4312" s="22" t="s">
        <v>7951</v>
      </c>
      <c r="F4312" s="24" t="s">
        <v>7952</v>
      </c>
      <c r="G4312" s="26" t="s">
        <v>8376</v>
      </c>
      <c r="H4312" s="22"/>
      <c r="I4312" s="22" t="s">
        <v>167</v>
      </c>
      <c r="J4312" s="22" t="s">
        <v>2</v>
      </c>
      <c r="K4312" s="24" t="s">
        <v>7949</v>
      </c>
      <c r="L4312" s="24"/>
      <c r="M4312" s="25" t="s">
        <v>8352</v>
      </c>
      <c r="N4312" s="22"/>
      <c r="O4312" s="22" t="s">
        <v>7953</v>
      </c>
      <c r="P4312" s="22" t="str">
        <f>HYPERLINK("https://ceds.ed.gov/cedselementdetails.aspx?termid=22973")</f>
        <v>https://ceds.ed.gov/cedselementdetails.aspx?termid=22973</v>
      </c>
      <c r="Q4312" s="22">
        <v>63878</v>
      </c>
    </row>
    <row r="4313" spans="1:17" ht="43.2" x14ac:dyDescent="0.3">
      <c r="A4313" s="22" t="s">
        <v>7926</v>
      </c>
      <c r="B4313" s="22" t="s">
        <v>7723</v>
      </c>
      <c r="C4313" s="22" t="s">
        <v>7930</v>
      </c>
      <c r="D4313" s="22" t="s">
        <v>7741</v>
      </c>
      <c r="E4313" s="22" t="s">
        <v>8109</v>
      </c>
      <c r="F4313" s="24" t="s">
        <v>8110</v>
      </c>
      <c r="G4313" s="23" t="s">
        <v>32</v>
      </c>
      <c r="H4313" s="22"/>
      <c r="I4313" s="22" t="s">
        <v>167</v>
      </c>
      <c r="J4313" s="22" t="s">
        <v>1699</v>
      </c>
      <c r="K4313" s="24" t="s">
        <v>7949</v>
      </c>
      <c r="L4313" s="24" t="s">
        <v>8111</v>
      </c>
      <c r="M4313" s="25" t="s">
        <v>8358</v>
      </c>
      <c r="N4313" s="22"/>
      <c r="O4313" s="22" t="s">
        <v>8112</v>
      </c>
      <c r="P4313" s="22" t="str">
        <f>HYPERLINK("https://ceds.ed.gov/cedselementdetails.aspx?termid=22979")</f>
        <v>https://ceds.ed.gov/cedselementdetails.aspx?termid=22979</v>
      </c>
      <c r="Q4313" s="22">
        <v>63879</v>
      </c>
    </row>
    <row r="4314" spans="1:17" ht="72" x14ac:dyDescent="0.3">
      <c r="A4314" s="22" t="s">
        <v>7926</v>
      </c>
      <c r="B4314" s="22" t="s">
        <v>7723</v>
      </c>
      <c r="C4314" s="22" t="s">
        <v>7931</v>
      </c>
      <c r="D4314" s="22" t="s">
        <v>7710</v>
      </c>
      <c r="E4314" s="22" t="s">
        <v>1624</v>
      </c>
      <c r="F4314" s="24" t="s">
        <v>1625</v>
      </c>
      <c r="G4314" s="26" t="s">
        <v>8663</v>
      </c>
      <c r="H4314" s="22"/>
      <c r="I4314" s="22"/>
      <c r="J4314" s="22"/>
      <c r="K4314" s="24"/>
      <c r="L4314" s="24"/>
      <c r="M4314" s="25" t="s">
        <v>1627</v>
      </c>
      <c r="N4314" s="22"/>
      <c r="O4314" s="22" t="s">
        <v>1628</v>
      </c>
      <c r="P4314" s="22" t="str">
        <f>HYPERLINK("https://ceds.ed.gov/cedselementdetails.aspx?termid=22846")</f>
        <v>https://ceds.ed.gov/cedselementdetails.aspx?termid=22846</v>
      </c>
      <c r="Q4314" s="22">
        <v>63108</v>
      </c>
    </row>
    <row r="4315" spans="1:17" ht="86.4" x14ac:dyDescent="0.3">
      <c r="A4315" s="22" t="s">
        <v>7926</v>
      </c>
      <c r="B4315" s="22" t="s">
        <v>7723</v>
      </c>
      <c r="C4315" s="22" t="s">
        <v>7931</v>
      </c>
      <c r="D4315" s="22" t="s">
        <v>7710</v>
      </c>
      <c r="E4315" s="22" t="s">
        <v>1633</v>
      </c>
      <c r="F4315" s="24" t="s">
        <v>1634</v>
      </c>
      <c r="G4315" s="26" t="s">
        <v>8665</v>
      </c>
      <c r="H4315" s="22"/>
      <c r="I4315" s="22"/>
      <c r="J4315" s="22"/>
      <c r="K4315" s="24"/>
      <c r="L4315" s="24"/>
      <c r="M4315" s="25" t="s">
        <v>1635</v>
      </c>
      <c r="N4315" s="22"/>
      <c r="O4315" s="22" t="s">
        <v>1636</v>
      </c>
      <c r="P4315" s="22" t="str">
        <f>HYPERLINK("https://ceds.ed.gov/cedselementdetails.aspx?termid=22847")</f>
        <v>https://ceds.ed.gov/cedselementdetails.aspx?termid=22847</v>
      </c>
      <c r="Q4315" s="22">
        <v>63109</v>
      </c>
    </row>
    <row r="4316" spans="1:17" ht="43.2" x14ac:dyDescent="0.3">
      <c r="A4316" s="22" t="s">
        <v>7926</v>
      </c>
      <c r="B4316" s="22" t="s">
        <v>7723</v>
      </c>
      <c r="C4316" s="22" t="s">
        <v>7931</v>
      </c>
      <c r="D4316" s="22" t="s">
        <v>7710</v>
      </c>
      <c r="E4316" s="22" t="s">
        <v>1649</v>
      </c>
      <c r="F4316" s="24" t="s">
        <v>1650</v>
      </c>
      <c r="G4316" s="23" t="s">
        <v>32</v>
      </c>
      <c r="H4316" s="22"/>
      <c r="I4316" s="22"/>
      <c r="J4316" s="22" t="s">
        <v>118</v>
      </c>
      <c r="K4316" s="24"/>
      <c r="L4316" s="24"/>
      <c r="M4316" s="25" t="s">
        <v>1651</v>
      </c>
      <c r="N4316" s="22"/>
      <c r="O4316" s="22" t="s">
        <v>1652</v>
      </c>
      <c r="P4316" s="22" t="str">
        <f>HYPERLINK("https://ceds.ed.gov/cedselementdetails.aspx?termid=22861")</f>
        <v>https://ceds.ed.gov/cedselementdetails.aspx?termid=22861</v>
      </c>
      <c r="Q4316" s="22">
        <v>63110</v>
      </c>
    </row>
    <row r="4317" spans="1:17" ht="158.4" x14ac:dyDescent="0.3">
      <c r="A4317" s="22" t="s">
        <v>7926</v>
      </c>
      <c r="B4317" s="22" t="s">
        <v>7723</v>
      </c>
      <c r="C4317" s="22" t="s">
        <v>7931</v>
      </c>
      <c r="D4317" s="22" t="s">
        <v>7710</v>
      </c>
      <c r="E4317" s="22" t="s">
        <v>1661</v>
      </c>
      <c r="F4317" s="24" t="s">
        <v>1662</v>
      </c>
      <c r="G4317" s="26" t="s">
        <v>8671</v>
      </c>
      <c r="H4317" s="22"/>
      <c r="I4317" s="22"/>
      <c r="J4317" s="22"/>
      <c r="K4317" s="24"/>
      <c r="L4317" s="24"/>
      <c r="M4317" s="25" t="s">
        <v>1663</v>
      </c>
      <c r="N4317" s="22"/>
      <c r="O4317" s="22" t="s">
        <v>1664</v>
      </c>
      <c r="P4317" s="22" t="str">
        <f>HYPERLINK("https://ceds.ed.gov/cedselementdetails.aspx?termid=22849")</f>
        <v>https://ceds.ed.gov/cedselementdetails.aspx?termid=22849</v>
      </c>
      <c r="Q4317" s="22">
        <v>63111</v>
      </c>
    </row>
    <row r="4318" spans="1:17" ht="72" x14ac:dyDescent="0.3">
      <c r="A4318" s="22" t="s">
        <v>7926</v>
      </c>
      <c r="B4318" s="22" t="s">
        <v>7723</v>
      </c>
      <c r="C4318" s="22" t="s">
        <v>7931</v>
      </c>
      <c r="D4318" s="22" t="s">
        <v>7710</v>
      </c>
      <c r="E4318" s="22" t="s">
        <v>1665</v>
      </c>
      <c r="F4318" s="24" t="s">
        <v>1666</v>
      </c>
      <c r="G4318" s="23" t="s">
        <v>32</v>
      </c>
      <c r="H4318" s="22"/>
      <c r="I4318" s="22"/>
      <c r="J4318" s="22" t="s">
        <v>157</v>
      </c>
      <c r="K4318" s="24"/>
      <c r="L4318" s="24"/>
      <c r="M4318" s="25" t="s">
        <v>1667</v>
      </c>
      <c r="N4318" s="22"/>
      <c r="O4318" s="22" t="s">
        <v>1668</v>
      </c>
      <c r="P4318" s="22" t="str">
        <f>HYPERLINK("https://ceds.ed.gov/cedselementdetails.aspx?termid=22850")</f>
        <v>https://ceds.ed.gov/cedselementdetails.aspx?termid=22850</v>
      </c>
      <c r="Q4318" s="22">
        <v>63112</v>
      </c>
    </row>
    <row r="4319" spans="1:17" ht="172.8" x14ac:dyDescent="0.3">
      <c r="A4319" s="22" t="s">
        <v>7926</v>
      </c>
      <c r="B4319" s="22" t="s">
        <v>7723</v>
      </c>
      <c r="C4319" s="22" t="s">
        <v>7931</v>
      </c>
      <c r="D4319" s="22" t="s">
        <v>7710</v>
      </c>
      <c r="E4319" s="22" t="s">
        <v>1669</v>
      </c>
      <c r="F4319" s="24" t="s">
        <v>1670</v>
      </c>
      <c r="G4319" s="26" t="s">
        <v>8672</v>
      </c>
      <c r="H4319" s="22"/>
      <c r="I4319" s="22"/>
      <c r="J4319" s="22"/>
      <c r="K4319" s="24"/>
      <c r="L4319" s="24"/>
      <c r="M4319" s="25" t="s">
        <v>1671</v>
      </c>
      <c r="N4319" s="22"/>
      <c r="O4319" s="22" t="s">
        <v>1672</v>
      </c>
      <c r="P4319" s="22" t="str">
        <f>HYPERLINK("https://ceds.ed.gov/cedselementdetails.aspx?termid=22851")</f>
        <v>https://ceds.ed.gov/cedselementdetails.aspx?termid=22851</v>
      </c>
      <c r="Q4319" s="22">
        <v>63113</v>
      </c>
    </row>
    <row r="4320" spans="1:17" ht="316.8" x14ac:dyDescent="0.3">
      <c r="A4320" s="22" t="s">
        <v>7926</v>
      </c>
      <c r="B4320" s="22" t="s">
        <v>7723</v>
      </c>
      <c r="C4320" s="22" t="s">
        <v>7931</v>
      </c>
      <c r="D4320" s="22" t="s">
        <v>7710</v>
      </c>
      <c r="E4320" s="22" t="s">
        <v>3637</v>
      </c>
      <c r="F4320" s="24" t="s">
        <v>3638</v>
      </c>
      <c r="G4320" s="26" t="s">
        <v>8860</v>
      </c>
      <c r="H4320" s="22"/>
      <c r="I4320" s="22"/>
      <c r="J4320" s="22"/>
      <c r="K4320" s="24"/>
      <c r="L4320" s="24"/>
      <c r="M4320" s="25" t="s">
        <v>3639</v>
      </c>
      <c r="N4320" s="22"/>
      <c r="O4320" s="22" t="s">
        <v>3640</v>
      </c>
      <c r="P4320" s="22" t="str">
        <f>HYPERLINK("https://ceds.ed.gov/cedselementdetails.aspx?termid=22852")</f>
        <v>https://ceds.ed.gov/cedselementdetails.aspx?termid=22852</v>
      </c>
      <c r="Q4320" s="22">
        <v>63114</v>
      </c>
    </row>
    <row r="4321" spans="1:17" ht="57.6" x14ac:dyDescent="0.3">
      <c r="A4321" s="22" t="s">
        <v>7926</v>
      </c>
      <c r="B4321" s="22" t="s">
        <v>7723</v>
      </c>
      <c r="C4321" s="22" t="s">
        <v>7931</v>
      </c>
      <c r="D4321" s="22" t="s">
        <v>7710</v>
      </c>
      <c r="E4321" s="22" t="s">
        <v>3641</v>
      </c>
      <c r="F4321" s="24" t="s">
        <v>3642</v>
      </c>
      <c r="G4321" s="26" t="s">
        <v>8861</v>
      </c>
      <c r="H4321" s="22"/>
      <c r="I4321" s="22"/>
      <c r="J4321" s="22"/>
      <c r="K4321" s="24"/>
      <c r="L4321" s="24"/>
      <c r="M4321" s="25" t="s">
        <v>3643</v>
      </c>
      <c r="N4321" s="22"/>
      <c r="O4321" s="22" t="s">
        <v>3644</v>
      </c>
      <c r="P4321" s="22" t="str">
        <f>HYPERLINK("https://ceds.ed.gov/cedselementdetails.aspx?termid=22866")</f>
        <v>https://ceds.ed.gov/cedselementdetails.aspx?termid=22866</v>
      </c>
      <c r="Q4321" s="22">
        <v>63115</v>
      </c>
    </row>
    <row r="4322" spans="1:17" ht="28.8" x14ac:dyDescent="0.3">
      <c r="A4322" s="22" t="s">
        <v>7926</v>
      </c>
      <c r="B4322" s="22" t="s">
        <v>7723</v>
      </c>
      <c r="C4322" s="22" t="s">
        <v>7931</v>
      </c>
      <c r="D4322" s="22" t="s">
        <v>7710</v>
      </c>
      <c r="E4322" s="22" t="s">
        <v>3645</v>
      </c>
      <c r="F4322" s="24" t="s">
        <v>3646</v>
      </c>
      <c r="G4322" s="23" t="s">
        <v>32</v>
      </c>
      <c r="H4322" s="22"/>
      <c r="I4322" s="22"/>
      <c r="J4322" s="22" t="s">
        <v>55</v>
      </c>
      <c r="K4322" s="24"/>
      <c r="L4322" s="24"/>
      <c r="M4322" s="25" t="s">
        <v>3647</v>
      </c>
      <c r="N4322" s="22"/>
      <c r="O4322" s="22" t="s">
        <v>3648</v>
      </c>
      <c r="P4322" s="22" t="str">
        <f>HYPERLINK("https://ceds.ed.gov/cedselementdetails.aspx?termid=22863")</f>
        <v>https://ceds.ed.gov/cedselementdetails.aspx?termid=22863</v>
      </c>
      <c r="Q4322" s="22">
        <v>63116</v>
      </c>
    </row>
    <row r="4323" spans="1:17" ht="115.2" x14ac:dyDescent="0.3">
      <c r="A4323" s="22" t="s">
        <v>7926</v>
      </c>
      <c r="B4323" s="22" t="s">
        <v>7723</v>
      </c>
      <c r="C4323" s="22" t="s">
        <v>7931</v>
      </c>
      <c r="D4323" s="22" t="s">
        <v>7710</v>
      </c>
      <c r="E4323" s="22" t="s">
        <v>3649</v>
      </c>
      <c r="F4323" s="24" t="s">
        <v>3650</v>
      </c>
      <c r="G4323" s="26" t="s">
        <v>8862</v>
      </c>
      <c r="H4323" s="22"/>
      <c r="I4323" s="22"/>
      <c r="J4323" s="22"/>
      <c r="K4323" s="24"/>
      <c r="L4323" s="24"/>
      <c r="M4323" s="25" t="s">
        <v>3651</v>
      </c>
      <c r="N4323" s="22"/>
      <c r="O4323" s="22" t="s">
        <v>3652</v>
      </c>
      <c r="P4323" s="22" t="str">
        <f>HYPERLINK("https://ceds.ed.gov/cedselementdetails.aspx?termid=22864")</f>
        <v>https://ceds.ed.gov/cedselementdetails.aspx?termid=22864</v>
      </c>
      <c r="Q4323" s="22">
        <v>63117</v>
      </c>
    </row>
    <row r="4324" spans="1:17" ht="57.6" x14ac:dyDescent="0.3">
      <c r="A4324" s="22" t="s">
        <v>7926</v>
      </c>
      <c r="B4324" s="22" t="s">
        <v>7723</v>
      </c>
      <c r="C4324" s="22" t="s">
        <v>7931</v>
      </c>
      <c r="D4324" s="22" t="s">
        <v>7710</v>
      </c>
      <c r="E4324" s="22" t="s">
        <v>3665</v>
      </c>
      <c r="F4324" s="24" t="s">
        <v>3666</v>
      </c>
      <c r="G4324" s="23" t="s">
        <v>32</v>
      </c>
      <c r="H4324" s="22"/>
      <c r="I4324" s="22"/>
      <c r="J4324" s="22" t="s">
        <v>118</v>
      </c>
      <c r="K4324" s="24"/>
      <c r="L4324" s="24"/>
      <c r="M4324" s="25" t="s">
        <v>3667</v>
      </c>
      <c r="N4324" s="22"/>
      <c r="O4324" s="22" t="s">
        <v>3668</v>
      </c>
      <c r="P4324" s="22" t="str">
        <f>HYPERLINK("https://ceds.ed.gov/cedselementdetails.aspx?termid=22862")</f>
        <v>https://ceds.ed.gov/cedselementdetails.aspx?termid=22862</v>
      </c>
      <c r="Q4324" s="22">
        <v>63118</v>
      </c>
    </row>
    <row r="4325" spans="1:17" ht="144" x14ac:dyDescent="0.3">
      <c r="A4325" s="22" t="s">
        <v>7926</v>
      </c>
      <c r="B4325" s="22" t="s">
        <v>7723</v>
      </c>
      <c r="C4325" s="22" t="s">
        <v>7931</v>
      </c>
      <c r="D4325" s="22" t="s">
        <v>7710</v>
      </c>
      <c r="E4325" s="22" t="s">
        <v>3669</v>
      </c>
      <c r="F4325" s="24" t="s">
        <v>3670</v>
      </c>
      <c r="G4325" s="26" t="s">
        <v>8864</v>
      </c>
      <c r="H4325" s="22"/>
      <c r="I4325" s="22"/>
      <c r="J4325" s="22"/>
      <c r="K4325" s="24"/>
      <c r="L4325" s="24"/>
      <c r="M4325" s="25" t="s">
        <v>3671</v>
      </c>
      <c r="N4325" s="22"/>
      <c r="O4325" s="22" t="s">
        <v>3672</v>
      </c>
      <c r="P4325" s="22" t="str">
        <f>HYPERLINK("https://ceds.ed.gov/cedselementdetails.aspx?termid=22845")</f>
        <v>https://ceds.ed.gov/cedselementdetails.aspx?termid=22845</v>
      </c>
      <c r="Q4325" s="22">
        <v>63119</v>
      </c>
    </row>
    <row r="4326" spans="1:17" ht="72" x14ac:dyDescent="0.3">
      <c r="A4326" s="22" t="s">
        <v>7926</v>
      </c>
      <c r="B4326" s="22" t="s">
        <v>7723</v>
      </c>
      <c r="C4326" s="22" t="s">
        <v>7931</v>
      </c>
      <c r="D4326" s="22" t="s">
        <v>7710</v>
      </c>
      <c r="E4326" s="22" t="s">
        <v>3686</v>
      </c>
      <c r="F4326" s="24" t="s">
        <v>3687</v>
      </c>
      <c r="G4326" s="26" t="s">
        <v>8866</v>
      </c>
      <c r="H4326" s="22"/>
      <c r="I4326" s="22"/>
      <c r="J4326" s="22"/>
      <c r="K4326" s="24"/>
      <c r="L4326" s="24"/>
      <c r="M4326" s="25" t="s">
        <v>3688</v>
      </c>
      <c r="N4326" s="22"/>
      <c r="O4326" s="22" t="s">
        <v>3689</v>
      </c>
      <c r="P4326" s="22" t="str">
        <f>HYPERLINK("https://ceds.ed.gov/cedselementdetails.aspx?termid=22853")</f>
        <v>https://ceds.ed.gov/cedselementdetails.aspx?termid=22853</v>
      </c>
      <c r="Q4326" s="22">
        <v>63120</v>
      </c>
    </row>
    <row r="4327" spans="1:17" ht="100.8" x14ac:dyDescent="0.3">
      <c r="A4327" s="22" t="s">
        <v>7926</v>
      </c>
      <c r="B4327" s="22" t="s">
        <v>7723</v>
      </c>
      <c r="C4327" s="22" t="s">
        <v>7931</v>
      </c>
      <c r="D4327" s="22" t="s">
        <v>7710</v>
      </c>
      <c r="E4327" s="22" t="s">
        <v>3695</v>
      </c>
      <c r="F4327" s="24" t="s">
        <v>3696</v>
      </c>
      <c r="G4327" s="26" t="s">
        <v>8867</v>
      </c>
      <c r="H4327" s="22"/>
      <c r="I4327" s="22"/>
      <c r="J4327" s="22"/>
      <c r="K4327" s="24"/>
      <c r="L4327" s="24"/>
      <c r="M4327" s="25" t="s">
        <v>3697</v>
      </c>
      <c r="N4327" s="22"/>
      <c r="O4327" s="22" t="s">
        <v>3698</v>
      </c>
      <c r="P4327" s="22" t="str">
        <f>HYPERLINK("https://ceds.ed.gov/cedselementdetails.aspx?termid=22848")</f>
        <v>https://ceds.ed.gov/cedselementdetails.aspx?termid=22848</v>
      </c>
      <c r="Q4327" s="22">
        <v>63121</v>
      </c>
    </row>
    <row r="4328" spans="1:17" ht="403.2" x14ac:dyDescent="0.3">
      <c r="A4328" s="22" t="s">
        <v>7926</v>
      </c>
      <c r="B4328" s="22" t="s">
        <v>7723</v>
      </c>
      <c r="C4328" s="22" t="s">
        <v>7931</v>
      </c>
      <c r="D4328" s="22" t="s">
        <v>7710</v>
      </c>
      <c r="E4328" s="22" t="s">
        <v>3764</v>
      </c>
      <c r="F4328" s="24" t="s">
        <v>3765</v>
      </c>
      <c r="G4328" s="26" t="s">
        <v>8874</v>
      </c>
      <c r="H4328" s="22"/>
      <c r="I4328" s="22"/>
      <c r="J4328" s="22"/>
      <c r="K4328" s="24"/>
      <c r="L4328" s="24"/>
      <c r="M4328" s="25" t="s">
        <v>3766</v>
      </c>
      <c r="N4328" s="22"/>
      <c r="O4328" s="22" t="s">
        <v>3767</v>
      </c>
      <c r="P4328" s="22" t="str">
        <f>HYPERLINK("https://ceds.ed.gov/cedselementdetails.aspx?termid=22855")</f>
        <v>https://ceds.ed.gov/cedselementdetails.aspx?termid=22855</v>
      </c>
      <c r="Q4328" s="22">
        <v>63122</v>
      </c>
    </row>
    <row r="4329" spans="1:17" ht="72" x14ac:dyDescent="0.3">
      <c r="A4329" s="22" t="s">
        <v>7926</v>
      </c>
      <c r="B4329" s="22" t="s">
        <v>7723</v>
      </c>
      <c r="C4329" s="22" t="s">
        <v>7931</v>
      </c>
      <c r="D4329" s="22" t="s">
        <v>7710</v>
      </c>
      <c r="E4329" s="22" t="s">
        <v>3776</v>
      </c>
      <c r="F4329" s="24" t="s">
        <v>3777</v>
      </c>
      <c r="G4329" s="26" t="s">
        <v>8875</v>
      </c>
      <c r="H4329" s="22"/>
      <c r="I4329" s="22"/>
      <c r="J4329" s="22"/>
      <c r="K4329" s="24"/>
      <c r="L4329" s="24"/>
      <c r="M4329" s="25" t="s">
        <v>3778</v>
      </c>
      <c r="N4329" s="22"/>
      <c r="O4329" s="22" t="s">
        <v>3779</v>
      </c>
      <c r="P4329" s="22" t="str">
        <f>HYPERLINK("https://ceds.ed.gov/cedselementdetails.aspx?termid=22856")</f>
        <v>https://ceds.ed.gov/cedselementdetails.aspx?termid=22856</v>
      </c>
      <c r="Q4329" s="22">
        <v>63123</v>
      </c>
    </row>
    <row r="4330" spans="1:17" ht="86.4" x14ac:dyDescent="0.3">
      <c r="A4330" s="22" t="s">
        <v>7926</v>
      </c>
      <c r="B4330" s="22" t="s">
        <v>7723</v>
      </c>
      <c r="C4330" s="22" t="s">
        <v>7931</v>
      </c>
      <c r="D4330" s="22" t="s">
        <v>7710</v>
      </c>
      <c r="E4330" s="22" t="s">
        <v>3800</v>
      </c>
      <c r="F4330" s="24" t="s">
        <v>3801</v>
      </c>
      <c r="G4330" s="26" t="s">
        <v>8879</v>
      </c>
      <c r="H4330" s="22"/>
      <c r="I4330" s="22"/>
      <c r="J4330" s="22"/>
      <c r="K4330" s="24"/>
      <c r="L4330" s="24"/>
      <c r="M4330" s="25" t="s">
        <v>3802</v>
      </c>
      <c r="N4330" s="22"/>
      <c r="O4330" s="22" t="s">
        <v>3803</v>
      </c>
      <c r="P4330" s="22" t="str">
        <f>HYPERLINK("https://ceds.ed.gov/cedselementdetails.aspx?termid=22857")</f>
        <v>https://ceds.ed.gov/cedselementdetails.aspx?termid=22857</v>
      </c>
      <c r="Q4330" s="22">
        <v>63124</v>
      </c>
    </row>
    <row r="4331" spans="1:17" ht="100.8" x14ac:dyDescent="0.3">
      <c r="A4331" s="22" t="s">
        <v>7926</v>
      </c>
      <c r="B4331" s="22" t="s">
        <v>7723</v>
      </c>
      <c r="C4331" s="22" t="s">
        <v>7931</v>
      </c>
      <c r="D4331" s="22" t="s">
        <v>7710</v>
      </c>
      <c r="E4331" s="22" t="s">
        <v>3816</v>
      </c>
      <c r="F4331" s="24" t="s">
        <v>3817</v>
      </c>
      <c r="G4331" s="26" t="s">
        <v>8882</v>
      </c>
      <c r="H4331" s="22"/>
      <c r="I4331" s="22"/>
      <c r="J4331" s="22"/>
      <c r="K4331" s="24"/>
      <c r="L4331" s="24"/>
      <c r="M4331" s="25" t="s">
        <v>3818</v>
      </c>
      <c r="N4331" s="22"/>
      <c r="O4331" s="22" t="s">
        <v>3819</v>
      </c>
      <c r="P4331" s="22" t="str">
        <f>HYPERLINK("https://ceds.ed.gov/cedselementdetails.aspx?termid=22858")</f>
        <v>https://ceds.ed.gov/cedselementdetails.aspx?termid=22858</v>
      </c>
      <c r="Q4331" s="22">
        <v>63125</v>
      </c>
    </row>
    <row r="4332" spans="1:17" ht="86.4" x14ac:dyDescent="0.3">
      <c r="A4332" s="22" t="s">
        <v>7926</v>
      </c>
      <c r="B4332" s="22" t="s">
        <v>7723</v>
      </c>
      <c r="C4332" s="22" t="s">
        <v>7931</v>
      </c>
      <c r="D4332" s="22" t="s">
        <v>7710</v>
      </c>
      <c r="E4332" s="22" t="s">
        <v>3824</v>
      </c>
      <c r="F4332" s="24" t="s">
        <v>3825</v>
      </c>
      <c r="G4332" s="26" t="s">
        <v>8883</v>
      </c>
      <c r="H4332" s="22"/>
      <c r="I4332" s="22"/>
      <c r="J4332" s="22"/>
      <c r="K4332" s="24"/>
      <c r="L4332" s="24"/>
      <c r="M4332" s="25" t="s">
        <v>3826</v>
      </c>
      <c r="N4332" s="22"/>
      <c r="O4332" s="22" t="s">
        <v>3827</v>
      </c>
      <c r="P4332" s="22" t="str">
        <f>HYPERLINK("https://ceds.ed.gov/cedselementdetails.aspx?termid=22854")</f>
        <v>https://ceds.ed.gov/cedselementdetails.aspx?termid=22854</v>
      </c>
      <c r="Q4332" s="22">
        <v>63126</v>
      </c>
    </row>
    <row r="4333" spans="1:17" ht="129.6" x14ac:dyDescent="0.3">
      <c r="A4333" s="22" t="s">
        <v>7926</v>
      </c>
      <c r="B4333" s="22" t="s">
        <v>7723</v>
      </c>
      <c r="C4333" s="22" t="s">
        <v>7931</v>
      </c>
      <c r="D4333" s="22" t="s">
        <v>7710</v>
      </c>
      <c r="E4333" s="22" t="s">
        <v>3865</v>
      </c>
      <c r="F4333" s="24" t="s">
        <v>3866</v>
      </c>
      <c r="G4333" s="26" t="s">
        <v>8888</v>
      </c>
      <c r="H4333" s="22"/>
      <c r="I4333" s="22"/>
      <c r="J4333" s="22"/>
      <c r="K4333" s="24"/>
      <c r="L4333" s="24"/>
      <c r="M4333" s="25" t="s">
        <v>3867</v>
      </c>
      <c r="N4333" s="22"/>
      <c r="O4333" s="22" t="s">
        <v>3868</v>
      </c>
      <c r="P4333" s="22" t="str">
        <f>HYPERLINK("https://ceds.ed.gov/cedselementdetails.aspx?termid=22865")</f>
        <v>https://ceds.ed.gov/cedselementdetails.aspx?termid=22865</v>
      </c>
      <c r="Q4333" s="22">
        <v>63127</v>
      </c>
    </row>
    <row r="4334" spans="1:17" ht="43.2" x14ac:dyDescent="0.3">
      <c r="A4334" s="22" t="s">
        <v>7926</v>
      </c>
      <c r="B4334" s="22" t="s">
        <v>7723</v>
      </c>
      <c r="C4334" s="22" t="s">
        <v>7931</v>
      </c>
      <c r="D4334" s="22" t="s">
        <v>7710</v>
      </c>
      <c r="E4334" s="22" t="s">
        <v>3885</v>
      </c>
      <c r="F4334" s="24" t="s">
        <v>3886</v>
      </c>
      <c r="G4334" s="26" t="s">
        <v>8891</v>
      </c>
      <c r="H4334" s="22"/>
      <c r="I4334" s="22"/>
      <c r="J4334" s="22"/>
      <c r="K4334" s="24"/>
      <c r="L4334" s="24"/>
      <c r="M4334" s="25" t="s">
        <v>3887</v>
      </c>
      <c r="N4334" s="22"/>
      <c r="O4334" s="22" t="s">
        <v>3888</v>
      </c>
      <c r="P4334" s="22" t="str">
        <f>HYPERLINK("https://ceds.ed.gov/cedselementdetails.aspx?termid=22859")</f>
        <v>https://ceds.ed.gov/cedselementdetails.aspx?termid=22859</v>
      </c>
      <c r="Q4334" s="22">
        <v>63128</v>
      </c>
    </row>
    <row r="4335" spans="1:17" ht="158.4" x14ac:dyDescent="0.3">
      <c r="A4335" s="22" t="s">
        <v>7926</v>
      </c>
      <c r="B4335" s="22" t="s">
        <v>7723</v>
      </c>
      <c r="C4335" s="22" t="s">
        <v>7931</v>
      </c>
      <c r="D4335" s="22" t="s">
        <v>7710</v>
      </c>
      <c r="E4335" s="22" t="s">
        <v>3889</v>
      </c>
      <c r="F4335" s="24" t="s">
        <v>3890</v>
      </c>
      <c r="G4335" s="26" t="s">
        <v>8892</v>
      </c>
      <c r="H4335" s="22"/>
      <c r="I4335" s="22"/>
      <c r="J4335" s="22"/>
      <c r="K4335" s="24"/>
      <c r="L4335" s="24"/>
      <c r="M4335" s="25" t="s">
        <v>3891</v>
      </c>
      <c r="N4335" s="22"/>
      <c r="O4335" s="22" t="s">
        <v>3892</v>
      </c>
      <c r="P4335" s="22" t="str">
        <f>HYPERLINK("https://ceds.ed.gov/cedselementdetails.aspx?termid=22860")</f>
        <v>https://ceds.ed.gov/cedselementdetails.aspx?termid=22860</v>
      </c>
      <c r="Q4335" s="22">
        <v>63129</v>
      </c>
    </row>
    <row r="4336" spans="1:17" ht="57.6" x14ac:dyDescent="0.3">
      <c r="A4336" s="22" t="s">
        <v>7926</v>
      </c>
      <c r="B4336" s="22" t="s">
        <v>7723</v>
      </c>
      <c r="C4336" s="22" t="s">
        <v>7932</v>
      </c>
      <c r="D4336" s="22" t="s">
        <v>7710</v>
      </c>
      <c r="E4336" s="22" t="s">
        <v>3751</v>
      </c>
      <c r="F4336" s="24" t="s">
        <v>3752</v>
      </c>
      <c r="G4336" s="26" t="s">
        <v>8872</v>
      </c>
      <c r="H4336" s="22"/>
      <c r="I4336" s="22"/>
      <c r="J4336" s="22"/>
      <c r="K4336" s="24"/>
      <c r="L4336" s="24"/>
      <c r="M4336" s="25" t="s">
        <v>3754</v>
      </c>
      <c r="N4336" s="22"/>
      <c r="O4336" s="22" t="s">
        <v>3755</v>
      </c>
      <c r="P4336" s="22" t="str">
        <f>HYPERLINK("https://ceds.ed.gov/cedselementdetails.aspx?termid=22867")</f>
        <v>https://ceds.ed.gov/cedselementdetails.aspx?termid=22867</v>
      </c>
      <c r="Q4336" s="22">
        <v>63009</v>
      </c>
    </row>
    <row r="4337" spans="1:17" ht="28.8" x14ac:dyDescent="0.3">
      <c r="A4337" s="22" t="s">
        <v>7926</v>
      </c>
      <c r="B4337" s="22" t="s">
        <v>7723</v>
      </c>
      <c r="C4337" s="22" t="s">
        <v>7932</v>
      </c>
      <c r="D4337" s="22" t="s">
        <v>7710</v>
      </c>
      <c r="E4337" s="22" t="s">
        <v>3780</v>
      </c>
      <c r="F4337" s="24" t="s">
        <v>3781</v>
      </c>
      <c r="G4337" s="23" t="s">
        <v>32</v>
      </c>
      <c r="H4337" s="22"/>
      <c r="I4337" s="22"/>
      <c r="J4337" s="22" t="s">
        <v>1518</v>
      </c>
      <c r="K4337" s="24"/>
      <c r="L4337" s="24"/>
      <c r="M4337" s="25" t="s">
        <v>3782</v>
      </c>
      <c r="N4337" s="22"/>
      <c r="O4337" s="22" t="s">
        <v>3783</v>
      </c>
      <c r="P4337" s="22" t="str">
        <f>HYPERLINK("https://ceds.ed.gov/cedselementdetails.aspx?termid=22868")</f>
        <v>https://ceds.ed.gov/cedselementdetails.aspx?termid=22868</v>
      </c>
      <c r="Q4337" s="22">
        <v>63010</v>
      </c>
    </row>
    <row r="4338" spans="1:17" ht="57.6" x14ac:dyDescent="0.3">
      <c r="A4338" s="22" t="s">
        <v>7926</v>
      </c>
      <c r="B4338" s="22" t="s">
        <v>7723</v>
      </c>
      <c r="C4338" s="22" t="s">
        <v>7932</v>
      </c>
      <c r="D4338" s="22" t="s">
        <v>7710</v>
      </c>
      <c r="E4338" s="22" t="s">
        <v>3784</v>
      </c>
      <c r="F4338" s="24" t="s">
        <v>3785</v>
      </c>
      <c r="G4338" s="26" t="s">
        <v>8876</v>
      </c>
      <c r="H4338" s="22"/>
      <c r="I4338" s="22"/>
      <c r="J4338" s="22"/>
      <c r="K4338" s="24"/>
      <c r="L4338" s="24"/>
      <c r="M4338" s="25" t="s">
        <v>3786</v>
      </c>
      <c r="N4338" s="22"/>
      <c r="O4338" s="22" t="s">
        <v>3787</v>
      </c>
      <c r="P4338" s="22" t="str">
        <f>HYPERLINK("https://ceds.ed.gov/cedselementdetails.aspx?termid=22869")</f>
        <v>https://ceds.ed.gov/cedselementdetails.aspx?termid=22869</v>
      </c>
      <c r="Q4338" s="22">
        <v>63011</v>
      </c>
    </row>
    <row r="4339" spans="1:17" ht="86.4" x14ac:dyDescent="0.3">
      <c r="A4339" s="22" t="s">
        <v>7926</v>
      </c>
      <c r="B4339" s="22" t="s">
        <v>7723</v>
      </c>
      <c r="C4339" s="22" t="s">
        <v>7932</v>
      </c>
      <c r="D4339" s="22" t="s">
        <v>7710</v>
      </c>
      <c r="E4339" s="22" t="s">
        <v>3788</v>
      </c>
      <c r="F4339" s="24" t="s">
        <v>3789</v>
      </c>
      <c r="G4339" s="26" t="s">
        <v>8877</v>
      </c>
      <c r="H4339" s="22"/>
      <c r="I4339" s="22"/>
      <c r="J4339" s="22"/>
      <c r="K4339" s="24"/>
      <c r="L4339" s="24"/>
      <c r="M4339" s="25" t="s">
        <v>3790</v>
      </c>
      <c r="N4339" s="22"/>
      <c r="O4339" s="22" t="s">
        <v>3791</v>
      </c>
      <c r="P4339" s="22" t="str">
        <f>HYPERLINK("https://ceds.ed.gov/cedselementdetails.aspx?termid=22870")</f>
        <v>https://ceds.ed.gov/cedselementdetails.aspx?termid=22870</v>
      </c>
      <c r="Q4339" s="22">
        <v>63012</v>
      </c>
    </row>
    <row r="4340" spans="1:17" ht="43.2" x14ac:dyDescent="0.3">
      <c r="A4340" s="22" t="s">
        <v>7926</v>
      </c>
      <c r="B4340" s="22" t="s">
        <v>7723</v>
      </c>
      <c r="C4340" s="22" t="s">
        <v>7932</v>
      </c>
      <c r="D4340" s="22" t="s">
        <v>7710</v>
      </c>
      <c r="E4340" s="22" t="s">
        <v>3804</v>
      </c>
      <c r="F4340" s="24" t="s">
        <v>3805</v>
      </c>
      <c r="G4340" s="23" t="s">
        <v>32</v>
      </c>
      <c r="H4340" s="22"/>
      <c r="I4340" s="22"/>
      <c r="J4340" s="22" t="s">
        <v>1518</v>
      </c>
      <c r="K4340" s="24"/>
      <c r="L4340" s="24"/>
      <c r="M4340" s="25" t="s">
        <v>3806</v>
      </c>
      <c r="N4340" s="22"/>
      <c r="O4340" s="22" t="s">
        <v>3807</v>
      </c>
      <c r="P4340" s="22" t="str">
        <f>HYPERLINK("https://ceds.ed.gov/cedselementdetails.aspx?termid=22871")</f>
        <v>https://ceds.ed.gov/cedselementdetails.aspx?termid=22871</v>
      </c>
      <c r="Q4340" s="22">
        <v>63013</v>
      </c>
    </row>
    <row r="4341" spans="1:17" ht="172.8" x14ac:dyDescent="0.3">
      <c r="A4341" s="22" t="s">
        <v>7926</v>
      </c>
      <c r="B4341" s="22" t="s">
        <v>7723</v>
      </c>
      <c r="C4341" s="22" t="s">
        <v>7932</v>
      </c>
      <c r="D4341" s="22" t="s">
        <v>7710</v>
      </c>
      <c r="E4341" s="22" t="s">
        <v>3808</v>
      </c>
      <c r="F4341" s="24" t="s">
        <v>3809</v>
      </c>
      <c r="G4341" s="26" t="s">
        <v>8880</v>
      </c>
      <c r="H4341" s="22"/>
      <c r="I4341" s="22"/>
      <c r="J4341" s="22"/>
      <c r="K4341" s="24"/>
      <c r="L4341" s="24"/>
      <c r="M4341" s="25" t="s">
        <v>3810</v>
      </c>
      <c r="N4341" s="22"/>
      <c r="O4341" s="22" t="s">
        <v>3811</v>
      </c>
      <c r="P4341" s="22" t="str">
        <f>HYPERLINK("https://ceds.ed.gov/cedselementdetails.aspx?termid=22872")</f>
        <v>https://ceds.ed.gov/cedselementdetails.aspx?termid=22872</v>
      </c>
      <c r="Q4341" s="22">
        <v>63014</v>
      </c>
    </row>
    <row r="4342" spans="1:17" ht="57.6" x14ac:dyDescent="0.3">
      <c r="A4342" s="22" t="s">
        <v>7926</v>
      </c>
      <c r="B4342" s="22" t="s">
        <v>7723</v>
      </c>
      <c r="C4342" s="22" t="s">
        <v>7932</v>
      </c>
      <c r="D4342" s="22" t="s">
        <v>7710</v>
      </c>
      <c r="E4342" s="22" t="s">
        <v>3812</v>
      </c>
      <c r="F4342" s="24" t="s">
        <v>3813</v>
      </c>
      <c r="G4342" s="26" t="s">
        <v>8881</v>
      </c>
      <c r="H4342" s="22"/>
      <c r="I4342" s="22"/>
      <c r="J4342" s="22"/>
      <c r="K4342" s="24"/>
      <c r="L4342" s="24"/>
      <c r="M4342" s="25" t="s">
        <v>3814</v>
      </c>
      <c r="N4342" s="22"/>
      <c r="O4342" s="22" t="s">
        <v>3815</v>
      </c>
      <c r="P4342" s="22" t="str">
        <f>HYPERLINK("https://ceds.ed.gov/cedselementdetails.aspx?termid=22873")</f>
        <v>https://ceds.ed.gov/cedselementdetails.aspx?termid=22873</v>
      </c>
      <c r="Q4342" s="22">
        <v>63015</v>
      </c>
    </row>
    <row r="4343" spans="1:17" ht="28.8" x14ac:dyDescent="0.3">
      <c r="A4343" s="22" t="s">
        <v>7926</v>
      </c>
      <c r="B4343" s="22" t="s">
        <v>7723</v>
      </c>
      <c r="C4343" s="22" t="s">
        <v>7932</v>
      </c>
      <c r="D4343" s="22" t="s">
        <v>7710</v>
      </c>
      <c r="E4343" s="22" t="s">
        <v>3881</v>
      </c>
      <c r="F4343" s="24" t="s">
        <v>3882</v>
      </c>
      <c r="G4343" s="23" t="s">
        <v>32</v>
      </c>
      <c r="H4343" s="22"/>
      <c r="I4343" s="22"/>
      <c r="J4343" s="22" t="s">
        <v>1518</v>
      </c>
      <c r="K4343" s="24"/>
      <c r="L4343" s="24"/>
      <c r="M4343" s="25" t="s">
        <v>3883</v>
      </c>
      <c r="N4343" s="22"/>
      <c r="O4343" s="22" t="s">
        <v>3884</v>
      </c>
      <c r="P4343" s="22" t="str">
        <f>HYPERLINK("https://ceds.ed.gov/cedselementdetails.aspx?termid=22877")</f>
        <v>https://ceds.ed.gov/cedselementdetails.aspx?termid=22877</v>
      </c>
      <c r="Q4343" s="22">
        <v>63016</v>
      </c>
    </row>
    <row r="4344" spans="1:17" ht="100.8" x14ac:dyDescent="0.3">
      <c r="A4344" s="22" t="s">
        <v>7933</v>
      </c>
      <c r="B4344" s="22" t="s">
        <v>7934</v>
      </c>
      <c r="C4344" s="22"/>
      <c r="D4344" s="22" t="s">
        <v>7710</v>
      </c>
      <c r="E4344" s="22" t="s">
        <v>2520</v>
      </c>
      <c r="F4344" s="24" t="s">
        <v>2521</v>
      </c>
      <c r="G4344" s="23" t="s">
        <v>32</v>
      </c>
      <c r="H4344" s="22"/>
      <c r="I4344" s="22"/>
      <c r="J4344" s="22" t="s">
        <v>118</v>
      </c>
      <c r="K4344" s="24"/>
      <c r="L4344" s="24" t="s">
        <v>2523</v>
      </c>
      <c r="M4344" s="25" t="s">
        <v>2524</v>
      </c>
      <c r="N4344" s="22"/>
      <c r="O4344" s="22" t="s">
        <v>2525</v>
      </c>
      <c r="P4344" s="22" t="str">
        <f>HYPERLINK("https://ceds.ed.gov/cedselementdetails.aspx?termid=22741")</f>
        <v>https://ceds.ed.gov/cedselementdetails.aspx?termid=22741</v>
      </c>
      <c r="Q4344" s="22">
        <v>62877</v>
      </c>
    </row>
    <row r="4345" spans="1:17" ht="100.8" x14ac:dyDescent="0.3">
      <c r="A4345" s="22" t="s">
        <v>7933</v>
      </c>
      <c r="B4345" s="22" t="s">
        <v>7934</v>
      </c>
      <c r="C4345" s="22"/>
      <c r="D4345" s="22" t="s">
        <v>7710</v>
      </c>
      <c r="E4345" s="22" t="s">
        <v>6424</v>
      </c>
      <c r="F4345" s="24" t="s">
        <v>6425</v>
      </c>
      <c r="G4345" s="23" t="s">
        <v>32</v>
      </c>
      <c r="H4345" s="22"/>
      <c r="I4345" s="22"/>
      <c r="J4345" s="22" t="s">
        <v>118</v>
      </c>
      <c r="K4345" s="24"/>
      <c r="L4345" s="24" t="s">
        <v>2523</v>
      </c>
      <c r="M4345" s="25" t="s">
        <v>6426</v>
      </c>
      <c r="N4345" s="22"/>
      <c r="O4345" s="22" t="s">
        <v>6427</v>
      </c>
      <c r="P4345" s="22" t="str">
        <f>HYPERLINK("https://ceds.ed.gov/cedselementdetails.aspx?termid=22740")</f>
        <v>https://ceds.ed.gov/cedselementdetails.aspx?termid=22740</v>
      </c>
      <c r="Q4345" s="22">
        <v>62990</v>
      </c>
    </row>
    <row r="4346" spans="1:17" ht="100.8" x14ac:dyDescent="0.3">
      <c r="A4346" s="22" t="s">
        <v>7933</v>
      </c>
      <c r="B4346" s="22" t="s">
        <v>7934</v>
      </c>
      <c r="C4346" s="22"/>
      <c r="D4346" s="22" t="s">
        <v>7710</v>
      </c>
      <c r="E4346" s="22" t="s">
        <v>7053</v>
      </c>
      <c r="F4346" s="24" t="s">
        <v>7054</v>
      </c>
      <c r="G4346" s="23" t="s">
        <v>32</v>
      </c>
      <c r="H4346" s="22"/>
      <c r="I4346" s="22"/>
      <c r="J4346" s="22" t="s">
        <v>118</v>
      </c>
      <c r="K4346" s="24"/>
      <c r="L4346" s="24" t="s">
        <v>2523</v>
      </c>
      <c r="M4346" s="25" t="s">
        <v>7055</v>
      </c>
      <c r="N4346" s="22"/>
      <c r="O4346" s="22" t="s">
        <v>7056</v>
      </c>
      <c r="P4346" s="22" t="str">
        <f>HYPERLINK("https://ceds.ed.gov/cedselementdetails.aspx?termid=22739")</f>
        <v>https://ceds.ed.gov/cedselementdetails.aspx?termid=22739</v>
      </c>
      <c r="Q4346" s="22">
        <v>62995</v>
      </c>
    </row>
    <row r="4347" spans="1:17" ht="57.6" x14ac:dyDescent="0.3">
      <c r="A4347" s="22" t="s">
        <v>7933</v>
      </c>
      <c r="B4347" s="22" t="s">
        <v>7934</v>
      </c>
      <c r="C4347" s="22"/>
      <c r="D4347" s="22" t="s">
        <v>7710</v>
      </c>
      <c r="E4347" s="22" t="s">
        <v>6373</v>
      </c>
      <c r="F4347" s="24" t="s">
        <v>6374</v>
      </c>
      <c r="G4347" s="23" t="s">
        <v>32</v>
      </c>
      <c r="H4347" s="22"/>
      <c r="I4347" s="22"/>
      <c r="J4347" s="22" t="s">
        <v>845</v>
      </c>
      <c r="K4347" s="24"/>
      <c r="L4347" s="24" t="s">
        <v>6375</v>
      </c>
      <c r="M4347" s="25" t="s">
        <v>6376</v>
      </c>
      <c r="N4347" s="22"/>
      <c r="O4347" s="22" t="s">
        <v>6377</v>
      </c>
      <c r="P4347" s="22" t="str">
        <f>HYPERLINK("https://ceds.ed.gov/cedselementdetails.aspx?termid=22899")</f>
        <v>https://ceds.ed.gov/cedselementdetails.aspx?termid=22899</v>
      </c>
      <c r="Q4347" s="22">
        <v>63191</v>
      </c>
    </row>
    <row r="4348" spans="1:17" ht="43.2" x14ac:dyDescent="0.3">
      <c r="A4348" s="22" t="s">
        <v>7933</v>
      </c>
      <c r="B4348" s="22" t="s">
        <v>7934</v>
      </c>
      <c r="C4348" s="22"/>
      <c r="D4348" s="22" t="s">
        <v>7710</v>
      </c>
      <c r="E4348" s="22" t="s">
        <v>6378</v>
      </c>
      <c r="F4348" s="24" t="s">
        <v>6379</v>
      </c>
      <c r="G4348" s="23" t="s">
        <v>32</v>
      </c>
      <c r="H4348" s="22"/>
      <c r="I4348" s="22"/>
      <c r="J4348" s="22" t="s">
        <v>845</v>
      </c>
      <c r="K4348" s="24"/>
      <c r="L4348" s="24" t="s">
        <v>6380</v>
      </c>
      <c r="M4348" s="25" t="s">
        <v>6381</v>
      </c>
      <c r="N4348" s="22"/>
      <c r="O4348" s="22" t="s">
        <v>6382</v>
      </c>
      <c r="P4348" s="22" t="str">
        <f>HYPERLINK("https://ceds.ed.gov/cedselementdetails.aspx?termid=22898")</f>
        <v>https://ceds.ed.gov/cedselementdetails.aspx?termid=22898</v>
      </c>
      <c r="Q4348" s="22">
        <v>63192</v>
      </c>
    </row>
    <row r="4349" spans="1:17" ht="28.8" x14ac:dyDescent="0.3">
      <c r="A4349" s="22" t="s">
        <v>7933</v>
      </c>
      <c r="B4349" s="22" t="s">
        <v>7935</v>
      </c>
      <c r="C4349" s="22"/>
      <c r="D4349" s="22" t="s">
        <v>7710</v>
      </c>
      <c r="E4349" s="22" t="s">
        <v>7479</v>
      </c>
      <c r="F4349" s="24" t="s">
        <v>7480</v>
      </c>
      <c r="G4349" s="23" t="s">
        <v>32</v>
      </c>
      <c r="H4349" s="22"/>
      <c r="I4349" s="22"/>
      <c r="J4349" s="22" t="s">
        <v>1844</v>
      </c>
      <c r="K4349" s="24"/>
      <c r="L4349" s="24"/>
      <c r="M4349" s="25" t="s">
        <v>7481</v>
      </c>
      <c r="N4349" s="22"/>
      <c r="O4349" s="22" t="s">
        <v>7482</v>
      </c>
      <c r="P4349" s="22" t="str">
        <f>HYPERLINK("https://ceds.ed.gov/cedselementdetails.aspx?termid=22920")</f>
        <v>https://ceds.ed.gov/cedselementdetails.aspx?termid=22920</v>
      </c>
      <c r="Q4349" s="22">
        <v>63518</v>
      </c>
    </row>
    <row r="4350" spans="1:17" ht="28.8" x14ac:dyDescent="0.3">
      <c r="A4350" s="22" t="s">
        <v>7933</v>
      </c>
      <c r="B4350" s="22" t="s">
        <v>7935</v>
      </c>
      <c r="C4350" s="22"/>
      <c r="D4350" s="22" t="s">
        <v>7710</v>
      </c>
      <c r="E4350" s="22" t="s">
        <v>7483</v>
      </c>
      <c r="F4350" s="24" t="s">
        <v>7484</v>
      </c>
      <c r="G4350" s="23" t="s">
        <v>32</v>
      </c>
      <c r="H4350" s="22"/>
      <c r="I4350" s="22"/>
      <c r="J4350" s="22" t="s">
        <v>118</v>
      </c>
      <c r="K4350" s="24"/>
      <c r="L4350" s="24"/>
      <c r="M4350" s="25" t="s">
        <v>7485</v>
      </c>
      <c r="N4350" s="22"/>
      <c r="O4350" s="22" t="s">
        <v>7486</v>
      </c>
      <c r="P4350" s="22" t="str">
        <f>HYPERLINK("https://ceds.ed.gov/cedselementdetails.aspx?termid=22921")</f>
        <v>https://ceds.ed.gov/cedselementdetails.aspx?termid=22921</v>
      </c>
      <c r="Q4350" s="22">
        <v>63519</v>
      </c>
    </row>
    <row r="4351" spans="1:17" ht="86.4" x14ac:dyDescent="0.3">
      <c r="A4351" s="22" t="s">
        <v>7933</v>
      </c>
      <c r="B4351" s="22" t="s">
        <v>7935</v>
      </c>
      <c r="C4351" s="22"/>
      <c r="D4351" s="22" t="s">
        <v>7710</v>
      </c>
      <c r="E4351" s="22" t="s">
        <v>7487</v>
      </c>
      <c r="F4351" s="24" t="s">
        <v>7488</v>
      </c>
      <c r="G4351" s="23" t="s">
        <v>32</v>
      </c>
      <c r="H4351" s="22"/>
      <c r="I4351" s="22"/>
      <c r="J4351" s="22" t="s">
        <v>328</v>
      </c>
      <c r="K4351" s="24"/>
      <c r="L4351" s="24"/>
      <c r="M4351" s="25" t="s">
        <v>7489</v>
      </c>
      <c r="N4351" s="22"/>
      <c r="O4351" s="22" t="s">
        <v>7490</v>
      </c>
      <c r="P4351" s="22" t="str">
        <f>HYPERLINK("https://ceds.ed.gov/cedselementdetails.aspx?termid=22922")</f>
        <v>https://ceds.ed.gov/cedselementdetails.aspx?termid=22922</v>
      </c>
      <c r="Q4351" s="22">
        <v>63520</v>
      </c>
    </row>
    <row r="4352" spans="1:17" ht="28.8" x14ac:dyDescent="0.3">
      <c r="A4352" s="22" t="s">
        <v>7933</v>
      </c>
      <c r="B4352" s="22" t="s">
        <v>7935</v>
      </c>
      <c r="C4352" s="22"/>
      <c r="D4352" s="22" t="s">
        <v>7710</v>
      </c>
      <c r="E4352" s="22" t="s">
        <v>7491</v>
      </c>
      <c r="F4352" s="24" t="s">
        <v>7492</v>
      </c>
      <c r="G4352" s="23" t="s">
        <v>32</v>
      </c>
      <c r="H4352" s="22"/>
      <c r="I4352" s="22"/>
      <c r="J4352" s="22" t="s">
        <v>328</v>
      </c>
      <c r="K4352" s="24"/>
      <c r="L4352" s="24"/>
      <c r="M4352" s="25" t="s">
        <v>7493</v>
      </c>
      <c r="N4352" s="22"/>
      <c r="O4352" s="22" t="s">
        <v>7494</v>
      </c>
      <c r="P4352" s="22" t="str">
        <f>HYPERLINK("https://ceds.ed.gov/cedselementdetails.aspx?termid=22923")</f>
        <v>https://ceds.ed.gov/cedselementdetails.aspx?termid=22923</v>
      </c>
      <c r="Q4352" s="22">
        <v>63521</v>
      </c>
    </row>
    <row r="4353" spans="1:17" ht="28.8" x14ac:dyDescent="0.3">
      <c r="A4353" s="22" t="s">
        <v>7933</v>
      </c>
      <c r="B4353" s="22" t="s">
        <v>7935</v>
      </c>
      <c r="C4353" s="22"/>
      <c r="D4353" s="22" t="s">
        <v>7710</v>
      </c>
      <c r="E4353" s="22" t="s">
        <v>7495</v>
      </c>
      <c r="F4353" s="24" t="s">
        <v>7496</v>
      </c>
      <c r="G4353" s="23" t="s">
        <v>32</v>
      </c>
      <c r="H4353" s="22"/>
      <c r="I4353" s="22"/>
      <c r="J4353" s="22" t="s">
        <v>118</v>
      </c>
      <c r="K4353" s="24"/>
      <c r="L4353" s="24"/>
      <c r="M4353" s="25" t="s">
        <v>7497</v>
      </c>
      <c r="N4353" s="22"/>
      <c r="O4353" s="22" t="s">
        <v>7498</v>
      </c>
      <c r="P4353" s="22" t="str">
        <f>HYPERLINK("https://ceds.ed.gov/cedselementdetails.aspx?termid=22924")</f>
        <v>https://ceds.ed.gov/cedselementdetails.aspx?termid=22924</v>
      </c>
      <c r="Q4353" s="22">
        <v>63522</v>
      </c>
    </row>
    <row r="4354" spans="1:17" ht="28.8" x14ac:dyDescent="0.3">
      <c r="A4354" s="22" t="s">
        <v>7933</v>
      </c>
      <c r="B4354" s="22" t="s">
        <v>7935</v>
      </c>
      <c r="C4354" s="22"/>
      <c r="D4354" s="22" t="s">
        <v>7710</v>
      </c>
      <c r="E4354" s="22" t="s">
        <v>7499</v>
      </c>
      <c r="F4354" s="24" t="s">
        <v>7500</v>
      </c>
      <c r="G4354" s="23" t="s">
        <v>32</v>
      </c>
      <c r="H4354" s="22"/>
      <c r="I4354" s="22"/>
      <c r="J4354" s="22" t="s">
        <v>1844</v>
      </c>
      <c r="K4354" s="24"/>
      <c r="L4354" s="24"/>
      <c r="M4354" s="25" t="s">
        <v>7501</v>
      </c>
      <c r="N4354" s="22"/>
      <c r="O4354" s="22" t="s">
        <v>7502</v>
      </c>
      <c r="P4354" s="22" t="str">
        <f>HYPERLINK("https://ceds.ed.gov/cedselementdetails.aspx?termid=22925")</f>
        <v>https://ceds.ed.gov/cedselementdetails.aspx?termid=22925</v>
      </c>
      <c r="Q4354" s="22">
        <v>63523</v>
      </c>
    </row>
    <row r="4355" spans="1:17" ht="115.2" x14ac:dyDescent="0.3">
      <c r="A4355" s="22" t="s">
        <v>7933</v>
      </c>
      <c r="B4355" s="22" t="s">
        <v>7935</v>
      </c>
      <c r="C4355" s="22"/>
      <c r="D4355" s="22" t="s">
        <v>7710</v>
      </c>
      <c r="E4355" s="22" t="s">
        <v>7503</v>
      </c>
      <c r="F4355" s="24" t="s">
        <v>7504</v>
      </c>
      <c r="G4355" s="26" t="s">
        <v>8782</v>
      </c>
      <c r="H4355" s="22"/>
      <c r="I4355" s="22"/>
      <c r="J4355" s="22"/>
      <c r="K4355" s="24"/>
      <c r="L4355" s="24"/>
      <c r="M4355" s="25" t="s">
        <v>7505</v>
      </c>
      <c r="N4355" s="22"/>
      <c r="O4355" s="22" t="s">
        <v>7506</v>
      </c>
      <c r="P4355" s="22" t="str">
        <f>HYPERLINK("https://ceds.ed.gov/cedselementdetails.aspx?termid=22926")</f>
        <v>https://ceds.ed.gov/cedselementdetails.aspx?termid=22926</v>
      </c>
      <c r="Q4355" s="22">
        <v>63524</v>
      </c>
    </row>
    <row r="4356" spans="1:17" ht="43.2" x14ac:dyDescent="0.3">
      <c r="A4356" s="22" t="s">
        <v>7933</v>
      </c>
      <c r="B4356" s="22" t="s">
        <v>7935</v>
      </c>
      <c r="C4356" s="22"/>
      <c r="D4356" s="22" t="s">
        <v>7710</v>
      </c>
      <c r="E4356" s="22" t="s">
        <v>7659</v>
      </c>
      <c r="F4356" s="24" t="s">
        <v>7660</v>
      </c>
      <c r="G4356" s="23" t="s">
        <v>32</v>
      </c>
      <c r="H4356" s="22"/>
      <c r="I4356" s="22"/>
      <c r="J4356" s="22" t="s">
        <v>328</v>
      </c>
      <c r="K4356" s="24"/>
      <c r="L4356" s="24"/>
      <c r="M4356" s="25" t="s">
        <v>7661</v>
      </c>
      <c r="N4356" s="22"/>
      <c r="O4356" s="22" t="s">
        <v>7662</v>
      </c>
      <c r="P4356" s="22" t="str">
        <f>HYPERLINK("https://ceds.ed.gov/cedselementdetails.aspx?termid=22960")</f>
        <v>https://ceds.ed.gov/cedselementdetails.aspx?termid=22960</v>
      </c>
      <c r="Q4356" s="22">
        <v>63525</v>
      </c>
    </row>
    <row r="4357" spans="1:17" ht="28.8" x14ac:dyDescent="0.3">
      <c r="A4357" s="22" t="s">
        <v>7933</v>
      </c>
      <c r="B4357" s="22" t="s">
        <v>7935</v>
      </c>
      <c r="C4357" s="22"/>
      <c r="D4357" s="22" t="s">
        <v>7710</v>
      </c>
      <c r="E4357" s="22" t="s">
        <v>7663</v>
      </c>
      <c r="F4357" s="24" t="s">
        <v>7664</v>
      </c>
      <c r="G4357" s="23" t="s">
        <v>32</v>
      </c>
      <c r="H4357" s="22"/>
      <c r="I4357" s="22"/>
      <c r="J4357" s="22" t="s">
        <v>328</v>
      </c>
      <c r="K4357" s="24"/>
      <c r="L4357" s="24"/>
      <c r="M4357" s="25" t="s">
        <v>7665</v>
      </c>
      <c r="N4357" s="22"/>
      <c r="O4357" s="22" t="s">
        <v>7666</v>
      </c>
      <c r="P4357" s="22" t="str">
        <f>HYPERLINK("https://ceds.ed.gov/cedselementdetails.aspx?termid=22961")</f>
        <v>https://ceds.ed.gov/cedselementdetails.aspx?termid=22961</v>
      </c>
      <c r="Q4357" s="22">
        <v>63526</v>
      </c>
    </row>
    <row r="4358" spans="1:17" ht="43.2" x14ac:dyDescent="0.3">
      <c r="A4358" s="22" t="s">
        <v>7933</v>
      </c>
      <c r="B4358" s="22" t="s">
        <v>7936</v>
      </c>
      <c r="C4358" s="22"/>
      <c r="D4358" s="22" t="s">
        <v>7710</v>
      </c>
      <c r="E4358" s="22" t="s">
        <v>7644</v>
      </c>
      <c r="F4358" s="24" t="s">
        <v>7645</v>
      </c>
      <c r="G4358" s="26" t="s">
        <v>9003</v>
      </c>
      <c r="H4358" s="22"/>
      <c r="I4358" s="22"/>
      <c r="J4358" s="22"/>
      <c r="K4358" s="24"/>
      <c r="L4358" s="24"/>
      <c r="M4358" s="25" t="s">
        <v>7646</v>
      </c>
      <c r="N4358" s="22"/>
      <c r="O4358" s="22" t="s">
        <v>7647</v>
      </c>
      <c r="P4358" s="22" t="str">
        <f>HYPERLINK("https://ceds.ed.gov/cedselementdetails.aspx?termid=22956")</f>
        <v>https://ceds.ed.gov/cedselementdetails.aspx?termid=22956</v>
      </c>
      <c r="Q4358" s="22">
        <v>63527</v>
      </c>
    </row>
    <row r="4359" spans="1:17" ht="28.8" x14ac:dyDescent="0.3">
      <c r="A4359" s="22" t="s">
        <v>7933</v>
      </c>
      <c r="B4359" s="22" t="s">
        <v>7936</v>
      </c>
      <c r="C4359" s="22"/>
      <c r="D4359" s="22" t="s">
        <v>7710</v>
      </c>
      <c r="E4359" s="22" t="s">
        <v>7648</v>
      </c>
      <c r="F4359" s="24" t="s">
        <v>7649</v>
      </c>
      <c r="G4359" s="23" t="s">
        <v>32</v>
      </c>
      <c r="H4359" s="22"/>
      <c r="I4359" s="22"/>
      <c r="J4359" s="22" t="s">
        <v>118</v>
      </c>
      <c r="K4359" s="24"/>
      <c r="L4359" s="24"/>
      <c r="M4359" s="25" t="s">
        <v>7650</v>
      </c>
      <c r="N4359" s="22"/>
      <c r="O4359" s="22" t="s">
        <v>7651</v>
      </c>
      <c r="P4359" s="22" t="str">
        <f>HYPERLINK("https://ceds.ed.gov/cedselementdetails.aspx?termid=22957")</f>
        <v>https://ceds.ed.gov/cedselementdetails.aspx?termid=22957</v>
      </c>
      <c r="Q4359" s="22">
        <v>63528</v>
      </c>
    </row>
    <row r="4360" spans="1:17" ht="115.2" x14ac:dyDescent="0.3">
      <c r="A4360" s="22" t="s">
        <v>7933</v>
      </c>
      <c r="B4360" s="22" t="s">
        <v>7936</v>
      </c>
      <c r="C4360" s="22"/>
      <c r="D4360" s="22" t="s">
        <v>7710</v>
      </c>
      <c r="E4360" s="22" t="s">
        <v>7652</v>
      </c>
      <c r="F4360" s="24" t="s">
        <v>7653</v>
      </c>
      <c r="G4360" s="26" t="s">
        <v>8782</v>
      </c>
      <c r="H4360" s="22"/>
      <c r="I4360" s="22"/>
      <c r="J4360" s="22"/>
      <c r="K4360" s="24"/>
      <c r="L4360" s="24"/>
      <c r="M4360" s="25" t="s">
        <v>7654</v>
      </c>
      <c r="N4360" s="22"/>
      <c r="O4360" s="22" t="s">
        <v>7655</v>
      </c>
      <c r="P4360" s="22" t="str">
        <f>HYPERLINK("https://ceds.ed.gov/cedselementdetails.aspx?termid=22958")</f>
        <v>https://ceds.ed.gov/cedselementdetails.aspx?termid=22958</v>
      </c>
      <c r="Q4360" s="22">
        <v>63529</v>
      </c>
    </row>
    <row r="4361" spans="1:17" ht="28.8" x14ac:dyDescent="0.3">
      <c r="A4361" s="22" t="s">
        <v>7937</v>
      </c>
      <c r="B4361" s="22" t="s">
        <v>7938</v>
      </c>
      <c r="C4361" s="22"/>
      <c r="D4361" s="22" t="s">
        <v>7710</v>
      </c>
      <c r="E4361" s="22" t="s">
        <v>1468</v>
      </c>
      <c r="F4361" s="24" t="s">
        <v>1469</v>
      </c>
      <c r="G4361" s="23" t="s">
        <v>32</v>
      </c>
      <c r="H4361" s="22"/>
      <c r="I4361" s="22"/>
      <c r="J4361" s="22" t="s">
        <v>157</v>
      </c>
      <c r="K4361" s="24"/>
      <c r="L4361" s="24"/>
      <c r="M4361" s="25" t="s">
        <v>1470</v>
      </c>
      <c r="N4361" s="22"/>
      <c r="O4361" s="22" t="s">
        <v>1471</v>
      </c>
      <c r="P4361" s="22" t="str">
        <f>HYPERLINK("https://ceds.ed.gov/cedselementdetails.aspx?termid=22122")</f>
        <v>https://ceds.ed.gov/cedselementdetails.aspx?termid=22122</v>
      </c>
      <c r="Q4361" s="22">
        <v>61733</v>
      </c>
    </row>
    <row r="4362" spans="1:17" ht="28.8" x14ac:dyDescent="0.3">
      <c r="A4362" s="22" t="s">
        <v>7937</v>
      </c>
      <c r="B4362" s="22" t="s">
        <v>7938</v>
      </c>
      <c r="C4362" s="22"/>
      <c r="D4362" s="22" t="s">
        <v>7710</v>
      </c>
      <c r="E4362" s="22" t="s">
        <v>1475</v>
      </c>
      <c r="F4362" s="24" t="s">
        <v>8028</v>
      </c>
      <c r="G4362" s="23" t="s">
        <v>32</v>
      </c>
      <c r="H4362" s="22"/>
      <c r="I4362" s="22"/>
      <c r="J4362" s="22" t="s">
        <v>50</v>
      </c>
      <c r="K4362" s="24"/>
      <c r="L4362" s="24"/>
      <c r="M4362" s="25" t="s">
        <v>1476</v>
      </c>
      <c r="N4362" s="22"/>
      <c r="O4362" s="22" t="s">
        <v>1477</v>
      </c>
      <c r="P4362" s="22" t="str">
        <f>HYPERLINK("https://ceds.ed.gov/cedselementdetails.aspx?termid=22123")</f>
        <v>https://ceds.ed.gov/cedselementdetails.aspx?termid=22123</v>
      </c>
      <c r="Q4362" s="22">
        <v>61734</v>
      </c>
    </row>
    <row r="4363" spans="1:17" ht="57.6" x14ac:dyDescent="0.3">
      <c r="A4363" s="22" t="s">
        <v>7937</v>
      </c>
      <c r="B4363" s="22" t="s">
        <v>7938</v>
      </c>
      <c r="C4363" s="22"/>
      <c r="D4363" s="22" t="s">
        <v>7710</v>
      </c>
      <c r="E4363" s="22" t="s">
        <v>1472</v>
      </c>
      <c r="F4363" s="24" t="s">
        <v>8027</v>
      </c>
      <c r="G4363" s="23" t="s">
        <v>32</v>
      </c>
      <c r="H4363" s="22"/>
      <c r="I4363" s="22"/>
      <c r="J4363" s="22" t="s">
        <v>118</v>
      </c>
      <c r="K4363" s="24"/>
      <c r="L4363" s="24"/>
      <c r="M4363" s="25" t="s">
        <v>1473</v>
      </c>
      <c r="N4363" s="22"/>
      <c r="O4363" s="22" t="s">
        <v>1474</v>
      </c>
      <c r="P4363" s="22" t="str">
        <f>HYPERLINK("https://ceds.ed.gov/cedselementdetails.aspx?termid=22125")</f>
        <v>https://ceds.ed.gov/cedselementdetails.aspx?termid=22125</v>
      </c>
      <c r="Q4363" s="22">
        <v>61736</v>
      </c>
    </row>
    <row r="4364" spans="1:17" ht="57.6" x14ac:dyDescent="0.3">
      <c r="A4364" s="22" t="s">
        <v>7937</v>
      </c>
      <c r="B4364" s="22" t="s">
        <v>7938</v>
      </c>
      <c r="C4364" s="22"/>
      <c r="D4364" s="22" t="s">
        <v>7710</v>
      </c>
      <c r="E4364" s="22" t="s">
        <v>1460</v>
      </c>
      <c r="F4364" s="24" t="s">
        <v>8026</v>
      </c>
      <c r="G4364" s="23" t="s">
        <v>32</v>
      </c>
      <c r="H4364" s="22"/>
      <c r="I4364" s="22"/>
      <c r="J4364" s="22" t="s">
        <v>118</v>
      </c>
      <c r="K4364" s="24"/>
      <c r="L4364" s="24" t="s">
        <v>143</v>
      </c>
      <c r="M4364" s="25" t="s">
        <v>1462</v>
      </c>
      <c r="N4364" s="22"/>
      <c r="O4364" s="22" t="s">
        <v>1463</v>
      </c>
      <c r="P4364" s="22" t="str">
        <f>HYPERLINK("https://ceds.ed.gov/cedselementdetails.aspx?termid=22126")</f>
        <v>https://ceds.ed.gov/cedselementdetails.aspx?termid=22126</v>
      </c>
      <c r="Q4364" s="22">
        <v>61737</v>
      </c>
    </row>
    <row r="4365" spans="1:17" ht="172.8" x14ac:dyDescent="0.3">
      <c r="A4365" s="22" t="s">
        <v>7937</v>
      </c>
      <c r="B4365" s="22" t="s">
        <v>7938</v>
      </c>
      <c r="C4365" s="22"/>
      <c r="D4365" s="22" t="s">
        <v>7710</v>
      </c>
      <c r="E4365" s="22" t="s">
        <v>1464</v>
      </c>
      <c r="F4365" s="24" t="s">
        <v>1465</v>
      </c>
      <c r="G4365" s="23" t="s">
        <v>32</v>
      </c>
      <c r="H4365" s="22"/>
      <c r="I4365" s="22"/>
      <c r="J4365" s="22" t="s">
        <v>132</v>
      </c>
      <c r="K4365" s="24"/>
      <c r="L4365" s="24" t="s">
        <v>7945</v>
      </c>
      <c r="M4365" s="25" t="s">
        <v>1466</v>
      </c>
      <c r="N4365" s="22"/>
      <c r="O4365" s="22" t="s">
        <v>1467</v>
      </c>
      <c r="P4365" s="22" t="str">
        <f>HYPERLINK("https://ceds.ed.gov/cedselementdetails.aspx?termid=22124")</f>
        <v>https://ceds.ed.gov/cedselementdetails.aspx?termid=22124</v>
      </c>
      <c r="Q4365" s="22">
        <v>61735</v>
      </c>
    </row>
    <row r="4366" spans="1:17" ht="43.2" x14ac:dyDescent="0.3">
      <c r="A4366" s="22" t="s">
        <v>7937</v>
      </c>
      <c r="B4366" s="22" t="s">
        <v>7939</v>
      </c>
      <c r="C4366" s="22"/>
      <c r="D4366" s="22" t="s">
        <v>7710</v>
      </c>
      <c r="E4366" s="22" t="s">
        <v>1483</v>
      </c>
      <c r="F4366" s="24" t="s">
        <v>1484</v>
      </c>
      <c r="G4366" s="23" t="s">
        <v>32</v>
      </c>
      <c r="H4366" s="22"/>
      <c r="I4366" s="22"/>
      <c r="J4366" s="22" t="s">
        <v>1486</v>
      </c>
      <c r="K4366" s="24"/>
      <c r="L4366" s="24"/>
      <c r="M4366" s="25" t="s">
        <v>1487</v>
      </c>
      <c r="N4366" s="22"/>
      <c r="O4366" s="22" t="s">
        <v>1488</v>
      </c>
      <c r="P4366" s="22" t="str">
        <f>HYPERLINK("https://ceds.ed.gov/cedselementdetails.aspx?termid=22127")</f>
        <v>https://ceds.ed.gov/cedselementdetails.aspx?termid=22127</v>
      </c>
      <c r="Q4366" s="22">
        <v>61738</v>
      </c>
    </row>
    <row r="4367" spans="1:17" ht="43.2" x14ac:dyDescent="0.3">
      <c r="A4367" s="22" t="s">
        <v>7937</v>
      </c>
      <c r="B4367" s="22" t="s">
        <v>7939</v>
      </c>
      <c r="C4367" s="22"/>
      <c r="D4367" s="22" t="s">
        <v>7710</v>
      </c>
      <c r="E4367" s="22" t="s">
        <v>1493</v>
      </c>
      <c r="F4367" s="24" t="s">
        <v>1494</v>
      </c>
      <c r="G4367" s="23" t="s">
        <v>32</v>
      </c>
      <c r="H4367" s="22"/>
      <c r="I4367" s="22"/>
      <c r="J4367" s="22" t="s">
        <v>50</v>
      </c>
      <c r="K4367" s="24"/>
      <c r="L4367" s="24"/>
      <c r="M4367" s="25" t="s">
        <v>1495</v>
      </c>
      <c r="N4367" s="22"/>
      <c r="O4367" s="22" t="s">
        <v>1496</v>
      </c>
      <c r="P4367" s="22" t="str">
        <f>HYPERLINK("https://ceds.ed.gov/cedselementdetails.aspx?termid=22128")</f>
        <v>https://ceds.ed.gov/cedselementdetails.aspx?termid=22128</v>
      </c>
      <c r="Q4367" s="22">
        <v>61739</v>
      </c>
    </row>
    <row r="4368" spans="1:17" ht="43.2" x14ac:dyDescent="0.3">
      <c r="A4368" s="22" t="s">
        <v>7937</v>
      </c>
      <c r="B4368" s="22" t="s">
        <v>7939</v>
      </c>
      <c r="C4368" s="22"/>
      <c r="D4368" s="22" t="s">
        <v>7710</v>
      </c>
      <c r="E4368" s="22" t="s">
        <v>1508</v>
      </c>
      <c r="F4368" s="24" t="s">
        <v>8030</v>
      </c>
      <c r="G4368" s="23" t="s">
        <v>32</v>
      </c>
      <c r="H4368" s="22"/>
      <c r="I4368" s="22"/>
      <c r="J4368" s="22" t="s">
        <v>118</v>
      </c>
      <c r="K4368" s="24"/>
      <c r="L4368" s="24"/>
      <c r="M4368" s="25" t="s">
        <v>1509</v>
      </c>
      <c r="N4368" s="22"/>
      <c r="O4368" s="22" t="s">
        <v>1510</v>
      </c>
      <c r="P4368" s="22" t="str">
        <f>HYPERLINK("https://ceds.ed.gov/cedselementdetails.aspx?termid=22130")</f>
        <v>https://ceds.ed.gov/cedselementdetails.aspx?termid=22130</v>
      </c>
      <c r="Q4368" s="22">
        <v>61741</v>
      </c>
    </row>
    <row r="4369" spans="1:17" ht="57.6" x14ac:dyDescent="0.3">
      <c r="A4369" s="22" t="s">
        <v>7937</v>
      </c>
      <c r="B4369" s="22" t="s">
        <v>7939</v>
      </c>
      <c r="C4369" s="22"/>
      <c r="D4369" s="22" t="s">
        <v>7710</v>
      </c>
      <c r="E4369" s="22" t="s">
        <v>1505</v>
      </c>
      <c r="F4369" s="24" t="s">
        <v>8029</v>
      </c>
      <c r="G4369" s="23" t="s">
        <v>32</v>
      </c>
      <c r="H4369" s="22"/>
      <c r="I4369" s="22"/>
      <c r="J4369" s="22" t="s">
        <v>118</v>
      </c>
      <c r="K4369" s="24"/>
      <c r="L4369" s="24" t="s">
        <v>143</v>
      </c>
      <c r="M4369" s="25" t="s">
        <v>1506</v>
      </c>
      <c r="N4369" s="22"/>
      <c r="O4369" s="22" t="s">
        <v>1507</v>
      </c>
      <c r="P4369" s="22" t="str">
        <f>HYPERLINK("https://ceds.ed.gov/cedselementdetails.aspx?termid=22131")</f>
        <v>https://ceds.ed.gov/cedselementdetails.aspx?termid=22131</v>
      </c>
      <c r="Q4369" s="22">
        <v>61742</v>
      </c>
    </row>
    <row r="4370" spans="1:17" ht="28.8" x14ac:dyDescent="0.3">
      <c r="A4370" s="22" t="s">
        <v>7937</v>
      </c>
      <c r="B4370" s="22" t="s">
        <v>7939</v>
      </c>
      <c r="C4370" s="22"/>
      <c r="D4370" s="22" t="s">
        <v>7710</v>
      </c>
      <c r="E4370" s="22" t="s">
        <v>1489</v>
      </c>
      <c r="F4370" s="24" t="s">
        <v>1490</v>
      </c>
      <c r="G4370" s="23" t="s">
        <v>32</v>
      </c>
      <c r="H4370" s="22"/>
      <c r="I4370" s="22"/>
      <c r="J4370" s="22" t="s">
        <v>157</v>
      </c>
      <c r="K4370" s="24"/>
      <c r="L4370" s="24"/>
      <c r="M4370" s="25" t="s">
        <v>1491</v>
      </c>
      <c r="N4370" s="22"/>
      <c r="O4370" s="22" t="s">
        <v>1492</v>
      </c>
      <c r="P4370" s="22" t="str">
        <f>HYPERLINK("https://ceds.ed.gov/cedselementdetails.aspx?termid=22129")</f>
        <v>https://ceds.ed.gov/cedselementdetails.aspx?termid=22129</v>
      </c>
      <c r="Q4370" s="22">
        <v>61740</v>
      </c>
    </row>
  </sheetData>
  <autoFilter ref="A1:Q1" xr:uid="{A18455B6-171B-42E0-94AD-3270492B93AC}"/>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4F9E-6659-4C5C-A646-A520F3B67F0D}">
  <dimension ref="A1:G2430"/>
  <sheetViews>
    <sheetView tabSelected="1" workbookViewId="0">
      <selection activeCell="G2424" sqref="G2424"/>
    </sheetView>
  </sheetViews>
  <sheetFormatPr defaultRowHeight="14.4" x14ac:dyDescent="0.3"/>
  <cols>
    <col min="1" max="2" width="27" customWidth="1"/>
    <col min="3" max="3" width="36.33203125" style="20" customWidth="1"/>
    <col min="4" max="4" width="15.33203125" bestFit="1" customWidth="1"/>
    <col min="5" max="5" width="35.109375" bestFit="1" customWidth="1"/>
    <col min="6" max="6" width="11.109375" bestFit="1" customWidth="1"/>
    <col min="7" max="7" width="47.6640625" style="17" customWidth="1"/>
  </cols>
  <sheetData>
    <row r="1" spans="1:7" x14ac:dyDescent="0.3">
      <c r="A1" s="1" t="s">
        <v>9199</v>
      </c>
      <c r="B1" s="1" t="s">
        <v>0</v>
      </c>
      <c r="C1" s="1" t="s">
        <v>1</v>
      </c>
      <c r="D1" s="1" t="s">
        <v>9200</v>
      </c>
      <c r="E1" s="1" t="s">
        <v>9201</v>
      </c>
      <c r="F1" s="1" t="s">
        <v>9202</v>
      </c>
      <c r="G1" s="1" t="s">
        <v>2</v>
      </c>
    </row>
    <row r="2" spans="1:7" x14ac:dyDescent="0.3">
      <c r="A2" t="s">
        <v>9203</v>
      </c>
      <c r="B2" t="s">
        <v>9204</v>
      </c>
      <c r="C2" s="20" t="s">
        <v>9205</v>
      </c>
      <c r="G2" s="17" t="s">
        <v>32</v>
      </c>
    </row>
    <row r="3" spans="1:7" x14ac:dyDescent="0.3">
      <c r="A3" t="s">
        <v>9203</v>
      </c>
      <c r="B3" t="s">
        <v>9206</v>
      </c>
      <c r="C3" s="20" t="s">
        <v>9207</v>
      </c>
      <c r="G3" s="17" t="s">
        <v>32</v>
      </c>
    </row>
    <row r="4" spans="1:7" x14ac:dyDescent="0.3">
      <c r="A4" t="s">
        <v>9203</v>
      </c>
      <c r="B4" t="s">
        <v>9208</v>
      </c>
      <c r="C4" s="20" t="s">
        <v>9209</v>
      </c>
      <c r="G4" s="17" t="s">
        <v>32</v>
      </c>
    </row>
    <row r="5" spans="1:7" ht="57.6" x14ac:dyDescent="0.3">
      <c r="A5" t="s">
        <v>9203</v>
      </c>
      <c r="B5" t="s">
        <v>9210</v>
      </c>
      <c r="C5" s="20" t="s">
        <v>9211</v>
      </c>
      <c r="G5" s="17" t="s">
        <v>32</v>
      </c>
    </row>
    <row r="6" spans="1:7" x14ac:dyDescent="0.3">
      <c r="A6" t="s">
        <v>9203</v>
      </c>
      <c r="B6" t="s">
        <v>9212</v>
      </c>
      <c r="C6" s="20" t="s">
        <v>9213</v>
      </c>
      <c r="G6" s="17" t="s">
        <v>32</v>
      </c>
    </row>
    <row r="7" spans="1:7" x14ac:dyDescent="0.3">
      <c r="A7" t="s">
        <v>9203</v>
      </c>
      <c r="B7" t="s">
        <v>9214</v>
      </c>
      <c r="C7" s="20" t="s">
        <v>9215</v>
      </c>
      <c r="G7" s="17" t="s">
        <v>32</v>
      </c>
    </row>
    <row r="8" spans="1:7" x14ac:dyDescent="0.3">
      <c r="A8" t="s">
        <v>9203</v>
      </c>
      <c r="B8" t="s">
        <v>9216</v>
      </c>
      <c r="C8" s="20" t="s">
        <v>9217</v>
      </c>
      <c r="G8" s="17" t="s">
        <v>32</v>
      </c>
    </row>
    <row r="9" spans="1:7" ht="28.8" x14ac:dyDescent="0.3">
      <c r="A9" t="s">
        <v>9203</v>
      </c>
      <c r="B9" t="s">
        <v>9218</v>
      </c>
      <c r="C9" s="20" t="s">
        <v>2375</v>
      </c>
      <c r="G9" s="17" t="s">
        <v>32</v>
      </c>
    </row>
    <row r="10" spans="1:7" ht="28.8" x14ac:dyDescent="0.3">
      <c r="A10" t="s">
        <v>9203</v>
      </c>
      <c r="B10" t="s">
        <v>9219</v>
      </c>
      <c r="C10" s="20" t="s">
        <v>9220</v>
      </c>
      <c r="G10" s="17" t="s">
        <v>32</v>
      </c>
    </row>
    <row r="11" spans="1:7" ht="28.8" x14ac:dyDescent="0.3">
      <c r="A11" t="s">
        <v>9203</v>
      </c>
      <c r="B11" t="s">
        <v>9221</v>
      </c>
      <c r="C11" s="20" t="s">
        <v>9222</v>
      </c>
      <c r="G11" s="17" t="s">
        <v>32</v>
      </c>
    </row>
    <row r="12" spans="1:7" ht="43.2" x14ac:dyDescent="0.3">
      <c r="A12" t="s">
        <v>9203</v>
      </c>
      <c r="B12" t="s">
        <v>9223</v>
      </c>
      <c r="C12" s="20" t="s">
        <v>1306</v>
      </c>
      <c r="G12" s="17" t="s">
        <v>32</v>
      </c>
    </row>
    <row r="13" spans="1:7" ht="57.6" x14ac:dyDescent="0.3">
      <c r="A13" t="s">
        <v>9203</v>
      </c>
      <c r="B13" t="s">
        <v>9224</v>
      </c>
      <c r="C13" s="20" t="s">
        <v>9225</v>
      </c>
      <c r="G13" s="17" t="s">
        <v>32</v>
      </c>
    </row>
    <row r="14" spans="1:7" ht="28.8" x14ac:dyDescent="0.3">
      <c r="A14" t="s">
        <v>9203</v>
      </c>
      <c r="B14" t="s">
        <v>9226</v>
      </c>
      <c r="C14" s="20" t="s">
        <v>12337</v>
      </c>
      <c r="G14" s="17" t="s">
        <v>32</v>
      </c>
    </row>
    <row r="15" spans="1:7" ht="57.6" x14ac:dyDescent="0.3">
      <c r="A15" t="s">
        <v>9203</v>
      </c>
      <c r="B15" t="s">
        <v>9227</v>
      </c>
      <c r="C15" s="20" t="s">
        <v>9228</v>
      </c>
      <c r="G15" s="17" t="s">
        <v>32</v>
      </c>
    </row>
    <row r="16" spans="1:7" ht="28.8" x14ac:dyDescent="0.3">
      <c r="A16" t="s">
        <v>9203</v>
      </c>
      <c r="B16" t="s">
        <v>9229</v>
      </c>
      <c r="C16" s="20" t="s">
        <v>9230</v>
      </c>
      <c r="G16" s="17" t="s">
        <v>32</v>
      </c>
    </row>
    <row r="17" spans="1:7" ht="28.8" x14ac:dyDescent="0.3">
      <c r="A17" t="s">
        <v>9203</v>
      </c>
      <c r="B17" t="s">
        <v>9231</v>
      </c>
      <c r="C17" s="20" t="s">
        <v>9232</v>
      </c>
      <c r="G17" s="17" t="s">
        <v>32</v>
      </c>
    </row>
    <row r="18" spans="1:7" ht="28.8" x14ac:dyDescent="0.3">
      <c r="A18" t="s">
        <v>9203</v>
      </c>
      <c r="B18" t="s">
        <v>9233</v>
      </c>
      <c r="C18" s="20" t="s">
        <v>9234</v>
      </c>
      <c r="G18" s="17" t="s">
        <v>32</v>
      </c>
    </row>
    <row r="19" spans="1:7" ht="86.4" x14ac:dyDescent="0.3">
      <c r="A19" t="s">
        <v>9203</v>
      </c>
      <c r="B19" t="s">
        <v>9235</v>
      </c>
      <c r="C19" s="20" t="s">
        <v>12338</v>
      </c>
      <c r="G19" s="17" t="s">
        <v>32</v>
      </c>
    </row>
    <row r="20" spans="1:7" x14ac:dyDescent="0.3">
      <c r="A20" t="s">
        <v>9203</v>
      </c>
      <c r="B20" t="s">
        <v>9236</v>
      </c>
      <c r="C20" s="20" t="s">
        <v>9237</v>
      </c>
      <c r="G20" s="17" t="s">
        <v>32</v>
      </c>
    </row>
    <row r="21" spans="1:7" ht="28.8" x14ac:dyDescent="0.3">
      <c r="A21" t="s">
        <v>9203</v>
      </c>
      <c r="B21" t="s">
        <v>9238</v>
      </c>
      <c r="C21" s="20" t="s">
        <v>9239</v>
      </c>
      <c r="G21" s="17" t="s">
        <v>32</v>
      </c>
    </row>
    <row r="22" spans="1:7" x14ac:dyDescent="0.3">
      <c r="A22" t="s">
        <v>9203</v>
      </c>
      <c r="B22" t="s">
        <v>9240</v>
      </c>
      <c r="C22" s="20" t="s">
        <v>9241</v>
      </c>
      <c r="G22" s="17" t="s">
        <v>32</v>
      </c>
    </row>
    <row r="23" spans="1:7" ht="28.8" x14ac:dyDescent="0.3">
      <c r="A23" t="s">
        <v>9203</v>
      </c>
      <c r="B23" t="s">
        <v>9242</v>
      </c>
      <c r="C23" s="20" t="s">
        <v>9243</v>
      </c>
      <c r="G23" s="17" t="s">
        <v>32</v>
      </c>
    </row>
    <row r="24" spans="1:7" ht="28.8" x14ac:dyDescent="0.3">
      <c r="A24" t="s">
        <v>9203</v>
      </c>
      <c r="B24" t="s">
        <v>9244</v>
      </c>
      <c r="C24" s="20" t="s">
        <v>9245</v>
      </c>
      <c r="G24" s="17" t="s">
        <v>32</v>
      </c>
    </row>
    <row r="25" spans="1:7" ht="28.8" x14ac:dyDescent="0.3">
      <c r="A25" t="s">
        <v>9203</v>
      </c>
      <c r="B25" t="s">
        <v>9246</v>
      </c>
      <c r="C25" s="20" t="s">
        <v>9247</v>
      </c>
      <c r="G25" s="17" t="s">
        <v>32</v>
      </c>
    </row>
    <row r="26" spans="1:7" ht="28.8" x14ac:dyDescent="0.3">
      <c r="A26" t="s">
        <v>9203</v>
      </c>
      <c r="B26" t="s">
        <v>9248</v>
      </c>
      <c r="C26" s="20" t="s">
        <v>9249</v>
      </c>
      <c r="G26" s="17" t="s">
        <v>32</v>
      </c>
    </row>
    <row r="27" spans="1:7" ht="28.8" x14ac:dyDescent="0.3">
      <c r="A27" t="s">
        <v>9203</v>
      </c>
      <c r="B27" t="s">
        <v>9250</v>
      </c>
      <c r="C27" s="20" t="s">
        <v>9251</v>
      </c>
      <c r="G27" s="17" t="s">
        <v>32</v>
      </c>
    </row>
    <row r="28" spans="1:7" ht="28.8" x14ac:dyDescent="0.3">
      <c r="A28" t="s">
        <v>9203</v>
      </c>
      <c r="B28" t="s">
        <v>9252</v>
      </c>
      <c r="C28" s="20" t="s">
        <v>9253</v>
      </c>
      <c r="G28" s="17" t="s">
        <v>32</v>
      </c>
    </row>
    <row r="29" spans="1:7" ht="28.8" x14ac:dyDescent="0.3">
      <c r="A29" t="s">
        <v>9203</v>
      </c>
      <c r="B29" t="s">
        <v>9254</v>
      </c>
      <c r="C29" s="20" t="s">
        <v>9255</v>
      </c>
      <c r="G29" s="17" t="s">
        <v>32</v>
      </c>
    </row>
    <row r="30" spans="1:7" ht="28.8" x14ac:dyDescent="0.3">
      <c r="A30" t="s">
        <v>9203</v>
      </c>
      <c r="B30" t="s">
        <v>9256</v>
      </c>
      <c r="C30" s="20" t="s">
        <v>9257</v>
      </c>
      <c r="G30" s="17" t="s">
        <v>32</v>
      </c>
    </row>
    <row r="31" spans="1:7" ht="28.8" x14ac:dyDescent="0.3">
      <c r="A31" t="s">
        <v>9203</v>
      </c>
      <c r="B31" t="s">
        <v>9258</v>
      </c>
      <c r="C31" s="20" t="s">
        <v>9259</v>
      </c>
      <c r="G31" s="17" t="s">
        <v>32</v>
      </c>
    </row>
    <row r="32" spans="1:7" ht="86.4" x14ac:dyDescent="0.3">
      <c r="A32" t="s">
        <v>9203</v>
      </c>
      <c r="B32" t="s">
        <v>9260</v>
      </c>
      <c r="C32" s="20" t="s">
        <v>9261</v>
      </c>
      <c r="G32" s="17" t="s">
        <v>32</v>
      </c>
    </row>
    <row r="33" spans="1:7" ht="28.8" x14ac:dyDescent="0.3">
      <c r="A33" t="s">
        <v>9203</v>
      </c>
      <c r="B33" t="s">
        <v>9262</v>
      </c>
      <c r="C33" s="20" t="s">
        <v>9263</v>
      </c>
      <c r="G33" s="17" t="s">
        <v>32</v>
      </c>
    </row>
    <row r="34" spans="1:7" ht="28.8" x14ac:dyDescent="0.3">
      <c r="A34" t="s">
        <v>9203</v>
      </c>
      <c r="B34" t="s">
        <v>9264</v>
      </c>
      <c r="C34" s="20" t="s">
        <v>9265</v>
      </c>
      <c r="G34" s="17" t="s">
        <v>32</v>
      </c>
    </row>
    <row r="35" spans="1:7" ht="43.2" x14ac:dyDescent="0.3">
      <c r="A35" t="s">
        <v>9203</v>
      </c>
      <c r="B35" t="s">
        <v>9266</v>
      </c>
      <c r="C35" s="20" t="s">
        <v>12339</v>
      </c>
      <c r="G35" s="17" t="s">
        <v>32</v>
      </c>
    </row>
    <row r="36" spans="1:7" ht="43.2" x14ac:dyDescent="0.3">
      <c r="A36" t="s">
        <v>9203</v>
      </c>
      <c r="B36" t="s">
        <v>9267</v>
      </c>
      <c r="C36" s="20" t="s">
        <v>9268</v>
      </c>
      <c r="G36" s="17" t="s">
        <v>32</v>
      </c>
    </row>
    <row r="37" spans="1:7" ht="28.8" x14ac:dyDescent="0.3">
      <c r="A37" t="s">
        <v>9203</v>
      </c>
      <c r="B37" t="s">
        <v>9269</v>
      </c>
      <c r="C37" s="20" t="s">
        <v>9270</v>
      </c>
      <c r="G37" s="17" t="s">
        <v>32</v>
      </c>
    </row>
    <row r="38" spans="1:7" x14ac:dyDescent="0.3">
      <c r="A38" t="s">
        <v>9203</v>
      </c>
      <c r="B38" t="s">
        <v>9271</v>
      </c>
      <c r="C38" s="20" t="s">
        <v>9272</v>
      </c>
      <c r="G38" s="17" t="s">
        <v>32</v>
      </c>
    </row>
    <row r="39" spans="1:7" ht="57.6" x14ac:dyDescent="0.3">
      <c r="A39" t="s">
        <v>9203</v>
      </c>
      <c r="B39" t="s">
        <v>9273</v>
      </c>
      <c r="C39" s="20" t="s">
        <v>9274</v>
      </c>
      <c r="G39" s="17" t="s">
        <v>32</v>
      </c>
    </row>
    <row r="40" spans="1:7" x14ac:dyDescent="0.3">
      <c r="A40" t="s">
        <v>9203</v>
      </c>
      <c r="B40" t="s">
        <v>9275</v>
      </c>
      <c r="C40" s="20" t="s">
        <v>9276</v>
      </c>
      <c r="G40" s="17" t="s">
        <v>32</v>
      </c>
    </row>
    <row r="41" spans="1:7" x14ac:dyDescent="0.3">
      <c r="A41" t="s">
        <v>9203</v>
      </c>
      <c r="B41" t="s">
        <v>9277</v>
      </c>
      <c r="C41" s="20" t="s">
        <v>9278</v>
      </c>
      <c r="G41" s="17" t="s">
        <v>32</v>
      </c>
    </row>
    <row r="42" spans="1:7" ht="28.8" x14ac:dyDescent="0.3">
      <c r="A42" t="s">
        <v>9203</v>
      </c>
      <c r="B42" t="s">
        <v>9279</v>
      </c>
      <c r="C42" s="20" t="s">
        <v>9280</v>
      </c>
      <c r="G42" s="17" t="s">
        <v>32</v>
      </c>
    </row>
    <row r="43" spans="1:7" ht="28.8" x14ac:dyDescent="0.3">
      <c r="A43" t="s">
        <v>9203</v>
      </c>
      <c r="B43" t="s">
        <v>9281</v>
      </c>
      <c r="C43" s="20" t="s">
        <v>9282</v>
      </c>
      <c r="G43" s="17" t="s">
        <v>32</v>
      </c>
    </row>
    <row r="44" spans="1:7" ht="43.2" x14ac:dyDescent="0.3">
      <c r="A44" t="s">
        <v>9203</v>
      </c>
      <c r="B44" t="s">
        <v>9283</v>
      </c>
      <c r="C44" s="20" t="s">
        <v>12340</v>
      </c>
      <c r="G44" s="17" t="s">
        <v>32</v>
      </c>
    </row>
    <row r="45" spans="1:7" ht="43.2" x14ac:dyDescent="0.3">
      <c r="A45" t="s">
        <v>9203</v>
      </c>
      <c r="B45" t="s">
        <v>9284</v>
      </c>
      <c r="C45" s="20" t="s">
        <v>12341</v>
      </c>
      <c r="G45" s="17" t="s">
        <v>32</v>
      </c>
    </row>
    <row r="46" spans="1:7" ht="28.8" x14ac:dyDescent="0.3">
      <c r="A46" t="s">
        <v>9203</v>
      </c>
      <c r="B46" t="s">
        <v>9285</v>
      </c>
      <c r="C46" s="20" t="s">
        <v>9286</v>
      </c>
      <c r="G46" s="17" t="s">
        <v>32</v>
      </c>
    </row>
    <row r="47" spans="1:7" ht="28.8" x14ac:dyDescent="0.3">
      <c r="A47" t="s">
        <v>9203</v>
      </c>
      <c r="B47" t="s">
        <v>9285</v>
      </c>
      <c r="C47" s="20" t="s">
        <v>9286</v>
      </c>
      <c r="G47" s="17" t="s">
        <v>32</v>
      </c>
    </row>
    <row r="48" spans="1:7" ht="28.8" x14ac:dyDescent="0.3">
      <c r="A48" t="s">
        <v>9203</v>
      </c>
      <c r="B48" t="s">
        <v>9287</v>
      </c>
      <c r="C48" s="20" t="s">
        <v>9288</v>
      </c>
      <c r="G48" s="17" t="s">
        <v>32</v>
      </c>
    </row>
    <row r="49" spans="1:7" ht="28.8" x14ac:dyDescent="0.3">
      <c r="A49" t="s">
        <v>9203</v>
      </c>
      <c r="B49" t="s">
        <v>9287</v>
      </c>
      <c r="C49" s="20" t="s">
        <v>9288</v>
      </c>
      <c r="G49" s="17" t="s">
        <v>32</v>
      </c>
    </row>
    <row r="50" spans="1:7" ht="28.8" x14ac:dyDescent="0.3">
      <c r="A50" t="s">
        <v>9203</v>
      </c>
      <c r="B50" t="s">
        <v>9289</v>
      </c>
      <c r="C50" s="20" t="s">
        <v>9265</v>
      </c>
      <c r="G50" s="17" t="s">
        <v>32</v>
      </c>
    </row>
    <row r="51" spans="1:7" x14ac:dyDescent="0.3">
      <c r="A51" t="s">
        <v>9203</v>
      </c>
      <c r="B51" t="s">
        <v>9290</v>
      </c>
      <c r="C51" s="20" t="s">
        <v>9276</v>
      </c>
      <c r="G51" s="17" t="s">
        <v>32</v>
      </c>
    </row>
    <row r="52" spans="1:7" x14ac:dyDescent="0.3">
      <c r="A52" t="s">
        <v>9203</v>
      </c>
      <c r="B52" t="s">
        <v>9291</v>
      </c>
      <c r="C52" s="20" t="s">
        <v>9278</v>
      </c>
      <c r="G52" s="17" t="s">
        <v>32</v>
      </c>
    </row>
    <row r="53" spans="1:7" ht="28.8" x14ac:dyDescent="0.3">
      <c r="A53" t="s">
        <v>9203</v>
      </c>
      <c r="B53" t="s">
        <v>9292</v>
      </c>
      <c r="C53" s="20" t="s">
        <v>9280</v>
      </c>
      <c r="G53" s="17" t="s">
        <v>32</v>
      </c>
    </row>
    <row r="54" spans="1:7" ht="28.8" x14ac:dyDescent="0.3">
      <c r="A54" t="s">
        <v>9203</v>
      </c>
      <c r="B54" t="s">
        <v>9293</v>
      </c>
      <c r="C54" s="20" t="s">
        <v>9282</v>
      </c>
      <c r="G54" s="17" t="s">
        <v>32</v>
      </c>
    </row>
    <row r="55" spans="1:7" ht="28.8" x14ac:dyDescent="0.3">
      <c r="A55" t="s">
        <v>9203</v>
      </c>
      <c r="B55" t="s">
        <v>9294</v>
      </c>
      <c r="C55" s="20" t="s">
        <v>9295</v>
      </c>
      <c r="G55" s="17" t="s">
        <v>32</v>
      </c>
    </row>
    <row r="56" spans="1:7" ht="43.2" x14ac:dyDescent="0.3">
      <c r="A56" t="s">
        <v>9203</v>
      </c>
      <c r="B56" t="s">
        <v>9296</v>
      </c>
      <c r="C56" s="20" t="s">
        <v>9297</v>
      </c>
      <c r="G56" s="17" t="s">
        <v>32</v>
      </c>
    </row>
    <row r="57" spans="1:7" ht="28.8" x14ac:dyDescent="0.3">
      <c r="A57" t="s">
        <v>9203</v>
      </c>
      <c r="B57" t="s">
        <v>9298</v>
      </c>
      <c r="C57" s="20" t="s">
        <v>9299</v>
      </c>
      <c r="G57" s="17" t="s">
        <v>32</v>
      </c>
    </row>
    <row r="58" spans="1:7" ht="28.8" x14ac:dyDescent="0.3">
      <c r="A58" t="s">
        <v>9203</v>
      </c>
      <c r="B58" t="s">
        <v>9300</v>
      </c>
      <c r="C58" s="20" t="s">
        <v>9265</v>
      </c>
      <c r="G58" s="17" t="s">
        <v>32</v>
      </c>
    </row>
    <row r="59" spans="1:7" x14ac:dyDescent="0.3">
      <c r="A59" t="s">
        <v>9203</v>
      </c>
      <c r="B59" t="s">
        <v>9301</v>
      </c>
      <c r="C59" s="20" t="s">
        <v>9276</v>
      </c>
      <c r="G59" s="17" t="s">
        <v>32</v>
      </c>
    </row>
    <row r="60" spans="1:7" x14ac:dyDescent="0.3">
      <c r="A60" t="s">
        <v>9203</v>
      </c>
      <c r="B60" t="s">
        <v>9302</v>
      </c>
      <c r="C60" s="20" t="s">
        <v>9278</v>
      </c>
      <c r="G60" s="17" t="s">
        <v>32</v>
      </c>
    </row>
    <row r="61" spans="1:7" ht="28.8" x14ac:dyDescent="0.3">
      <c r="A61" t="s">
        <v>9203</v>
      </c>
      <c r="B61" t="s">
        <v>9303</v>
      </c>
      <c r="C61" s="20" t="s">
        <v>9280</v>
      </c>
      <c r="G61" s="17" t="s">
        <v>32</v>
      </c>
    </row>
    <row r="62" spans="1:7" ht="28.8" x14ac:dyDescent="0.3">
      <c r="A62" t="s">
        <v>9203</v>
      </c>
      <c r="B62" t="s">
        <v>9304</v>
      </c>
      <c r="C62" s="20" t="s">
        <v>9282</v>
      </c>
      <c r="G62" s="17" t="s">
        <v>32</v>
      </c>
    </row>
    <row r="63" spans="1:7" ht="43.2" x14ac:dyDescent="0.3">
      <c r="A63" t="s">
        <v>9203</v>
      </c>
      <c r="B63" t="s">
        <v>9305</v>
      </c>
      <c r="C63" s="20" t="s">
        <v>12340</v>
      </c>
      <c r="G63" s="17" t="s">
        <v>32</v>
      </c>
    </row>
    <row r="64" spans="1:7" ht="43.2" x14ac:dyDescent="0.3">
      <c r="A64" t="s">
        <v>9203</v>
      </c>
      <c r="B64" t="s">
        <v>9306</v>
      </c>
      <c r="C64" s="20" t="s">
        <v>12341</v>
      </c>
      <c r="G64" s="17" t="s">
        <v>32</v>
      </c>
    </row>
    <row r="65" spans="1:7" ht="28.8" x14ac:dyDescent="0.3">
      <c r="A65" t="s">
        <v>9203</v>
      </c>
      <c r="B65" t="s">
        <v>9307</v>
      </c>
      <c r="C65" s="20" t="s">
        <v>9308</v>
      </c>
      <c r="G65" s="17" t="s">
        <v>32</v>
      </c>
    </row>
    <row r="66" spans="1:7" ht="28.8" x14ac:dyDescent="0.3">
      <c r="A66" t="s">
        <v>9203</v>
      </c>
      <c r="B66" t="s">
        <v>9309</v>
      </c>
      <c r="C66" s="20" t="s">
        <v>12342</v>
      </c>
      <c r="G66" s="17" t="s">
        <v>32</v>
      </c>
    </row>
    <row r="67" spans="1:7" ht="72" x14ac:dyDescent="0.3">
      <c r="A67" t="s">
        <v>9203</v>
      </c>
      <c r="B67" t="s">
        <v>9310</v>
      </c>
      <c r="C67" s="20" t="s">
        <v>9311</v>
      </c>
      <c r="G67" s="17" t="s">
        <v>32</v>
      </c>
    </row>
    <row r="68" spans="1:7" ht="28.8" x14ac:dyDescent="0.3">
      <c r="A68" t="s">
        <v>9203</v>
      </c>
      <c r="B68" t="s">
        <v>9312</v>
      </c>
      <c r="C68" s="20" t="s">
        <v>9313</v>
      </c>
      <c r="G68" s="17" t="s">
        <v>32</v>
      </c>
    </row>
    <row r="69" spans="1:7" ht="28.8" x14ac:dyDescent="0.3">
      <c r="A69" t="s">
        <v>9203</v>
      </c>
      <c r="B69" t="s">
        <v>9314</v>
      </c>
      <c r="C69" s="20" t="s">
        <v>9315</v>
      </c>
      <c r="G69" s="17" t="s">
        <v>32</v>
      </c>
    </row>
    <row r="70" spans="1:7" ht="28.8" x14ac:dyDescent="0.3">
      <c r="A70" t="s">
        <v>9203</v>
      </c>
      <c r="B70" t="s">
        <v>9316</v>
      </c>
      <c r="C70" s="20" t="s">
        <v>9317</v>
      </c>
      <c r="G70" s="17" t="s">
        <v>32</v>
      </c>
    </row>
    <row r="71" spans="1:7" ht="28.8" x14ac:dyDescent="0.3">
      <c r="A71" t="s">
        <v>9203</v>
      </c>
      <c r="B71" t="s">
        <v>9318</v>
      </c>
      <c r="C71" s="20" t="s">
        <v>9257</v>
      </c>
      <c r="G71" s="17" t="s">
        <v>32</v>
      </c>
    </row>
    <row r="72" spans="1:7" ht="28.8" x14ac:dyDescent="0.3">
      <c r="A72" t="s">
        <v>9203</v>
      </c>
      <c r="B72" t="s">
        <v>9319</v>
      </c>
      <c r="C72" s="20" t="s">
        <v>9320</v>
      </c>
      <c r="G72" s="17" t="s">
        <v>32</v>
      </c>
    </row>
    <row r="73" spans="1:7" ht="57.6" x14ac:dyDescent="0.3">
      <c r="A73" t="s">
        <v>9203</v>
      </c>
      <c r="B73" t="s">
        <v>9321</v>
      </c>
      <c r="C73" s="20" t="s">
        <v>9322</v>
      </c>
      <c r="G73" s="17" t="s">
        <v>32</v>
      </c>
    </row>
    <row r="74" spans="1:7" ht="43.2" x14ac:dyDescent="0.3">
      <c r="A74" t="s">
        <v>9203</v>
      </c>
      <c r="B74" t="s">
        <v>9323</v>
      </c>
      <c r="C74" s="20" t="s">
        <v>9324</v>
      </c>
      <c r="G74" s="17" t="s">
        <v>32</v>
      </c>
    </row>
    <row r="75" spans="1:7" ht="43.2" x14ac:dyDescent="0.3">
      <c r="A75" t="s">
        <v>9203</v>
      </c>
      <c r="B75" t="s">
        <v>9323</v>
      </c>
      <c r="C75" s="20" t="s">
        <v>9324</v>
      </c>
      <c r="G75" s="17" t="s">
        <v>32</v>
      </c>
    </row>
    <row r="76" spans="1:7" ht="28.8" x14ac:dyDescent="0.3">
      <c r="A76" t="s">
        <v>9203</v>
      </c>
      <c r="B76" t="s">
        <v>9325</v>
      </c>
      <c r="C76" s="20" t="s">
        <v>9239</v>
      </c>
      <c r="G76" s="17" t="s">
        <v>32</v>
      </c>
    </row>
    <row r="77" spans="1:7" ht="28.8" x14ac:dyDescent="0.3">
      <c r="A77" t="s">
        <v>9203</v>
      </c>
      <c r="B77" t="s">
        <v>9325</v>
      </c>
      <c r="C77" s="20" t="s">
        <v>9239</v>
      </c>
      <c r="G77" s="17" t="s">
        <v>32</v>
      </c>
    </row>
    <row r="78" spans="1:7" ht="28.8" x14ac:dyDescent="0.3">
      <c r="A78" t="s">
        <v>9203</v>
      </c>
      <c r="B78" t="s">
        <v>9326</v>
      </c>
      <c r="C78" s="20" t="s">
        <v>9327</v>
      </c>
      <c r="G78" s="17" t="s">
        <v>32</v>
      </c>
    </row>
    <row r="79" spans="1:7" ht="28.8" x14ac:dyDescent="0.3">
      <c r="A79" t="s">
        <v>9203</v>
      </c>
      <c r="B79" t="s">
        <v>9326</v>
      </c>
      <c r="C79" s="20" t="s">
        <v>9327</v>
      </c>
      <c r="G79" s="17" t="s">
        <v>32</v>
      </c>
    </row>
    <row r="80" spans="1:7" ht="43.2" x14ac:dyDescent="0.3">
      <c r="A80" t="s">
        <v>9203</v>
      </c>
      <c r="B80" t="s">
        <v>9328</v>
      </c>
      <c r="C80" s="20" t="s">
        <v>9324</v>
      </c>
      <c r="G80" s="17" t="s">
        <v>32</v>
      </c>
    </row>
    <row r="81" spans="1:7" ht="43.2" x14ac:dyDescent="0.3">
      <c r="A81" t="s">
        <v>9203</v>
      </c>
      <c r="B81" t="s">
        <v>9328</v>
      </c>
      <c r="C81" s="20" t="s">
        <v>9324</v>
      </c>
      <c r="G81" s="17" t="s">
        <v>32</v>
      </c>
    </row>
    <row r="82" spans="1:7" ht="28.8" x14ac:dyDescent="0.3">
      <c r="A82" t="s">
        <v>9203</v>
      </c>
      <c r="B82" t="s">
        <v>9329</v>
      </c>
      <c r="C82" s="20" t="s">
        <v>9327</v>
      </c>
      <c r="G82" s="17" t="s">
        <v>32</v>
      </c>
    </row>
    <row r="83" spans="1:7" ht="28.8" x14ac:dyDescent="0.3">
      <c r="A83" t="s">
        <v>9203</v>
      </c>
      <c r="B83" t="s">
        <v>9329</v>
      </c>
      <c r="C83" s="20" t="s">
        <v>9327</v>
      </c>
      <c r="G83" s="17" t="s">
        <v>32</v>
      </c>
    </row>
    <row r="84" spans="1:7" ht="43.2" x14ac:dyDescent="0.3">
      <c r="A84" t="s">
        <v>9203</v>
      </c>
      <c r="B84" t="s">
        <v>9330</v>
      </c>
      <c r="C84" s="20" t="s">
        <v>9331</v>
      </c>
      <c r="G84" s="17" t="s">
        <v>32</v>
      </c>
    </row>
    <row r="85" spans="1:7" ht="43.2" x14ac:dyDescent="0.3">
      <c r="A85" t="s">
        <v>9203</v>
      </c>
      <c r="B85" t="s">
        <v>9330</v>
      </c>
      <c r="C85" s="20" t="s">
        <v>9331</v>
      </c>
      <c r="G85" s="17" t="s">
        <v>32</v>
      </c>
    </row>
    <row r="86" spans="1:7" ht="43.2" x14ac:dyDescent="0.3">
      <c r="A86" t="s">
        <v>9203</v>
      </c>
      <c r="B86" t="s">
        <v>9330</v>
      </c>
      <c r="C86" s="20" t="s">
        <v>9331</v>
      </c>
      <c r="G86" s="17" t="s">
        <v>32</v>
      </c>
    </row>
    <row r="87" spans="1:7" ht="43.2" x14ac:dyDescent="0.3">
      <c r="A87" t="s">
        <v>9203</v>
      </c>
      <c r="B87" t="s">
        <v>9330</v>
      </c>
      <c r="C87" s="20" t="s">
        <v>9331</v>
      </c>
      <c r="G87" s="17" t="s">
        <v>32</v>
      </c>
    </row>
    <row r="88" spans="1:7" ht="43.2" x14ac:dyDescent="0.3">
      <c r="A88" t="s">
        <v>9203</v>
      </c>
      <c r="B88" t="s">
        <v>9332</v>
      </c>
      <c r="C88" s="20" t="s">
        <v>9333</v>
      </c>
      <c r="G88" s="17" t="s">
        <v>32</v>
      </c>
    </row>
    <row r="89" spans="1:7" ht="43.2" x14ac:dyDescent="0.3">
      <c r="A89" t="s">
        <v>9203</v>
      </c>
      <c r="B89" t="s">
        <v>9332</v>
      </c>
      <c r="C89" s="20" t="s">
        <v>9333</v>
      </c>
      <c r="G89" s="17" t="s">
        <v>32</v>
      </c>
    </row>
    <row r="90" spans="1:7" ht="43.2" x14ac:dyDescent="0.3">
      <c r="A90" t="s">
        <v>9203</v>
      </c>
      <c r="B90" t="s">
        <v>9332</v>
      </c>
      <c r="C90" s="20" t="s">
        <v>9333</v>
      </c>
      <c r="G90" s="17" t="s">
        <v>32</v>
      </c>
    </row>
    <row r="91" spans="1:7" ht="43.2" x14ac:dyDescent="0.3">
      <c r="A91" t="s">
        <v>9203</v>
      </c>
      <c r="B91" t="s">
        <v>9332</v>
      </c>
      <c r="C91" s="20" t="s">
        <v>9333</v>
      </c>
      <c r="G91" s="17" t="s">
        <v>32</v>
      </c>
    </row>
    <row r="92" spans="1:7" ht="28.8" x14ac:dyDescent="0.3">
      <c r="A92" t="s">
        <v>9203</v>
      </c>
      <c r="B92" t="s">
        <v>9334</v>
      </c>
      <c r="C92" s="20" t="s">
        <v>9335</v>
      </c>
      <c r="G92" s="17" t="s">
        <v>32</v>
      </c>
    </row>
    <row r="93" spans="1:7" ht="28.8" x14ac:dyDescent="0.3">
      <c r="A93" t="s">
        <v>9203</v>
      </c>
      <c r="B93" t="s">
        <v>9334</v>
      </c>
      <c r="C93" s="20" t="s">
        <v>9335</v>
      </c>
      <c r="G93" s="17" t="s">
        <v>32</v>
      </c>
    </row>
    <row r="94" spans="1:7" ht="28.8" x14ac:dyDescent="0.3">
      <c r="A94" t="s">
        <v>9203</v>
      </c>
      <c r="B94" t="s">
        <v>9336</v>
      </c>
      <c r="C94" s="20" t="s">
        <v>9337</v>
      </c>
      <c r="G94" s="17" t="s">
        <v>32</v>
      </c>
    </row>
    <row r="95" spans="1:7" ht="28.8" x14ac:dyDescent="0.3">
      <c r="A95" t="s">
        <v>9203</v>
      </c>
      <c r="B95" t="s">
        <v>9336</v>
      </c>
      <c r="C95" s="20" t="s">
        <v>9337</v>
      </c>
      <c r="G95" s="17" t="s">
        <v>32</v>
      </c>
    </row>
    <row r="96" spans="1:7" ht="28.8" x14ac:dyDescent="0.3">
      <c r="A96" t="s">
        <v>9203</v>
      </c>
      <c r="B96" t="s">
        <v>9336</v>
      </c>
      <c r="C96" s="20" t="s">
        <v>9337</v>
      </c>
      <c r="G96" s="17" t="s">
        <v>32</v>
      </c>
    </row>
    <row r="97" spans="1:7" ht="28.8" x14ac:dyDescent="0.3">
      <c r="A97" t="s">
        <v>9203</v>
      </c>
      <c r="B97" t="s">
        <v>9336</v>
      </c>
      <c r="C97" s="20" t="s">
        <v>9337</v>
      </c>
      <c r="G97" s="17" t="s">
        <v>32</v>
      </c>
    </row>
    <row r="98" spans="1:7" ht="28.8" x14ac:dyDescent="0.3">
      <c r="A98" t="s">
        <v>9203</v>
      </c>
      <c r="B98" t="s">
        <v>9338</v>
      </c>
      <c r="C98" s="20" t="s">
        <v>9339</v>
      </c>
      <c r="G98" s="17" t="s">
        <v>32</v>
      </c>
    </row>
    <row r="99" spans="1:7" ht="28.8" x14ac:dyDescent="0.3">
      <c r="A99" t="s">
        <v>9203</v>
      </c>
      <c r="B99" t="s">
        <v>9338</v>
      </c>
      <c r="C99" s="20" t="s">
        <v>9339</v>
      </c>
      <c r="G99" s="17" t="s">
        <v>32</v>
      </c>
    </row>
    <row r="100" spans="1:7" ht="43.2" x14ac:dyDescent="0.3">
      <c r="A100" t="s">
        <v>9203</v>
      </c>
      <c r="B100" t="s">
        <v>9340</v>
      </c>
      <c r="C100" s="20" t="s">
        <v>9331</v>
      </c>
      <c r="G100" s="17" t="s">
        <v>32</v>
      </c>
    </row>
    <row r="101" spans="1:7" ht="43.2" x14ac:dyDescent="0.3">
      <c r="A101" t="s">
        <v>9203</v>
      </c>
      <c r="B101" t="s">
        <v>9340</v>
      </c>
      <c r="C101" s="20" t="s">
        <v>9331</v>
      </c>
      <c r="G101" s="17" t="s">
        <v>32</v>
      </c>
    </row>
    <row r="102" spans="1:7" ht="28.8" x14ac:dyDescent="0.3">
      <c r="A102" t="s">
        <v>9203</v>
      </c>
      <c r="B102" t="s">
        <v>9341</v>
      </c>
      <c r="C102" s="20" t="s">
        <v>9335</v>
      </c>
      <c r="G102" s="17" t="s">
        <v>32</v>
      </c>
    </row>
    <row r="103" spans="1:7" ht="28.8" x14ac:dyDescent="0.3">
      <c r="A103" t="s">
        <v>9203</v>
      </c>
      <c r="B103" t="s">
        <v>9341</v>
      </c>
      <c r="C103" s="20" t="s">
        <v>9335</v>
      </c>
      <c r="G103" s="17" t="s">
        <v>32</v>
      </c>
    </row>
    <row r="104" spans="1:7" ht="43.2" x14ac:dyDescent="0.3">
      <c r="A104" t="s">
        <v>9203</v>
      </c>
      <c r="B104" t="s">
        <v>9342</v>
      </c>
      <c r="C104" s="20" t="s">
        <v>9343</v>
      </c>
      <c r="G104" s="17" t="s">
        <v>32</v>
      </c>
    </row>
    <row r="105" spans="1:7" ht="43.2" x14ac:dyDescent="0.3">
      <c r="A105" t="s">
        <v>9203</v>
      </c>
      <c r="B105" t="s">
        <v>9342</v>
      </c>
      <c r="C105" s="20" t="s">
        <v>9343</v>
      </c>
      <c r="G105" s="17" t="s">
        <v>32</v>
      </c>
    </row>
    <row r="106" spans="1:7" ht="72" x14ac:dyDescent="0.3">
      <c r="A106" t="s">
        <v>9203</v>
      </c>
      <c r="B106" t="s">
        <v>9344</v>
      </c>
      <c r="C106" s="20" t="s">
        <v>9345</v>
      </c>
      <c r="G106" s="17" t="s">
        <v>32</v>
      </c>
    </row>
    <row r="107" spans="1:7" ht="72" x14ac:dyDescent="0.3">
      <c r="A107" t="s">
        <v>9203</v>
      </c>
      <c r="B107" t="s">
        <v>9344</v>
      </c>
      <c r="C107" s="20" t="s">
        <v>9345</v>
      </c>
      <c r="G107" s="17" t="s">
        <v>32</v>
      </c>
    </row>
    <row r="108" spans="1:7" ht="28.8" x14ac:dyDescent="0.3">
      <c r="A108" t="s">
        <v>9203</v>
      </c>
      <c r="B108" t="s">
        <v>9346</v>
      </c>
      <c r="C108" s="20" t="s">
        <v>9347</v>
      </c>
      <c r="G108" s="17" t="s">
        <v>32</v>
      </c>
    </row>
    <row r="109" spans="1:7" ht="28.8" x14ac:dyDescent="0.3">
      <c r="A109" t="s">
        <v>9203</v>
      </c>
      <c r="B109" t="s">
        <v>9346</v>
      </c>
      <c r="C109" s="20" t="s">
        <v>9347</v>
      </c>
      <c r="G109" s="17" t="s">
        <v>32</v>
      </c>
    </row>
    <row r="110" spans="1:7" ht="100.8" x14ac:dyDescent="0.3">
      <c r="A110" t="s">
        <v>9203</v>
      </c>
      <c r="B110" t="s">
        <v>9348</v>
      </c>
      <c r="C110" s="20" t="s">
        <v>9349</v>
      </c>
      <c r="G110" s="17" t="s">
        <v>32</v>
      </c>
    </row>
    <row r="111" spans="1:7" ht="100.8" x14ac:dyDescent="0.3">
      <c r="A111" t="s">
        <v>9203</v>
      </c>
      <c r="B111" t="s">
        <v>9348</v>
      </c>
      <c r="C111" s="20" t="s">
        <v>9349</v>
      </c>
      <c r="G111" s="17" t="s">
        <v>32</v>
      </c>
    </row>
    <row r="112" spans="1:7" ht="28.8" x14ac:dyDescent="0.3">
      <c r="A112" t="s">
        <v>9203</v>
      </c>
      <c r="B112" t="s">
        <v>9350</v>
      </c>
      <c r="C112" s="20" t="s">
        <v>9351</v>
      </c>
      <c r="G112" s="17" t="s">
        <v>32</v>
      </c>
    </row>
    <row r="113" spans="1:7" ht="28.8" x14ac:dyDescent="0.3">
      <c r="A113" t="s">
        <v>9203</v>
      </c>
      <c r="B113" t="s">
        <v>9350</v>
      </c>
      <c r="C113" s="20" t="s">
        <v>9351</v>
      </c>
      <c r="G113" s="17" t="s">
        <v>32</v>
      </c>
    </row>
    <row r="114" spans="1:7" ht="28.8" x14ac:dyDescent="0.3">
      <c r="A114" t="s">
        <v>9203</v>
      </c>
      <c r="B114" t="s">
        <v>9352</v>
      </c>
      <c r="C114" s="20" t="s">
        <v>9353</v>
      </c>
      <c r="G114" s="17" t="s">
        <v>32</v>
      </c>
    </row>
    <row r="115" spans="1:7" ht="28.8" x14ac:dyDescent="0.3">
      <c r="A115" t="s">
        <v>9203</v>
      </c>
      <c r="B115" t="s">
        <v>9352</v>
      </c>
      <c r="C115" s="20" t="s">
        <v>9353</v>
      </c>
      <c r="G115" s="17" t="s">
        <v>32</v>
      </c>
    </row>
    <row r="116" spans="1:7" ht="57.6" x14ac:dyDescent="0.3">
      <c r="A116" t="s">
        <v>9203</v>
      </c>
      <c r="B116" t="s">
        <v>9354</v>
      </c>
      <c r="C116" s="20" t="s">
        <v>12343</v>
      </c>
      <c r="G116" s="17" t="s">
        <v>32</v>
      </c>
    </row>
    <row r="117" spans="1:7" ht="28.8" x14ac:dyDescent="0.3">
      <c r="A117" t="s">
        <v>9203</v>
      </c>
      <c r="B117" t="s">
        <v>9355</v>
      </c>
      <c r="C117" s="20" t="s">
        <v>2375</v>
      </c>
      <c r="G117" s="17" t="s">
        <v>32</v>
      </c>
    </row>
    <row r="118" spans="1:7" ht="28.8" x14ac:dyDescent="0.3">
      <c r="A118" t="s">
        <v>9203</v>
      </c>
      <c r="B118" t="s">
        <v>9356</v>
      </c>
      <c r="C118" s="20" t="s">
        <v>9220</v>
      </c>
      <c r="G118" s="17" t="s">
        <v>32</v>
      </c>
    </row>
    <row r="119" spans="1:7" ht="43.2" x14ac:dyDescent="0.3">
      <c r="A119" t="s">
        <v>9203</v>
      </c>
      <c r="B119" t="s">
        <v>9357</v>
      </c>
      <c r="C119" s="20" t="s">
        <v>9358</v>
      </c>
      <c r="G119" s="17" t="s">
        <v>32</v>
      </c>
    </row>
    <row r="120" spans="1:7" ht="28.8" x14ac:dyDescent="0.3">
      <c r="A120" t="s">
        <v>9203</v>
      </c>
      <c r="B120" t="s">
        <v>9359</v>
      </c>
      <c r="C120" s="20" t="s">
        <v>9360</v>
      </c>
      <c r="G120" s="17" t="s">
        <v>32</v>
      </c>
    </row>
    <row r="121" spans="1:7" x14ac:dyDescent="0.3">
      <c r="A121" t="s">
        <v>9203</v>
      </c>
      <c r="B121" t="s">
        <v>9361</v>
      </c>
      <c r="C121" s="20" t="s">
        <v>9362</v>
      </c>
      <c r="G121" s="17" t="s">
        <v>32</v>
      </c>
    </row>
    <row r="122" spans="1:7" ht="28.8" x14ac:dyDescent="0.3">
      <c r="A122" t="s">
        <v>9203</v>
      </c>
      <c r="B122" t="s">
        <v>9363</v>
      </c>
      <c r="C122" s="20" t="s">
        <v>2375</v>
      </c>
      <c r="G122" s="17" t="s">
        <v>32</v>
      </c>
    </row>
    <row r="123" spans="1:7" ht="28.8" x14ac:dyDescent="0.3">
      <c r="A123" t="s">
        <v>9203</v>
      </c>
      <c r="B123" t="s">
        <v>9364</v>
      </c>
      <c r="C123" s="20" t="s">
        <v>9220</v>
      </c>
      <c r="G123" s="17" t="s">
        <v>32</v>
      </c>
    </row>
    <row r="124" spans="1:7" ht="28.8" x14ac:dyDescent="0.3">
      <c r="A124" t="s">
        <v>9203</v>
      </c>
      <c r="B124" t="s">
        <v>9365</v>
      </c>
      <c r="C124" s="20" t="s">
        <v>9366</v>
      </c>
      <c r="G124" s="17" t="s">
        <v>32</v>
      </c>
    </row>
    <row r="125" spans="1:7" x14ac:dyDescent="0.3">
      <c r="A125" t="s">
        <v>9203</v>
      </c>
      <c r="B125" t="s">
        <v>9367</v>
      </c>
      <c r="C125" s="20" t="s">
        <v>9368</v>
      </c>
      <c r="G125" s="17" t="s">
        <v>32</v>
      </c>
    </row>
    <row r="126" spans="1:7" ht="28.8" x14ac:dyDescent="0.3">
      <c r="A126" t="s">
        <v>9203</v>
      </c>
      <c r="B126" t="s">
        <v>9369</v>
      </c>
      <c r="C126" s="20" t="s">
        <v>9370</v>
      </c>
      <c r="G126" s="17" t="s">
        <v>32</v>
      </c>
    </row>
    <row r="127" spans="1:7" x14ac:dyDescent="0.3">
      <c r="A127" t="s">
        <v>9203</v>
      </c>
      <c r="B127" t="s">
        <v>9371</v>
      </c>
      <c r="C127" s="20" t="s">
        <v>9372</v>
      </c>
      <c r="G127" s="17" t="s">
        <v>32</v>
      </c>
    </row>
    <row r="128" spans="1:7" ht="28.8" x14ac:dyDescent="0.3">
      <c r="A128" t="s">
        <v>9203</v>
      </c>
      <c r="B128" t="s">
        <v>9373</v>
      </c>
      <c r="C128" s="20" t="s">
        <v>9374</v>
      </c>
      <c r="G128" s="17" t="s">
        <v>32</v>
      </c>
    </row>
    <row r="129" spans="1:7" x14ac:dyDescent="0.3">
      <c r="A129" t="s">
        <v>9203</v>
      </c>
      <c r="B129" t="s">
        <v>9375</v>
      </c>
      <c r="C129" s="20" t="s">
        <v>9276</v>
      </c>
      <c r="G129" s="17" t="s">
        <v>32</v>
      </c>
    </row>
    <row r="130" spans="1:7" x14ac:dyDescent="0.3">
      <c r="A130" t="s">
        <v>9203</v>
      </c>
      <c r="B130" t="s">
        <v>9376</v>
      </c>
      <c r="C130" s="20" t="s">
        <v>9278</v>
      </c>
      <c r="G130" s="17" t="s">
        <v>32</v>
      </c>
    </row>
    <row r="131" spans="1:7" ht="43.2" x14ac:dyDescent="0.3">
      <c r="A131" t="s">
        <v>9203</v>
      </c>
      <c r="B131" t="s">
        <v>9377</v>
      </c>
      <c r="C131" s="20" t="s">
        <v>12340</v>
      </c>
      <c r="G131" s="17" t="s">
        <v>32</v>
      </c>
    </row>
    <row r="132" spans="1:7" ht="43.2" x14ac:dyDescent="0.3">
      <c r="A132" t="s">
        <v>9203</v>
      </c>
      <c r="B132" t="s">
        <v>9378</v>
      </c>
      <c r="C132" s="20" t="s">
        <v>12341</v>
      </c>
      <c r="G132" s="17" t="s">
        <v>32</v>
      </c>
    </row>
    <row r="133" spans="1:7" ht="28.8" x14ac:dyDescent="0.3">
      <c r="A133" t="s">
        <v>9203</v>
      </c>
      <c r="B133" t="s">
        <v>9379</v>
      </c>
      <c r="C133" s="20" t="s">
        <v>9380</v>
      </c>
      <c r="G133" s="17" t="s">
        <v>32</v>
      </c>
    </row>
    <row r="134" spans="1:7" ht="28.8" x14ac:dyDescent="0.3">
      <c r="A134" t="s">
        <v>9203</v>
      </c>
      <c r="B134" t="s">
        <v>9381</v>
      </c>
      <c r="C134" s="20" t="s">
        <v>9382</v>
      </c>
      <c r="G134" s="17" t="s">
        <v>32</v>
      </c>
    </row>
    <row r="135" spans="1:7" ht="28.8" x14ac:dyDescent="0.3">
      <c r="A135" t="s">
        <v>9203</v>
      </c>
      <c r="B135" t="s">
        <v>9383</v>
      </c>
      <c r="C135" s="20" t="s">
        <v>9384</v>
      </c>
      <c r="G135" s="17" t="s">
        <v>32</v>
      </c>
    </row>
    <row r="136" spans="1:7" ht="28.8" x14ac:dyDescent="0.3">
      <c r="A136" t="s">
        <v>9203</v>
      </c>
      <c r="B136" t="s">
        <v>9385</v>
      </c>
      <c r="C136" s="20" t="s">
        <v>9386</v>
      </c>
      <c r="G136" s="17" t="s">
        <v>32</v>
      </c>
    </row>
    <row r="137" spans="1:7" ht="57.6" x14ac:dyDescent="0.3">
      <c r="A137" t="s">
        <v>9203</v>
      </c>
      <c r="B137" t="s">
        <v>9387</v>
      </c>
      <c r="C137" s="20" t="s">
        <v>9388</v>
      </c>
      <c r="G137" s="17" t="s">
        <v>32</v>
      </c>
    </row>
    <row r="138" spans="1:7" x14ac:dyDescent="0.3">
      <c r="A138" t="s">
        <v>9203</v>
      </c>
      <c r="B138" t="s">
        <v>9389</v>
      </c>
      <c r="C138" s="20" t="s">
        <v>9390</v>
      </c>
      <c r="G138" s="17" t="s">
        <v>32</v>
      </c>
    </row>
    <row r="139" spans="1:7" ht="28.8" x14ac:dyDescent="0.3">
      <c r="A139" t="s">
        <v>9203</v>
      </c>
      <c r="B139" t="s">
        <v>9391</v>
      </c>
      <c r="C139" s="20" t="s">
        <v>9392</v>
      </c>
      <c r="G139" s="17" t="s">
        <v>32</v>
      </c>
    </row>
    <row r="140" spans="1:7" ht="28.8" x14ac:dyDescent="0.3">
      <c r="A140" t="s">
        <v>9203</v>
      </c>
      <c r="B140" t="s">
        <v>9393</v>
      </c>
      <c r="C140" s="20" t="s">
        <v>9394</v>
      </c>
      <c r="G140" s="17" t="s">
        <v>32</v>
      </c>
    </row>
    <row r="141" spans="1:7" ht="43.2" x14ac:dyDescent="0.3">
      <c r="A141" t="s">
        <v>9203</v>
      </c>
      <c r="B141" t="s">
        <v>9395</v>
      </c>
      <c r="C141" s="20" t="s">
        <v>9396</v>
      </c>
      <c r="G141" s="17" t="s">
        <v>32</v>
      </c>
    </row>
    <row r="142" spans="1:7" ht="86.4" x14ac:dyDescent="0.3">
      <c r="A142" t="s">
        <v>9203</v>
      </c>
      <c r="B142" t="s">
        <v>9397</v>
      </c>
      <c r="C142" s="20" t="s">
        <v>9398</v>
      </c>
      <c r="G142" s="17" t="s">
        <v>32</v>
      </c>
    </row>
    <row r="143" spans="1:7" ht="43.2" x14ac:dyDescent="0.3">
      <c r="A143" t="s">
        <v>9203</v>
      </c>
      <c r="B143" t="s">
        <v>9399</v>
      </c>
      <c r="C143" s="20" t="s">
        <v>9400</v>
      </c>
      <c r="G143" s="17" t="s">
        <v>32</v>
      </c>
    </row>
    <row r="144" spans="1:7" ht="43.2" x14ac:dyDescent="0.3">
      <c r="A144" t="s">
        <v>9203</v>
      </c>
      <c r="B144" t="s">
        <v>9401</v>
      </c>
      <c r="C144" s="20" t="s">
        <v>12340</v>
      </c>
      <c r="G144" s="17" t="s">
        <v>32</v>
      </c>
    </row>
    <row r="145" spans="1:7" ht="43.2" x14ac:dyDescent="0.3">
      <c r="A145" t="s">
        <v>9203</v>
      </c>
      <c r="B145" t="s">
        <v>9402</v>
      </c>
      <c r="C145" s="20" t="s">
        <v>12344</v>
      </c>
      <c r="G145" s="17" t="s">
        <v>32</v>
      </c>
    </row>
    <row r="146" spans="1:7" ht="43.2" x14ac:dyDescent="0.3">
      <c r="A146" t="s">
        <v>9203</v>
      </c>
      <c r="B146" t="s">
        <v>9403</v>
      </c>
      <c r="C146" s="20" t="s">
        <v>12341</v>
      </c>
      <c r="G146" s="17" t="s">
        <v>32</v>
      </c>
    </row>
    <row r="147" spans="1:7" ht="28.8" x14ac:dyDescent="0.3">
      <c r="A147" t="s">
        <v>9203</v>
      </c>
      <c r="B147" t="s">
        <v>9404</v>
      </c>
      <c r="C147" s="20" t="s">
        <v>9405</v>
      </c>
      <c r="G147" s="17" t="s">
        <v>32</v>
      </c>
    </row>
    <row r="148" spans="1:7" ht="28.8" x14ac:dyDescent="0.3">
      <c r="A148" t="s">
        <v>9203</v>
      </c>
      <c r="B148" t="s">
        <v>9406</v>
      </c>
      <c r="C148" s="20" t="s">
        <v>12345</v>
      </c>
      <c r="G148" s="17" t="s">
        <v>32</v>
      </c>
    </row>
    <row r="149" spans="1:7" ht="28.8" x14ac:dyDescent="0.3">
      <c r="A149" t="s">
        <v>9203</v>
      </c>
      <c r="B149" t="s">
        <v>9407</v>
      </c>
      <c r="C149" s="20" t="s">
        <v>9408</v>
      </c>
      <c r="G149" s="17" t="s">
        <v>32</v>
      </c>
    </row>
    <row r="150" spans="1:7" x14ac:dyDescent="0.3">
      <c r="A150" t="s">
        <v>9203</v>
      </c>
      <c r="B150" t="s">
        <v>9409</v>
      </c>
      <c r="C150" s="20" t="s">
        <v>9410</v>
      </c>
      <c r="G150" s="17" t="s">
        <v>32</v>
      </c>
    </row>
    <row r="151" spans="1:7" ht="28.8" x14ac:dyDescent="0.3">
      <c r="A151" t="s">
        <v>9203</v>
      </c>
      <c r="B151" t="s">
        <v>9411</v>
      </c>
      <c r="C151" s="20" t="s">
        <v>9412</v>
      </c>
      <c r="G151" s="17" t="s">
        <v>32</v>
      </c>
    </row>
    <row r="152" spans="1:7" ht="28.8" x14ac:dyDescent="0.3">
      <c r="A152" t="s">
        <v>9203</v>
      </c>
      <c r="B152" t="s">
        <v>9413</v>
      </c>
      <c r="C152" s="20" t="s">
        <v>9414</v>
      </c>
      <c r="G152" s="17" t="s">
        <v>32</v>
      </c>
    </row>
    <row r="153" spans="1:7" ht="28.8" x14ac:dyDescent="0.3">
      <c r="A153" t="s">
        <v>9203</v>
      </c>
      <c r="B153" t="s">
        <v>9415</v>
      </c>
      <c r="C153" s="20" t="s">
        <v>9416</v>
      </c>
      <c r="G153" s="17" t="s">
        <v>32</v>
      </c>
    </row>
    <row r="154" spans="1:7" x14ac:dyDescent="0.3">
      <c r="A154" t="s">
        <v>9203</v>
      </c>
      <c r="B154" t="s">
        <v>9417</v>
      </c>
      <c r="C154" s="20" t="s">
        <v>9418</v>
      </c>
      <c r="G154" s="17" t="s">
        <v>32</v>
      </c>
    </row>
    <row r="155" spans="1:7" ht="28.8" x14ac:dyDescent="0.3">
      <c r="A155" t="s">
        <v>9203</v>
      </c>
      <c r="B155" t="s">
        <v>9419</v>
      </c>
      <c r="C155" s="20" t="s">
        <v>9420</v>
      </c>
      <c r="G155" s="17" t="s">
        <v>32</v>
      </c>
    </row>
    <row r="156" spans="1:7" ht="43.2" x14ac:dyDescent="0.3">
      <c r="A156" t="s">
        <v>9203</v>
      </c>
      <c r="B156" t="s">
        <v>9421</v>
      </c>
      <c r="C156" s="20" t="s">
        <v>9422</v>
      </c>
      <c r="G156" s="17" t="s">
        <v>32</v>
      </c>
    </row>
    <row r="157" spans="1:7" ht="28.8" x14ac:dyDescent="0.3">
      <c r="A157" t="s">
        <v>9203</v>
      </c>
      <c r="B157" t="s">
        <v>9423</v>
      </c>
      <c r="C157" s="20" t="s">
        <v>9424</v>
      </c>
      <c r="G157" s="17" t="s">
        <v>32</v>
      </c>
    </row>
    <row r="158" spans="1:7" ht="28.8" x14ac:dyDescent="0.3">
      <c r="A158" t="s">
        <v>9203</v>
      </c>
      <c r="B158" t="s">
        <v>9425</v>
      </c>
      <c r="C158" s="20" t="s">
        <v>9426</v>
      </c>
      <c r="G158" s="17" t="s">
        <v>32</v>
      </c>
    </row>
    <row r="159" spans="1:7" ht="28.8" x14ac:dyDescent="0.3">
      <c r="A159" t="s">
        <v>9203</v>
      </c>
      <c r="B159" t="s">
        <v>9427</v>
      </c>
      <c r="C159" s="20" t="s">
        <v>9428</v>
      </c>
      <c r="G159" s="17" t="s">
        <v>32</v>
      </c>
    </row>
    <row r="160" spans="1:7" x14ac:dyDescent="0.3">
      <c r="A160" t="s">
        <v>9203</v>
      </c>
      <c r="B160" t="s">
        <v>9429</v>
      </c>
      <c r="C160" s="20" t="s">
        <v>9276</v>
      </c>
      <c r="G160" s="17" t="s">
        <v>32</v>
      </c>
    </row>
    <row r="161" spans="1:7" x14ac:dyDescent="0.3">
      <c r="A161" t="s">
        <v>9203</v>
      </c>
      <c r="B161" t="s">
        <v>9430</v>
      </c>
      <c r="C161" s="20" t="s">
        <v>9278</v>
      </c>
      <c r="G161" s="17" t="s">
        <v>32</v>
      </c>
    </row>
    <row r="162" spans="1:7" ht="43.2" x14ac:dyDescent="0.3">
      <c r="A162" t="s">
        <v>9203</v>
      </c>
      <c r="B162" t="s">
        <v>9431</v>
      </c>
      <c r="C162" s="20" t="s">
        <v>12340</v>
      </c>
      <c r="G162" s="17" t="s">
        <v>32</v>
      </c>
    </row>
    <row r="163" spans="1:7" ht="43.2" x14ac:dyDescent="0.3">
      <c r="A163" t="s">
        <v>9203</v>
      </c>
      <c r="B163" t="s">
        <v>9432</v>
      </c>
      <c r="C163" s="20" t="s">
        <v>12341</v>
      </c>
      <c r="G163" s="17" t="s">
        <v>32</v>
      </c>
    </row>
    <row r="164" spans="1:7" ht="57.6" x14ac:dyDescent="0.3">
      <c r="A164" t="s">
        <v>9203</v>
      </c>
      <c r="B164" t="s">
        <v>9433</v>
      </c>
      <c r="C164" s="20" t="s">
        <v>9434</v>
      </c>
      <c r="G164" s="17" t="s">
        <v>32</v>
      </c>
    </row>
    <row r="165" spans="1:7" ht="43.2" x14ac:dyDescent="0.3">
      <c r="A165" t="s">
        <v>9203</v>
      </c>
      <c r="B165" t="s">
        <v>9435</v>
      </c>
      <c r="C165" s="20" t="s">
        <v>12340</v>
      </c>
      <c r="G165" s="17" t="s">
        <v>32</v>
      </c>
    </row>
    <row r="166" spans="1:7" ht="43.2" x14ac:dyDescent="0.3">
      <c r="A166" t="s">
        <v>9203</v>
      </c>
      <c r="B166" t="s">
        <v>9436</v>
      </c>
      <c r="C166" s="20" t="s">
        <v>12344</v>
      </c>
      <c r="G166" s="17" t="s">
        <v>32</v>
      </c>
    </row>
    <row r="167" spans="1:7" ht="43.2" x14ac:dyDescent="0.3">
      <c r="A167" t="s">
        <v>9203</v>
      </c>
      <c r="B167" t="s">
        <v>9437</v>
      </c>
      <c r="C167" s="20" t="s">
        <v>12341</v>
      </c>
      <c r="G167" s="17" t="s">
        <v>32</v>
      </c>
    </row>
    <row r="168" spans="1:7" ht="28.8" x14ac:dyDescent="0.3">
      <c r="A168" t="s">
        <v>9203</v>
      </c>
      <c r="B168" t="s">
        <v>9438</v>
      </c>
      <c r="C168" s="20" t="s">
        <v>12345</v>
      </c>
      <c r="G168" s="17" t="s">
        <v>32</v>
      </c>
    </row>
    <row r="169" spans="1:7" ht="28.8" x14ac:dyDescent="0.3">
      <c r="A169" t="s">
        <v>9203</v>
      </c>
      <c r="B169" t="s">
        <v>9439</v>
      </c>
      <c r="C169" s="20" t="s">
        <v>9408</v>
      </c>
      <c r="G169" s="17" t="s">
        <v>32</v>
      </c>
    </row>
    <row r="170" spans="1:7" x14ac:dyDescent="0.3">
      <c r="A170" t="s">
        <v>9203</v>
      </c>
      <c r="B170" t="s">
        <v>9440</v>
      </c>
      <c r="C170" s="20" t="s">
        <v>9410</v>
      </c>
      <c r="G170" s="17" t="s">
        <v>32</v>
      </c>
    </row>
    <row r="171" spans="1:7" ht="28.8" x14ac:dyDescent="0.3">
      <c r="A171" t="s">
        <v>9203</v>
      </c>
      <c r="B171" t="s">
        <v>9441</v>
      </c>
      <c r="C171" s="20" t="s">
        <v>9412</v>
      </c>
      <c r="G171" s="17" t="s">
        <v>32</v>
      </c>
    </row>
    <row r="172" spans="1:7" ht="28.8" x14ac:dyDescent="0.3">
      <c r="A172" t="s">
        <v>9203</v>
      </c>
      <c r="B172" t="s">
        <v>9442</v>
      </c>
      <c r="C172" s="20" t="s">
        <v>9414</v>
      </c>
      <c r="G172" s="17" t="s">
        <v>32</v>
      </c>
    </row>
    <row r="173" spans="1:7" ht="28.8" x14ac:dyDescent="0.3">
      <c r="A173" t="s">
        <v>9203</v>
      </c>
      <c r="B173" t="s">
        <v>9443</v>
      </c>
      <c r="C173" s="20" t="s">
        <v>12345</v>
      </c>
      <c r="G173" s="17" t="s">
        <v>32</v>
      </c>
    </row>
    <row r="174" spans="1:7" ht="28.8" x14ac:dyDescent="0.3">
      <c r="A174" t="s">
        <v>9203</v>
      </c>
      <c r="B174" t="s">
        <v>9444</v>
      </c>
      <c r="C174" s="20" t="s">
        <v>9408</v>
      </c>
      <c r="G174" s="17" t="s">
        <v>32</v>
      </c>
    </row>
    <row r="175" spans="1:7" x14ac:dyDescent="0.3">
      <c r="A175" t="s">
        <v>9203</v>
      </c>
      <c r="B175" t="s">
        <v>9445</v>
      </c>
      <c r="C175" s="20" t="s">
        <v>9410</v>
      </c>
      <c r="G175" s="17" t="s">
        <v>32</v>
      </c>
    </row>
    <row r="176" spans="1:7" ht="28.8" x14ac:dyDescent="0.3">
      <c r="A176" t="s">
        <v>9203</v>
      </c>
      <c r="B176" t="s">
        <v>9446</v>
      </c>
      <c r="C176" s="20" t="s">
        <v>9412</v>
      </c>
      <c r="G176" s="17" t="s">
        <v>32</v>
      </c>
    </row>
    <row r="177" spans="1:7" ht="28.8" x14ac:dyDescent="0.3">
      <c r="A177" t="s">
        <v>9203</v>
      </c>
      <c r="B177" t="s">
        <v>9447</v>
      </c>
      <c r="C177" s="20" t="s">
        <v>9414</v>
      </c>
      <c r="G177" s="17" t="s">
        <v>32</v>
      </c>
    </row>
    <row r="178" spans="1:7" ht="28.8" x14ac:dyDescent="0.3">
      <c r="A178" t="s">
        <v>9203</v>
      </c>
      <c r="B178" t="s">
        <v>9448</v>
      </c>
      <c r="C178" s="20" t="s">
        <v>9449</v>
      </c>
      <c r="G178" s="17" t="s">
        <v>32</v>
      </c>
    </row>
    <row r="179" spans="1:7" x14ac:dyDescent="0.3">
      <c r="A179" t="s">
        <v>9203</v>
      </c>
      <c r="B179" t="s">
        <v>9450</v>
      </c>
      <c r="C179" s="20" t="s">
        <v>9451</v>
      </c>
      <c r="G179" s="17" t="s">
        <v>32</v>
      </c>
    </row>
    <row r="180" spans="1:7" ht="28.8" x14ac:dyDescent="0.3">
      <c r="A180" t="s">
        <v>9203</v>
      </c>
      <c r="B180" t="s">
        <v>9452</v>
      </c>
      <c r="C180" s="20" t="s">
        <v>9405</v>
      </c>
      <c r="G180" s="17" t="s">
        <v>32</v>
      </c>
    </row>
    <row r="181" spans="1:7" ht="28.8" x14ac:dyDescent="0.3">
      <c r="A181" t="s">
        <v>9203</v>
      </c>
      <c r="B181" t="s">
        <v>9453</v>
      </c>
      <c r="C181" s="20" t="s">
        <v>12345</v>
      </c>
      <c r="G181" s="17" t="s">
        <v>32</v>
      </c>
    </row>
    <row r="182" spans="1:7" ht="28.8" x14ac:dyDescent="0.3">
      <c r="A182" t="s">
        <v>9203</v>
      </c>
      <c r="B182" t="s">
        <v>9454</v>
      </c>
      <c r="C182" s="20" t="s">
        <v>9408</v>
      </c>
      <c r="G182" s="17" t="s">
        <v>32</v>
      </c>
    </row>
    <row r="183" spans="1:7" x14ac:dyDescent="0.3">
      <c r="A183" t="s">
        <v>9203</v>
      </c>
      <c r="B183" t="s">
        <v>9455</v>
      </c>
      <c r="C183" s="20" t="s">
        <v>9410</v>
      </c>
      <c r="G183" s="17" t="s">
        <v>32</v>
      </c>
    </row>
    <row r="184" spans="1:7" ht="28.8" x14ac:dyDescent="0.3">
      <c r="A184" t="s">
        <v>9203</v>
      </c>
      <c r="B184" t="s">
        <v>9456</v>
      </c>
      <c r="C184" s="20" t="s">
        <v>9412</v>
      </c>
      <c r="G184" s="17" t="s">
        <v>32</v>
      </c>
    </row>
    <row r="185" spans="1:7" ht="28.8" x14ac:dyDescent="0.3">
      <c r="A185" t="s">
        <v>9203</v>
      </c>
      <c r="B185" t="s">
        <v>9457</v>
      </c>
      <c r="C185" s="20" t="s">
        <v>9414</v>
      </c>
      <c r="G185" s="17" t="s">
        <v>32</v>
      </c>
    </row>
    <row r="186" spans="1:7" ht="28.8" x14ac:dyDescent="0.3">
      <c r="A186" t="s">
        <v>9203</v>
      </c>
      <c r="B186" t="s">
        <v>9458</v>
      </c>
      <c r="C186" s="20" t="s">
        <v>9459</v>
      </c>
      <c r="G186" s="17" t="s">
        <v>32</v>
      </c>
    </row>
    <row r="187" spans="1:7" ht="43.2" x14ac:dyDescent="0.3">
      <c r="A187" t="s">
        <v>9203</v>
      </c>
      <c r="B187" t="s">
        <v>9460</v>
      </c>
      <c r="C187" s="20" t="s">
        <v>12346</v>
      </c>
      <c r="G187" s="17" t="s">
        <v>32</v>
      </c>
    </row>
    <row r="188" spans="1:7" ht="28.8" x14ac:dyDescent="0.3">
      <c r="A188" t="s">
        <v>9203</v>
      </c>
      <c r="B188" t="s">
        <v>9461</v>
      </c>
      <c r="C188" s="20" t="s">
        <v>9462</v>
      </c>
      <c r="G188" s="17" t="s">
        <v>32</v>
      </c>
    </row>
    <row r="189" spans="1:7" ht="57.6" x14ac:dyDescent="0.3">
      <c r="A189" t="s">
        <v>9203</v>
      </c>
      <c r="B189" t="s">
        <v>9463</v>
      </c>
      <c r="C189" s="20" t="s">
        <v>9464</v>
      </c>
      <c r="G189" s="17" t="s">
        <v>32</v>
      </c>
    </row>
    <row r="190" spans="1:7" ht="43.2" x14ac:dyDescent="0.3">
      <c r="A190" t="s">
        <v>9203</v>
      </c>
      <c r="B190" t="s">
        <v>9465</v>
      </c>
      <c r="C190" s="20" t="s">
        <v>9466</v>
      </c>
      <c r="G190" s="17" t="s">
        <v>32</v>
      </c>
    </row>
    <row r="191" spans="1:7" ht="28.8" x14ac:dyDescent="0.3">
      <c r="A191" t="s">
        <v>9203</v>
      </c>
      <c r="B191" t="s">
        <v>9467</v>
      </c>
      <c r="C191" s="20" t="s">
        <v>9468</v>
      </c>
      <c r="G191" s="17" t="s">
        <v>32</v>
      </c>
    </row>
    <row r="192" spans="1:7" ht="28.8" x14ac:dyDescent="0.3">
      <c r="A192" t="s">
        <v>9203</v>
      </c>
      <c r="B192" t="s">
        <v>9469</v>
      </c>
      <c r="C192" s="20" t="s">
        <v>9470</v>
      </c>
      <c r="G192" s="17" t="s">
        <v>32</v>
      </c>
    </row>
    <row r="193" spans="1:7" ht="28.8" x14ac:dyDescent="0.3">
      <c r="A193" t="s">
        <v>9203</v>
      </c>
      <c r="B193" t="s">
        <v>9471</v>
      </c>
      <c r="C193" s="20" t="s">
        <v>9472</v>
      </c>
      <c r="G193" s="17" t="s">
        <v>32</v>
      </c>
    </row>
    <row r="194" spans="1:7" ht="57.6" x14ac:dyDescent="0.3">
      <c r="A194" t="s">
        <v>9203</v>
      </c>
      <c r="B194" t="s">
        <v>9473</v>
      </c>
      <c r="C194" s="20" t="s">
        <v>9474</v>
      </c>
      <c r="G194" s="17" t="s">
        <v>32</v>
      </c>
    </row>
    <row r="195" spans="1:7" x14ac:dyDescent="0.3">
      <c r="A195" t="s">
        <v>9203</v>
      </c>
      <c r="B195" t="s">
        <v>9475</v>
      </c>
      <c r="C195" s="20" t="s">
        <v>9276</v>
      </c>
      <c r="G195" s="17" t="s">
        <v>32</v>
      </c>
    </row>
    <row r="196" spans="1:7" x14ac:dyDescent="0.3">
      <c r="A196" t="s">
        <v>9203</v>
      </c>
      <c r="B196" t="s">
        <v>9476</v>
      </c>
      <c r="C196" s="20" t="s">
        <v>9278</v>
      </c>
      <c r="G196" s="17" t="s">
        <v>32</v>
      </c>
    </row>
    <row r="197" spans="1:7" ht="43.2" x14ac:dyDescent="0.3">
      <c r="A197" t="s">
        <v>9203</v>
      </c>
      <c r="B197" t="s">
        <v>9477</v>
      </c>
      <c r="C197" s="20" t="s">
        <v>12340</v>
      </c>
      <c r="G197" s="17" t="s">
        <v>32</v>
      </c>
    </row>
    <row r="198" spans="1:7" ht="43.2" x14ac:dyDescent="0.3">
      <c r="A198" t="s">
        <v>9203</v>
      </c>
      <c r="B198" t="s">
        <v>9478</v>
      </c>
      <c r="C198" s="20" t="s">
        <v>12341</v>
      </c>
      <c r="G198" s="17" t="s">
        <v>32</v>
      </c>
    </row>
    <row r="199" spans="1:7" ht="28.8" x14ac:dyDescent="0.3">
      <c r="A199" t="s">
        <v>9203</v>
      </c>
      <c r="B199" t="s">
        <v>9479</v>
      </c>
      <c r="C199" s="20" t="s">
        <v>9480</v>
      </c>
      <c r="G199" s="17" t="s">
        <v>32</v>
      </c>
    </row>
    <row r="200" spans="1:7" ht="43.2" x14ac:dyDescent="0.3">
      <c r="A200" t="s">
        <v>9203</v>
      </c>
      <c r="B200" t="s">
        <v>9481</v>
      </c>
      <c r="C200" s="20" t="s">
        <v>12340</v>
      </c>
      <c r="G200" s="17" t="s">
        <v>32</v>
      </c>
    </row>
    <row r="201" spans="1:7" ht="43.2" x14ac:dyDescent="0.3">
      <c r="A201" t="s">
        <v>9203</v>
      </c>
      <c r="B201" t="s">
        <v>9482</v>
      </c>
      <c r="C201" s="20" t="s">
        <v>12344</v>
      </c>
      <c r="G201" s="17" t="s">
        <v>32</v>
      </c>
    </row>
    <row r="202" spans="1:7" ht="43.2" x14ac:dyDescent="0.3">
      <c r="A202" t="s">
        <v>9203</v>
      </c>
      <c r="B202" t="s">
        <v>9483</v>
      </c>
      <c r="C202" s="20" t="s">
        <v>12341</v>
      </c>
      <c r="G202" s="17" t="s">
        <v>32</v>
      </c>
    </row>
    <row r="203" spans="1:7" ht="28.8" x14ac:dyDescent="0.3">
      <c r="A203" t="s">
        <v>9203</v>
      </c>
      <c r="B203" t="s">
        <v>9484</v>
      </c>
      <c r="C203" s="20" t="s">
        <v>12345</v>
      </c>
      <c r="G203" s="17" t="s">
        <v>32</v>
      </c>
    </row>
    <row r="204" spans="1:7" ht="28.8" x14ac:dyDescent="0.3">
      <c r="A204" t="s">
        <v>9203</v>
      </c>
      <c r="B204" t="s">
        <v>9485</v>
      </c>
      <c r="C204" s="20" t="s">
        <v>9408</v>
      </c>
      <c r="G204" s="17" t="s">
        <v>32</v>
      </c>
    </row>
    <row r="205" spans="1:7" x14ac:dyDescent="0.3">
      <c r="A205" t="s">
        <v>9203</v>
      </c>
      <c r="B205" t="s">
        <v>9486</v>
      </c>
      <c r="C205" s="20" t="s">
        <v>9410</v>
      </c>
      <c r="G205" s="17" t="s">
        <v>32</v>
      </c>
    </row>
    <row r="206" spans="1:7" ht="28.8" x14ac:dyDescent="0.3">
      <c r="A206" t="s">
        <v>9203</v>
      </c>
      <c r="B206" t="s">
        <v>9487</v>
      </c>
      <c r="C206" s="20" t="s">
        <v>9412</v>
      </c>
      <c r="G206" s="17" t="s">
        <v>32</v>
      </c>
    </row>
    <row r="207" spans="1:7" ht="28.8" x14ac:dyDescent="0.3">
      <c r="A207" t="s">
        <v>9203</v>
      </c>
      <c r="B207" t="s">
        <v>9488</v>
      </c>
      <c r="C207" s="20" t="s">
        <v>9414</v>
      </c>
      <c r="G207" s="17" t="s">
        <v>32</v>
      </c>
    </row>
    <row r="208" spans="1:7" ht="28.8" x14ac:dyDescent="0.3">
      <c r="A208" t="s">
        <v>9203</v>
      </c>
      <c r="B208" t="s">
        <v>9489</v>
      </c>
      <c r="C208" s="20" t="s">
        <v>12345</v>
      </c>
      <c r="G208" s="17" t="s">
        <v>32</v>
      </c>
    </row>
    <row r="209" spans="1:7" ht="28.8" x14ac:dyDescent="0.3">
      <c r="A209" t="s">
        <v>9203</v>
      </c>
      <c r="B209" t="s">
        <v>9490</v>
      </c>
      <c r="C209" s="20" t="s">
        <v>9408</v>
      </c>
      <c r="G209" s="17" t="s">
        <v>32</v>
      </c>
    </row>
    <row r="210" spans="1:7" x14ac:dyDescent="0.3">
      <c r="A210" t="s">
        <v>9203</v>
      </c>
      <c r="B210" t="s">
        <v>9491</v>
      </c>
      <c r="C210" s="20" t="s">
        <v>9410</v>
      </c>
      <c r="G210" s="17" t="s">
        <v>32</v>
      </c>
    </row>
    <row r="211" spans="1:7" ht="28.8" x14ac:dyDescent="0.3">
      <c r="A211" t="s">
        <v>9203</v>
      </c>
      <c r="B211" t="s">
        <v>9492</v>
      </c>
      <c r="C211" s="20" t="s">
        <v>9412</v>
      </c>
      <c r="G211" s="17" t="s">
        <v>32</v>
      </c>
    </row>
    <row r="212" spans="1:7" ht="28.8" x14ac:dyDescent="0.3">
      <c r="A212" t="s">
        <v>9203</v>
      </c>
      <c r="B212" t="s">
        <v>9493</v>
      </c>
      <c r="C212" s="20" t="s">
        <v>9414</v>
      </c>
      <c r="G212" s="17" t="s">
        <v>32</v>
      </c>
    </row>
    <row r="213" spans="1:7" x14ac:dyDescent="0.3">
      <c r="A213" t="s">
        <v>9203</v>
      </c>
      <c r="B213" t="s">
        <v>9494</v>
      </c>
      <c r="C213" s="20" t="s">
        <v>9495</v>
      </c>
      <c r="G213" s="17" t="s">
        <v>32</v>
      </c>
    </row>
    <row r="214" spans="1:7" ht="43.2" x14ac:dyDescent="0.3">
      <c r="A214" t="s">
        <v>9203</v>
      </c>
      <c r="B214" t="s">
        <v>9496</v>
      </c>
      <c r="C214" s="20" t="s">
        <v>9497</v>
      </c>
      <c r="G214" s="17" t="s">
        <v>32</v>
      </c>
    </row>
    <row r="215" spans="1:7" ht="43.2" x14ac:dyDescent="0.3">
      <c r="A215" t="s">
        <v>9203</v>
      </c>
      <c r="B215" t="s">
        <v>9498</v>
      </c>
      <c r="C215" s="20" t="s">
        <v>9499</v>
      </c>
      <c r="G215" s="17" t="s">
        <v>32</v>
      </c>
    </row>
    <row r="216" spans="1:7" ht="28.8" x14ac:dyDescent="0.3">
      <c r="A216" t="s">
        <v>9203</v>
      </c>
      <c r="B216" t="s">
        <v>9500</v>
      </c>
      <c r="C216" s="20" t="s">
        <v>9501</v>
      </c>
      <c r="G216" s="17" t="s">
        <v>32</v>
      </c>
    </row>
    <row r="217" spans="1:7" ht="28.8" x14ac:dyDescent="0.3">
      <c r="A217" t="s">
        <v>9203</v>
      </c>
      <c r="B217" t="s">
        <v>9502</v>
      </c>
      <c r="C217" s="20" t="s">
        <v>9405</v>
      </c>
      <c r="G217" s="17" t="s">
        <v>32</v>
      </c>
    </row>
    <row r="218" spans="1:7" x14ac:dyDescent="0.3">
      <c r="A218" t="s">
        <v>9203</v>
      </c>
      <c r="B218" t="s">
        <v>9503</v>
      </c>
      <c r="C218" s="20" t="s">
        <v>9504</v>
      </c>
      <c r="G218" s="17" t="s">
        <v>32</v>
      </c>
    </row>
    <row r="219" spans="1:7" ht="28.8" x14ac:dyDescent="0.3">
      <c r="A219" t="s">
        <v>9203</v>
      </c>
      <c r="B219" t="s">
        <v>9505</v>
      </c>
      <c r="C219" s="20" t="s">
        <v>12345</v>
      </c>
      <c r="G219" s="17" t="s">
        <v>32</v>
      </c>
    </row>
    <row r="220" spans="1:7" ht="28.8" x14ac:dyDescent="0.3">
      <c r="A220" t="s">
        <v>9203</v>
      </c>
      <c r="B220" t="s">
        <v>9506</v>
      </c>
      <c r="C220" s="20" t="s">
        <v>9408</v>
      </c>
      <c r="G220" s="17" t="s">
        <v>32</v>
      </c>
    </row>
    <row r="221" spans="1:7" x14ac:dyDescent="0.3">
      <c r="A221" t="s">
        <v>9203</v>
      </c>
      <c r="B221" t="s">
        <v>9507</v>
      </c>
      <c r="C221" s="20" t="s">
        <v>9410</v>
      </c>
      <c r="G221" s="17" t="s">
        <v>32</v>
      </c>
    </row>
    <row r="222" spans="1:7" ht="28.8" x14ac:dyDescent="0.3">
      <c r="A222" t="s">
        <v>9203</v>
      </c>
      <c r="B222" t="s">
        <v>9508</v>
      </c>
      <c r="C222" s="20" t="s">
        <v>9412</v>
      </c>
      <c r="G222" s="17" t="s">
        <v>32</v>
      </c>
    </row>
    <row r="223" spans="1:7" ht="28.8" x14ac:dyDescent="0.3">
      <c r="A223" t="s">
        <v>9203</v>
      </c>
      <c r="B223" t="s">
        <v>9509</v>
      </c>
      <c r="C223" s="20" t="s">
        <v>9414</v>
      </c>
      <c r="G223" s="17" t="s">
        <v>32</v>
      </c>
    </row>
    <row r="224" spans="1:7" ht="28.8" x14ac:dyDescent="0.3">
      <c r="A224" t="s">
        <v>9203</v>
      </c>
      <c r="B224" t="s">
        <v>9510</v>
      </c>
      <c r="C224" s="20" t="s">
        <v>9511</v>
      </c>
      <c r="G224" s="17" t="s">
        <v>32</v>
      </c>
    </row>
    <row r="225" spans="1:7" ht="43.2" x14ac:dyDescent="0.3">
      <c r="A225" t="s">
        <v>9203</v>
      </c>
      <c r="B225" t="s">
        <v>9512</v>
      </c>
      <c r="C225" s="20" t="s">
        <v>9422</v>
      </c>
      <c r="G225" s="17" t="s">
        <v>32</v>
      </c>
    </row>
    <row r="226" spans="1:7" ht="28.8" x14ac:dyDescent="0.3">
      <c r="A226" t="s">
        <v>9203</v>
      </c>
      <c r="B226" t="s">
        <v>9513</v>
      </c>
      <c r="C226" s="20" t="s">
        <v>9514</v>
      </c>
      <c r="G226" s="17" t="s">
        <v>32</v>
      </c>
    </row>
    <row r="227" spans="1:7" ht="28.8" x14ac:dyDescent="0.3">
      <c r="A227" t="s">
        <v>9203</v>
      </c>
      <c r="B227" t="s">
        <v>9515</v>
      </c>
      <c r="C227" s="20" t="s">
        <v>9516</v>
      </c>
      <c r="G227" s="17" t="s">
        <v>32</v>
      </c>
    </row>
    <row r="228" spans="1:7" ht="28.8" x14ac:dyDescent="0.3">
      <c r="A228" t="s">
        <v>9203</v>
      </c>
      <c r="B228" t="s">
        <v>9517</v>
      </c>
      <c r="C228" s="20" t="s">
        <v>9511</v>
      </c>
      <c r="G228" s="17" t="s">
        <v>32</v>
      </c>
    </row>
    <row r="229" spans="1:7" ht="28.8" x14ac:dyDescent="0.3">
      <c r="A229" t="s">
        <v>9203</v>
      </c>
      <c r="B229" t="s">
        <v>9518</v>
      </c>
      <c r="C229" s="20" t="s">
        <v>9519</v>
      </c>
      <c r="G229" s="17" t="s">
        <v>32</v>
      </c>
    </row>
    <row r="230" spans="1:7" x14ac:dyDescent="0.3">
      <c r="A230" t="s">
        <v>9203</v>
      </c>
      <c r="B230" t="s">
        <v>9520</v>
      </c>
      <c r="C230" s="20" t="s">
        <v>9521</v>
      </c>
      <c r="G230" s="17" t="s">
        <v>32</v>
      </c>
    </row>
    <row r="231" spans="1:7" ht="28.8" x14ac:dyDescent="0.3">
      <c r="A231" t="s">
        <v>9203</v>
      </c>
      <c r="B231" t="s">
        <v>9522</v>
      </c>
      <c r="C231" s="20" t="s">
        <v>9523</v>
      </c>
      <c r="G231" s="17" t="s">
        <v>32</v>
      </c>
    </row>
    <row r="232" spans="1:7" ht="43.2" x14ac:dyDescent="0.3">
      <c r="A232" t="s">
        <v>9203</v>
      </c>
      <c r="B232" t="s">
        <v>9524</v>
      </c>
      <c r="C232" s="20" t="s">
        <v>9525</v>
      </c>
      <c r="G232" s="17" t="s">
        <v>32</v>
      </c>
    </row>
    <row r="233" spans="1:7" ht="28.8" x14ac:dyDescent="0.3">
      <c r="A233" t="s">
        <v>9203</v>
      </c>
      <c r="B233" t="s">
        <v>9526</v>
      </c>
      <c r="C233" s="20" t="s">
        <v>9523</v>
      </c>
      <c r="G233" s="17" t="s">
        <v>32</v>
      </c>
    </row>
    <row r="234" spans="1:7" ht="43.2" x14ac:dyDescent="0.3">
      <c r="A234" t="s">
        <v>9203</v>
      </c>
      <c r="B234" t="s">
        <v>9527</v>
      </c>
      <c r="C234" s="20" t="s">
        <v>9528</v>
      </c>
      <c r="G234" s="17" t="s">
        <v>32</v>
      </c>
    </row>
    <row r="235" spans="1:7" ht="28.8" x14ac:dyDescent="0.3">
      <c r="A235" t="s">
        <v>9203</v>
      </c>
      <c r="B235" t="s">
        <v>9529</v>
      </c>
      <c r="C235" s="20" t="s">
        <v>9530</v>
      </c>
      <c r="G235" s="17" t="s">
        <v>32</v>
      </c>
    </row>
    <row r="236" spans="1:7" ht="28.8" x14ac:dyDescent="0.3">
      <c r="A236" t="s">
        <v>9203</v>
      </c>
      <c r="B236" t="s">
        <v>9531</v>
      </c>
      <c r="C236" s="20" t="s">
        <v>9523</v>
      </c>
      <c r="G236" s="17" t="s">
        <v>32</v>
      </c>
    </row>
    <row r="237" spans="1:7" ht="43.2" x14ac:dyDescent="0.3">
      <c r="A237" t="s">
        <v>9203</v>
      </c>
      <c r="B237" t="s">
        <v>9532</v>
      </c>
      <c r="C237" s="20" t="s">
        <v>9528</v>
      </c>
      <c r="G237" s="17" t="s">
        <v>32</v>
      </c>
    </row>
    <row r="238" spans="1:7" ht="28.8" x14ac:dyDescent="0.3">
      <c r="A238" t="s">
        <v>9203</v>
      </c>
      <c r="B238" t="s">
        <v>9533</v>
      </c>
      <c r="C238" s="20" t="s">
        <v>9530</v>
      </c>
      <c r="G238" s="17" t="s">
        <v>32</v>
      </c>
    </row>
    <row r="239" spans="1:7" ht="28.8" x14ac:dyDescent="0.3">
      <c r="A239" t="s">
        <v>9203</v>
      </c>
      <c r="B239" t="s">
        <v>9534</v>
      </c>
      <c r="C239" s="20" t="s">
        <v>9535</v>
      </c>
      <c r="G239" s="17" t="s">
        <v>32</v>
      </c>
    </row>
    <row r="240" spans="1:7" ht="43.2" x14ac:dyDescent="0.3">
      <c r="A240" t="s">
        <v>9203</v>
      </c>
      <c r="B240" t="s">
        <v>9536</v>
      </c>
      <c r="C240" s="20" t="s">
        <v>9537</v>
      </c>
      <c r="G240" s="17" t="s">
        <v>32</v>
      </c>
    </row>
    <row r="241" spans="1:7" ht="28.8" x14ac:dyDescent="0.3">
      <c r="A241" t="s">
        <v>9203</v>
      </c>
      <c r="B241" t="s">
        <v>9538</v>
      </c>
      <c r="C241" s="20" t="s">
        <v>9539</v>
      </c>
      <c r="G241" s="17" t="s">
        <v>32</v>
      </c>
    </row>
    <row r="242" spans="1:7" ht="28.8" x14ac:dyDescent="0.3">
      <c r="A242" t="s">
        <v>9203</v>
      </c>
      <c r="B242" t="s">
        <v>9540</v>
      </c>
      <c r="C242" s="20" t="s">
        <v>9541</v>
      </c>
      <c r="G242" s="17" t="s">
        <v>32</v>
      </c>
    </row>
    <row r="243" spans="1:7" ht="43.2" x14ac:dyDescent="0.3">
      <c r="A243" t="s">
        <v>9203</v>
      </c>
      <c r="B243" t="s">
        <v>9542</v>
      </c>
      <c r="C243" s="20" t="s">
        <v>9543</v>
      </c>
      <c r="G243" s="17" t="s">
        <v>32</v>
      </c>
    </row>
    <row r="244" spans="1:7" ht="43.2" x14ac:dyDescent="0.3">
      <c r="A244" t="s">
        <v>9203</v>
      </c>
      <c r="B244" t="s">
        <v>9544</v>
      </c>
      <c r="C244" s="20" t="s">
        <v>9545</v>
      </c>
      <c r="G244" s="17" t="s">
        <v>32</v>
      </c>
    </row>
    <row r="245" spans="1:7" ht="43.2" x14ac:dyDescent="0.3">
      <c r="A245" t="s">
        <v>9203</v>
      </c>
      <c r="B245" t="s">
        <v>9546</v>
      </c>
      <c r="C245" s="20" t="s">
        <v>9547</v>
      </c>
      <c r="G245" s="17" t="s">
        <v>32</v>
      </c>
    </row>
    <row r="246" spans="1:7" ht="28.8" x14ac:dyDescent="0.3">
      <c r="A246" t="s">
        <v>9203</v>
      </c>
      <c r="B246" t="s">
        <v>9548</v>
      </c>
      <c r="C246" s="20" t="s">
        <v>9549</v>
      </c>
      <c r="G246" s="17" t="s">
        <v>32</v>
      </c>
    </row>
    <row r="247" spans="1:7" ht="28.8" x14ac:dyDescent="0.3">
      <c r="A247" t="s">
        <v>9203</v>
      </c>
      <c r="B247" t="s">
        <v>9550</v>
      </c>
      <c r="C247" s="20" t="s">
        <v>9551</v>
      </c>
      <c r="G247" s="17" t="s">
        <v>32</v>
      </c>
    </row>
    <row r="248" spans="1:7" ht="43.2" x14ac:dyDescent="0.3">
      <c r="A248" t="s">
        <v>9203</v>
      </c>
      <c r="B248" t="s">
        <v>9552</v>
      </c>
      <c r="C248" s="20" t="s">
        <v>9553</v>
      </c>
      <c r="G248" s="17" t="s">
        <v>32</v>
      </c>
    </row>
    <row r="249" spans="1:7" ht="28.8" x14ac:dyDescent="0.3">
      <c r="A249" t="s">
        <v>9203</v>
      </c>
      <c r="B249" t="s">
        <v>9554</v>
      </c>
      <c r="C249" s="20" t="s">
        <v>9555</v>
      </c>
      <c r="G249" s="17" t="s">
        <v>32</v>
      </c>
    </row>
    <row r="250" spans="1:7" ht="43.2" x14ac:dyDescent="0.3">
      <c r="A250" t="s">
        <v>9203</v>
      </c>
      <c r="B250" t="s">
        <v>9556</v>
      </c>
      <c r="C250" s="20" t="s">
        <v>9343</v>
      </c>
      <c r="G250" s="17" t="s">
        <v>32</v>
      </c>
    </row>
    <row r="251" spans="1:7" ht="28.8" x14ac:dyDescent="0.3">
      <c r="A251" t="s">
        <v>9203</v>
      </c>
      <c r="B251" t="s">
        <v>9557</v>
      </c>
      <c r="C251" s="20" t="s">
        <v>9558</v>
      </c>
      <c r="G251" s="17" t="s">
        <v>32</v>
      </c>
    </row>
    <row r="252" spans="1:7" ht="72" x14ac:dyDescent="0.3">
      <c r="A252" t="s">
        <v>9203</v>
      </c>
      <c r="B252" t="s">
        <v>9559</v>
      </c>
      <c r="C252" s="20" t="s">
        <v>9345</v>
      </c>
      <c r="G252" s="17" t="s">
        <v>32</v>
      </c>
    </row>
    <row r="253" spans="1:7" ht="115.2" x14ac:dyDescent="0.3">
      <c r="A253" t="s">
        <v>9203</v>
      </c>
      <c r="B253" t="s">
        <v>9560</v>
      </c>
      <c r="C253" s="20" t="s">
        <v>9561</v>
      </c>
      <c r="G253" s="17" t="s">
        <v>32</v>
      </c>
    </row>
    <row r="254" spans="1:7" ht="28.8" x14ac:dyDescent="0.3">
      <c r="A254" t="s">
        <v>9203</v>
      </c>
      <c r="B254" t="s">
        <v>9562</v>
      </c>
      <c r="C254" s="20" t="s">
        <v>9347</v>
      </c>
      <c r="G254" s="17" t="s">
        <v>32</v>
      </c>
    </row>
    <row r="255" spans="1:7" ht="28.8" x14ac:dyDescent="0.3">
      <c r="A255" t="s">
        <v>9203</v>
      </c>
      <c r="B255" t="s">
        <v>9563</v>
      </c>
      <c r="C255" s="20" t="s">
        <v>9549</v>
      </c>
      <c r="G255" s="17" t="s">
        <v>32</v>
      </c>
    </row>
    <row r="256" spans="1:7" ht="28.8" x14ac:dyDescent="0.3">
      <c r="A256" t="s">
        <v>9203</v>
      </c>
      <c r="B256" t="s">
        <v>9564</v>
      </c>
      <c r="C256" s="20" t="s">
        <v>9565</v>
      </c>
      <c r="G256" s="17" t="s">
        <v>32</v>
      </c>
    </row>
    <row r="257" spans="1:7" ht="28.8" x14ac:dyDescent="0.3">
      <c r="A257" t="s">
        <v>9203</v>
      </c>
      <c r="B257" t="s">
        <v>9566</v>
      </c>
      <c r="C257" s="20" t="s">
        <v>9567</v>
      </c>
      <c r="G257" s="17" t="s">
        <v>32</v>
      </c>
    </row>
    <row r="258" spans="1:7" ht="28.8" x14ac:dyDescent="0.3">
      <c r="A258" t="s">
        <v>9203</v>
      </c>
      <c r="B258" t="s">
        <v>9568</v>
      </c>
      <c r="C258" s="20" t="s">
        <v>9569</v>
      </c>
      <c r="G258" s="17" t="s">
        <v>32</v>
      </c>
    </row>
    <row r="259" spans="1:7" ht="43.2" x14ac:dyDescent="0.3">
      <c r="A259" t="s">
        <v>9203</v>
      </c>
      <c r="B259" t="s">
        <v>9570</v>
      </c>
      <c r="C259" s="20" t="s">
        <v>9547</v>
      </c>
      <c r="G259" s="17" t="s">
        <v>32</v>
      </c>
    </row>
    <row r="260" spans="1:7" ht="28.8" x14ac:dyDescent="0.3">
      <c r="A260" t="s">
        <v>9203</v>
      </c>
      <c r="B260" t="s">
        <v>9571</v>
      </c>
      <c r="C260" s="20" t="s">
        <v>9549</v>
      </c>
      <c r="G260" s="17" t="s">
        <v>32</v>
      </c>
    </row>
    <row r="261" spans="1:7" ht="72" x14ac:dyDescent="0.3">
      <c r="A261" t="s">
        <v>9203</v>
      </c>
      <c r="B261" t="s">
        <v>9572</v>
      </c>
      <c r="C261" s="20" t="s">
        <v>12347</v>
      </c>
      <c r="G261" s="17" t="s">
        <v>32</v>
      </c>
    </row>
    <row r="262" spans="1:7" ht="28.8" x14ac:dyDescent="0.3">
      <c r="A262" t="s">
        <v>9203</v>
      </c>
      <c r="B262" t="s">
        <v>9573</v>
      </c>
      <c r="C262" s="20" t="s">
        <v>9549</v>
      </c>
      <c r="G262" s="17" t="s">
        <v>32</v>
      </c>
    </row>
    <row r="263" spans="1:7" ht="43.2" x14ac:dyDescent="0.3">
      <c r="A263" t="s">
        <v>9203</v>
      </c>
      <c r="B263" t="s">
        <v>9574</v>
      </c>
      <c r="C263" s="20" t="s">
        <v>9547</v>
      </c>
      <c r="G263" s="17" t="s">
        <v>32</v>
      </c>
    </row>
    <row r="264" spans="1:7" ht="28.8" x14ac:dyDescent="0.3">
      <c r="A264" t="s">
        <v>9203</v>
      </c>
      <c r="B264" t="s">
        <v>9575</v>
      </c>
      <c r="C264" s="20" t="s">
        <v>9549</v>
      </c>
      <c r="G264" s="17" t="s">
        <v>32</v>
      </c>
    </row>
    <row r="265" spans="1:7" ht="43.2" x14ac:dyDescent="0.3">
      <c r="A265" t="s">
        <v>9203</v>
      </c>
      <c r="B265" t="s">
        <v>9576</v>
      </c>
      <c r="C265" s="20" t="s">
        <v>12340</v>
      </c>
      <c r="G265" s="17" t="s">
        <v>32</v>
      </c>
    </row>
    <row r="266" spans="1:7" ht="43.2" x14ac:dyDescent="0.3">
      <c r="A266" t="s">
        <v>9203</v>
      </c>
      <c r="B266" t="s">
        <v>9577</v>
      </c>
      <c r="C266" s="20" t="s">
        <v>12341</v>
      </c>
      <c r="G266" s="17" t="s">
        <v>32</v>
      </c>
    </row>
    <row r="267" spans="1:7" ht="28.8" x14ac:dyDescent="0.3">
      <c r="A267" t="s">
        <v>9203</v>
      </c>
      <c r="B267" t="s">
        <v>9578</v>
      </c>
      <c r="C267" s="20" t="s">
        <v>9449</v>
      </c>
      <c r="G267" s="17" t="s">
        <v>32</v>
      </c>
    </row>
    <row r="268" spans="1:7" x14ac:dyDescent="0.3">
      <c r="A268" t="s">
        <v>9203</v>
      </c>
      <c r="B268" t="s">
        <v>9579</v>
      </c>
      <c r="C268" s="20" t="s">
        <v>9451</v>
      </c>
      <c r="G268" s="17" t="s">
        <v>32</v>
      </c>
    </row>
    <row r="269" spans="1:7" ht="57.6" x14ac:dyDescent="0.3">
      <c r="A269" t="s">
        <v>9203</v>
      </c>
      <c r="B269" t="s">
        <v>9580</v>
      </c>
      <c r="C269" s="20" t="s">
        <v>9581</v>
      </c>
      <c r="G269" s="17" t="s">
        <v>32</v>
      </c>
    </row>
    <row r="270" spans="1:7" ht="28.8" x14ac:dyDescent="0.3">
      <c r="A270" t="s">
        <v>9582</v>
      </c>
      <c r="B270" t="s">
        <v>9583</v>
      </c>
      <c r="C270" s="20" t="s">
        <v>9584</v>
      </c>
      <c r="D270">
        <v>1452</v>
      </c>
      <c r="E270" t="s">
        <v>9585</v>
      </c>
      <c r="F270">
        <v>5</v>
      </c>
      <c r="G270" s="28" t="s">
        <v>9586</v>
      </c>
    </row>
    <row r="271" spans="1:7" ht="28.8" x14ac:dyDescent="0.3">
      <c r="A271" t="s">
        <v>9582</v>
      </c>
      <c r="B271" t="s">
        <v>9587</v>
      </c>
      <c r="C271" s="20" t="s">
        <v>9588</v>
      </c>
      <c r="D271">
        <v>10</v>
      </c>
      <c r="E271" t="s">
        <v>9589</v>
      </c>
      <c r="F271">
        <v>60</v>
      </c>
      <c r="G271" s="28" t="s">
        <v>9590</v>
      </c>
    </row>
    <row r="272" spans="1:7" ht="28.8" x14ac:dyDescent="0.3">
      <c r="A272" t="s">
        <v>9582</v>
      </c>
      <c r="B272" t="s">
        <v>9587</v>
      </c>
      <c r="C272" s="20" t="s">
        <v>9588</v>
      </c>
      <c r="D272">
        <v>10</v>
      </c>
      <c r="E272" t="s">
        <v>9589</v>
      </c>
      <c r="F272">
        <v>60</v>
      </c>
      <c r="G272" s="28" t="s">
        <v>9590</v>
      </c>
    </row>
    <row r="273" spans="1:7" ht="28.8" x14ac:dyDescent="0.3">
      <c r="A273" t="s">
        <v>9582</v>
      </c>
      <c r="B273" t="s">
        <v>9587</v>
      </c>
      <c r="C273" s="20" t="s">
        <v>9588</v>
      </c>
      <c r="D273">
        <v>10</v>
      </c>
      <c r="E273" t="s">
        <v>9589</v>
      </c>
      <c r="F273">
        <v>60</v>
      </c>
      <c r="G273" s="28" t="s">
        <v>9590</v>
      </c>
    </row>
    <row r="274" spans="1:7" ht="144" x14ac:dyDescent="0.3">
      <c r="A274" t="s">
        <v>9582</v>
      </c>
      <c r="B274" t="s">
        <v>9591</v>
      </c>
      <c r="C274" s="20" t="s">
        <v>9592</v>
      </c>
      <c r="D274">
        <v>11</v>
      </c>
      <c r="E274" t="s">
        <v>9585</v>
      </c>
      <c r="F274">
        <v>5</v>
      </c>
      <c r="G274" s="28" t="s">
        <v>12417</v>
      </c>
    </row>
    <row r="275" spans="1:7" ht="144" x14ac:dyDescent="0.3">
      <c r="A275" t="s">
        <v>9582</v>
      </c>
      <c r="B275" t="s">
        <v>9591</v>
      </c>
      <c r="C275" s="20" t="s">
        <v>9592</v>
      </c>
      <c r="D275">
        <v>11</v>
      </c>
      <c r="E275" t="s">
        <v>9585</v>
      </c>
      <c r="F275">
        <v>5</v>
      </c>
      <c r="G275" s="28" t="s">
        <v>12417</v>
      </c>
    </row>
    <row r="276" spans="1:7" ht="144" x14ac:dyDescent="0.3">
      <c r="A276" t="s">
        <v>9582</v>
      </c>
      <c r="B276" t="s">
        <v>9591</v>
      </c>
      <c r="C276" s="20" t="s">
        <v>9592</v>
      </c>
      <c r="D276">
        <v>11</v>
      </c>
      <c r="E276" t="s">
        <v>9585</v>
      </c>
      <c r="F276">
        <v>5</v>
      </c>
      <c r="G276" s="28" t="s">
        <v>12417</v>
      </c>
    </row>
    <row r="277" spans="1:7" ht="28.8" x14ac:dyDescent="0.3">
      <c r="A277" t="s">
        <v>9582</v>
      </c>
      <c r="B277" t="s">
        <v>9593</v>
      </c>
      <c r="C277" s="20" t="s">
        <v>9594</v>
      </c>
      <c r="D277">
        <v>12</v>
      </c>
      <c r="E277" t="s">
        <v>9589</v>
      </c>
      <c r="F277">
        <v>60</v>
      </c>
      <c r="G277" s="28" t="s">
        <v>9590</v>
      </c>
    </row>
    <row r="278" spans="1:7" ht="28.8" x14ac:dyDescent="0.3">
      <c r="A278" t="s">
        <v>9582</v>
      </c>
      <c r="B278" t="s">
        <v>9593</v>
      </c>
      <c r="C278" s="20" t="s">
        <v>9594</v>
      </c>
      <c r="D278">
        <v>12</v>
      </c>
      <c r="E278" t="s">
        <v>9589</v>
      </c>
      <c r="F278">
        <v>60</v>
      </c>
      <c r="G278" s="28" t="s">
        <v>9590</v>
      </c>
    </row>
    <row r="279" spans="1:7" ht="28.8" x14ac:dyDescent="0.3">
      <c r="A279" t="s">
        <v>9582</v>
      </c>
      <c r="B279" t="s">
        <v>9593</v>
      </c>
      <c r="C279" s="20" t="s">
        <v>9594</v>
      </c>
      <c r="D279">
        <v>12</v>
      </c>
      <c r="E279" t="s">
        <v>9589</v>
      </c>
      <c r="F279">
        <v>60</v>
      </c>
      <c r="G279" s="28" t="s">
        <v>9590</v>
      </c>
    </row>
    <row r="280" spans="1:7" ht="129.6" x14ac:dyDescent="0.3">
      <c r="A280" t="s">
        <v>9582</v>
      </c>
      <c r="B280" t="s">
        <v>9595</v>
      </c>
      <c r="C280" s="20" t="s">
        <v>9596</v>
      </c>
      <c r="D280">
        <v>842</v>
      </c>
      <c r="E280" t="s">
        <v>9585</v>
      </c>
      <c r="F280">
        <v>5</v>
      </c>
      <c r="G280" s="28" t="s">
        <v>12418</v>
      </c>
    </row>
    <row r="281" spans="1:7" ht="129.6" x14ac:dyDescent="0.3">
      <c r="A281" t="s">
        <v>9582</v>
      </c>
      <c r="B281" t="s">
        <v>9595</v>
      </c>
      <c r="C281" s="20" t="s">
        <v>9596</v>
      </c>
      <c r="D281">
        <v>842</v>
      </c>
      <c r="E281" t="s">
        <v>9585</v>
      </c>
      <c r="F281">
        <v>5</v>
      </c>
      <c r="G281" s="28" t="s">
        <v>12418</v>
      </c>
    </row>
    <row r="282" spans="1:7" ht="129.6" x14ac:dyDescent="0.3">
      <c r="A282" t="s">
        <v>9582</v>
      </c>
      <c r="B282" t="s">
        <v>9595</v>
      </c>
      <c r="C282" s="20" t="s">
        <v>9596</v>
      </c>
      <c r="D282">
        <v>842</v>
      </c>
      <c r="E282" t="s">
        <v>9585</v>
      </c>
      <c r="F282">
        <v>5</v>
      </c>
      <c r="G282" s="28" t="s">
        <v>12418</v>
      </c>
    </row>
    <row r="283" spans="1:7" ht="129.6" x14ac:dyDescent="0.3">
      <c r="A283" t="s">
        <v>9582</v>
      </c>
      <c r="B283" t="s">
        <v>9597</v>
      </c>
      <c r="C283" s="20" t="s">
        <v>9598</v>
      </c>
      <c r="D283">
        <v>14</v>
      </c>
      <c r="E283" t="s">
        <v>9585</v>
      </c>
      <c r="F283">
        <v>5</v>
      </c>
      <c r="G283" s="28" t="s">
        <v>12419</v>
      </c>
    </row>
    <row r="284" spans="1:7" ht="129.6" x14ac:dyDescent="0.3">
      <c r="A284" t="s">
        <v>9582</v>
      </c>
      <c r="B284" t="s">
        <v>9597</v>
      </c>
      <c r="C284" s="20" t="s">
        <v>9598</v>
      </c>
      <c r="D284">
        <v>14</v>
      </c>
      <c r="E284" t="s">
        <v>9585</v>
      </c>
      <c r="F284">
        <v>5</v>
      </c>
      <c r="G284" s="28" t="s">
        <v>12419</v>
      </c>
    </row>
    <row r="285" spans="1:7" ht="129.6" x14ac:dyDescent="0.3">
      <c r="A285" t="s">
        <v>9582</v>
      </c>
      <c r="B285" t="s">
        <v>9597</v>
      </c>
      <c r="C285" s="20" t="s">
        <v>9598</v>
      </c>
      <c r="D285">
        <v>14</v>
      </c>
      <c r="E285" t="s">
        <v>9585</v>
      </c>
      <c r="F285">
        <v>5</v>
      </c>
      <c r="G285" s="28" t="s">
        <v>12419</v>
      </c>
    </row>
    <row r="286" spans="1:7" ht="172.8" x14ac:dyDescent="0.3">
      <c r="A286" t="s">
        <v>9582</v>
      </c>
      <c r="B286" t="s">
        <v>9599</v>
      </c>
      <c r="C286" s="20" t="s">
        <v>9600</v>
      </c>
      <c r="D286">
        <v>15</v>
      </c>
      <c r="E286" t="s">
        <v>9585</v>
      </c>
      <c r="F286">
        <v>5</v>
      </c>
      <c r="G286" s="28" t="s">
        <v>12420</v>
      </c>
    </row>
    <row r="287" spans="1:7" ht="172.8" x14ac:dyDescent="0.3">
      <c r="A287" t="s">
        <v>9582</v>
      </c>
      <c r="B287" t="s">
        <v>9599</v>
      </c>
      <c r="C287" s="20" t="s">
        <v>9600</v>
      </c>
      <c r="D287">
        <v>15</v>
      </c>
      <c r="E287" t="s">
        <v>9585</v>
      </c>
      <c r="F287">
        <v>5</v>
      </c>
      <c r="G287" s="28" t="s">
        <v>12420</v>
      </c>
    </row>
    <row r="288" spans="1:7" ht="172.8" x14ac:dyDescent="0.3">
      <c r="A288" t="s">
        <v>9582</v>
      </c>
      <c r="B288" t="s">
        <v>9599</v>
      </c>
      <c r="C288" s="20" t="s">
        <v>9600</v>
      </c>
      <c r="D288">
        <v>15</v>
      </c>
      <c r="E288" t="s">
        <v>9585</v>
      </c>
      <c r="F288">
        <v>5</v>
      </c>
      <c r="G288" s="28" t="s">
        <v>12420</v>
      </c>
    </row>
    <row r="289" spans="1:7" ht="129.6" x14ac:dyDescent="0.3">
      <c r="A289" t="s">
        <v>9582</v>
      </c>
      <c r="B289" t="s">
        <v>9601</v>
      </c>
      <c r="C289" s="20" t="s">
        <v>9602</v>
      </c>
      <c r="D289">
        <v>1121</v>
      </c>
      <c r="E289" t="s">
        <v>9585</v>
      </c>
      <c r="F289">
        <v>5</v>
      </c>
      <c r="G289" s="28" t="s">
        <v>9586</v>
      </c>
    </row>
    <row r="290" spans="1:7" ht="57.6" x14ac:dyDescent="0.3">
      <c r="A290" t="s">
        <v>9582</v>
      </c>
      <c r="B290" t="s">
        <v>9603</v>
      </c>
      <c r="C290" s="20" t="s">
        <v>9604</v>
      </c>
      <c r="D290">
        <v>24</v>
      </c>
      <c r="E290" t="s">
        <v>9585</v>
      </c>
      <c r="F290">
        <v>5</v>
      </c>
      <c r="G290" s="28" t="s">
        <v>12421</v>
      </c>
    </row>
    <row r="291" spans="1:7" ht="57.6" x14ac:dyDescent="0.3">
      <c r="A291" t="s">
        <v>9582</v>
      </c>
      <c r="B291" t="s">
        <v>9603</v>
      </c>
      <c r="C291" s="20" t="s">
        <v>9604</v>
      </c>
      <c r="D291">
        <v>24</v>
      </c>
      <c r="E291" t="s">
        <v>9585</v>
      </c>
      <c r="F291">
        <v>5</v>
      </c>
      <c r="G291" s="28" t="s">
        <v>12421</v>
      </c>
    </row>
    <row r="292" spans="1:7" ht="57.6" x14ac:dyDescent="0.3">
      <c r="A292" t="s">
        <v>9582</v>
      </c>
      <c r="B292" t="s">
        <v>9603</v>
      </c>
      <c r="C292" s="20" t="s">
        <v>9604</v>
      </c>
      <c r="D292">
        <v>24</v>
      </c>
      <c r="E292" t="s">
        <v>9585</v>
      </c>
      <c r="F292">
        <v>5</v>
      </c>
      <c r="G292" s="28" t="s">
        <v>12421</v>
      </c>
    </row>
    <row r="293" spans="1:7" ht="43.2" x14ac:dyDescent="0.3">
      <c r="A293" t="s">
        <v>9582</v>
      </c>
      <c r="B293" t="s">
        <v>125</v>
      </c>
      <c r="C293" s="20" t="s">
        <v>9605</v>
      </c>
      <c r="D293">
        <v>20</v>
      </c>
      <c r="E293" t="s">
        <v>9589</v>
      </c>
      <c r="F293">
        <v>80</v>
      </c>
      <c r="G293" s="28" t="s">
        <v>9590</v>
      </c>
    </row>
    <row r="294" spans="1:7" ht="43.2" x14ac:dyDescent="0.3">
      <c r="A294" t="s">
        <v>9582</v>
      </c>
      <c r="B294" t="s">
        <v>125</v>
      </c>
      <c r="C294" s="20" t="s">
        <v>9605</v>
      </c>
      <c r="D294">
        <v>20</v>
      </c>
      <c r="E294" t="s">
        <v>9589</v>
      </c>
      <c r="F294">
        <v>80</v>
      </c>
      <c r="G294" s="28" t="s">
        <v>9590</v>
      </c>
    </row>
    <row r="295" spans="1:7" ht="43.2" x14ac:dyDescent="0.3">
      <c r="A295" t="s">
        <v>9582</v>
      </c>
      <c r="B295" t="s">
        <v>125</v>
      </c>
      <c r="C295" s="20" t="s">
        <v>9605</v>
      </c>
      <c r="D295">
        <v>20</v>
      </c>
      <c r="E295" t="s">
        <v>9589</v>
      </c>
      <c r="F295">
        <v>80</v>
      </c>
      <c r="G295" s="28" t="s">
        <v>9590</v>
      </c>
    </row>
    <row r="296" spans="1:7" ht="144" x14ac:dyDescent="0.3">
      <c r="A296" t="s">
        <v>9582</v>
      </c>
      <c r="B296" t="s">
        <v>9606</v>
      </c>
      <c r="C296" s="20" t="s">
        <v>9607</v>
      </c>
      <c r="D296">
        <v>1311</v>
      </c>
      <c r="E296" t="s">
        <v>9585</v>
      </c>
      <c r="F296">
        <v>5</v>
      </c>
      <c r="G296" s="28" t="s">
        <v>12422</v>
      </c>
    </row>
    <row r="297" spans="1:7" ht="158.4" x14ac:dyDescent="0.3">
      <c r="A297" t="s">
        <v>9582</v>
      </c>
      <c r="B297" t="s">
        <v>9608</v>
      </c>
      <c r="C297" s="20" t="s">
        <v>9609</v>
      </c>
      <c r="D297">
        <v>21</v>
      </c>
      <c r="E297" t="s">
        <v>9589</v>
      </c>
      <c r="F297">
        <v>35</v>
      </c>
      <c r="G297" s="28" t="s">
        <v>12423</v>
      </c>
    </row>
    <row r="298" spans="1:7" ht="158.4" x14ac:dyDescent="0.3">
      <c r="A298" t="s">
        <v>9582</v>
      </c>
      <c r="B298" t="s">
        <v>9608</v>
      </c>
      <c r="C298" s="20" t="s">
        <v>9609</v>
      </c>
      <c r="D298">
        <v>21</v>
      </c>
      <c r="E298" t="s">
        <v>9589</v>
      </c>
      <c r="F298">
        <v>35</v>
      </c>
      <c r="G298" s="28" t="s">
        <v>12423</v>
      </c>
    </row>
    <row r="299" spans="1:7" ht="158.4" x14ac:dyDescent="0.3">
      <c r="A299" t="s">
        <v>9582</v>
      </c>
      <c r="B299" t="s">
        <v>9608</v>
      </c>
      <c r="C299" s="20" t="s">
        <v>9609</v>
      </c>
      <c r="D299">
        <v>21</v>
      </c>
      <c r="E299" t="s">
        <v>9589</v>
      </c>
      <c r="F299">
        <v>35</v>
      </c>
      <c r="G299" s="28" t="s">
        <v>12423</v>
      </c>
    </row>
    <row r="300" spans="1:7" ht="158.4" x14ac:dyDescent="0.3">
      <c r="A300" t="s">
        <v>9582</v>
      </c>
      <c r="B300" t="s">
        <v>9608</v>
      </c>
      <c r="C300" s="20" t="s">
        <v>9609</v>
      </c>
      <c r="D300">
        <v>21</v>
      </c>
      <c r="E300" t="s">
        <v>9589</v>
      </c>
      <c r="F300">
        <v>35</v>
      </c>
      <c r="G300" s="28" t="s">
        <v>12423</v>
      </c>
    </row>
    <row r="301" spans="1:7" ht="72" x14ac:dyDescent="0.3">
      <c r="A301" t="s">
        <v>9582</v>
      </c>
      <c r="B301" t="s">
        <v>9610</v>
      </c>
      <c r="C301" s="20" t="s">
        <v>9611</v>
      </c>
      <c r="D301">
        <v>22</v>
      </c>
      <c r="E301" t="s">
        <v>9585</v>
      </c>
      <c r="F301">
        <v>5</v>
      </c>
      <c r="G301" s="28" t="s">
        <v>12424</v>
      </c>
    </row>
    <row r="302" spans="1:7" ht="72" x14ac:dyDescent="0.3">
      <c r="A302" t="s">
        <v>9582</v>
      </c>
      <c r="B302" t="s">
        <v>9610</v>
      </c>
      <c r="C302" s="20" t="s">
        <v>9611</v>
      </c>
      <c r="D302">
        <v>22</v>
      </c>
      <c r="E302" t="s">
        <v>9585</v>
      </c>
      <c r="F302">
        <v>5</v>
      </c>
      <c r="G302" s="28" t="s">
        <v>12424</v>
      </c>
    </row>
    <row r="303" spans="1:7" ht="409.6" x14ac:dyDescent="0.3">
      <c r="A303" t="s">
        <v>9582</v>
      </c>
      <c r="B303" t="s">
        <v>9612</v>
      </c>
      <c r="C303" s="20" t="s">
        <v>9613</v>
      </c>
      <c r="D303">
        <v>679</v>
      </c>
      <c r="E303" t="s">
        <v>9585</v>
      </c>
      <c r="F303">
        <v>5</v>
      </c>
      <c r="G303" s="28" t="s">
        <v>12425</v>
      </c>
    </row>
    <row r="304" spans="1:7" ht="409.6" x14ac:dyDescent="0.3">
      <c r="A304" t="s">
        <v>9582</v>
      </c>
      <c r="B304" t="s">
        <v>9612</v>
      </c>
      <c r="C304" s="20" t="s">
        <v>9613</v>
      </c>
      <c r="D304">
        <v>679</v>
      </c>
      <c r="E304" t="s">
        <v>9585</v>
      </c>
      <c r="F304">
        <v>5</v>
      </c>
      <c r="G304" s="28" t="s">
        <v>12425</v>
      </c>
    </row>
    <row r="305" spans="1:7" ht="57.6" x14ac:dyDescent="0.3">
      <c r="A305" t="s">
        <v>9582</v>
      </c>
      <c r="B305" t="s">
        <v>9614</v>
      </c>
      <c r="C305" s="20" t="s">
        <v>9615</v>
      </c>
      <c r="D305">
        <v>517</v>
      </c>
      <c r="E305" t="s">
        <v>9616</v>
      </c>
      <c r="F305">
        <v>8</v>
      </c>
      <c r="G305" s="28" t="s">
        <v>9590</v>
      </c>
    </row>
    <row r="306" spans="1:7" ht="86.4" x14ac:dyDescent="0.3">
      <c r="A306" t="s">
        <v>9582</v>
      </c>
      <c r="B306" t="s">
        <v>9617</v>
      </c>
      <c r="C306" s="20" t="s">
        <v>9618</v>
      </c>
      <c r="D306">
        <v>498</v>
      </c>
      <c r="E306" t="s">
        <v>9585</v>
      </c>
      <c r="F306">
        <v>5</v>
      </c>
      <c r="G306" s="28" t="s">
        <v>12426</v>
      </c>
    </row>
    <row r="307" spans="1:7" ht="43.2" x14ac:dyDescent="0.3">
      <c r="A307" t="s">
        <v>9582</v>
      </c>
      <c r="B307" t="s">
        <v>9619</v>
      </c>
      <c r="C307" s="20" t="s">
        <v>9620</v>
      </c>
      <c r="D307">
        <v>202</v>
      </c>
      <c r="E307" t="s">
        <v>9589</v>
      </c>
      <c r="F307">
        <v>60</v>
      </c>
      <c r="G307" s="28" t="s">
        <v>9590</v>
      </c>
    </row>
    <row r="308" spans="1:7" ht="43.2" x14ac:dyDescent="0.3">
      <c r="A308" t="s">
        <v>9582</v>
      </c>
      <c r="B308" t="s">
        <v>9619</v>
      </c>
      <c r="C308" s="20" t="s">
        <v>9620</v>
      </c>
      <c r="D308">
        <v>202</v>
      </c>
      <c r="E308" t="s">
        <v>9589</v>
      </c>
      <c r="F308">
        <v>60</v>
      </c>
      <c r="G308" s="28" t="s">
        <v>9590</v>
      </c>
    </row>
    <row r="309" spans="1:7" ht="43.2" x14ac:dyDescent="0.3">
      <c r="A309" t="s">
        <v>9582</v>
      </c>
      <c r="B309" t="s">
        <v>9619</v>
      </c>
      <c r="C309" s="20" t="s">
        <v>9620</v>
      </c>
      <c r="D309">
        <v>202</v>
      </c>
      <c r="E309" t="s">
        <v>9589</v>
      </c>
      <c r="F309">
        <v>60</v>
      </c>
      <c r="G309" s="28" t="s">
        <v>9590</v>
      </c>
    </row>
    <row r="310" spans="1:7" ht="43.2" x14ac:dyDescent="0.3">
      <c r="A310" t="s">
        <v>9582</v>
      </c>
      <c r="B310" t="s">
        <v>9619</v>
      </c>
      <c r="C310" s="20" t="s">
        <v>9620</v>
      </c>
      <c r="D310">
        <v>202</v>
      </c>
      <c r="E310" t="s">
        <v>9589</v>
      </c>
      <c r="F310">
        <v>60</v>
      </c>
      <c r="G310" s="28" t="s">
        <v>9590</v>
      </c>
    </row>
    <row r="311" spans="1:7" ht="57.6" x14ac:dyDescent="0.3">
      <c r="A311" t="s">
        <v>9582</v>
      </c>
      <c r="B311" t="s">
        <v>9621</v>
      </c>
      <c r="C311" s="20" t="s">
        <v>9622</v>
      </c>
      <c r="D311">
        <v>344</v>
      </c>
      <c r="E311" t="s">
        <v>9589</v>
      </c>
      <c r="F311">
        <v>60</v>
      </c>
      <c r="G311" s="28" t="s">
        <v>9590</v>
      </c>
    </row>
    <row r="312" spans="1:7" ht="72" x14ac:dyDescent="0.3">
      <c r="A312" t="s">
        <v>9582</v>
      </c>
      <c r="B312" t="s">
        <v>9623</v>
      </c>
      <c r="C312" s="20" t="s">
        <v>9624</v>
      </c>
      <c r="D312">
        <v>715</v>
      </c>
      <c r="E312" t="s">
        <v>9589</v>
      </c>
      <c r="F312">
        <v>60</v>
      </c>
      <c r="G312" s="28" t="s">
        <v>9590</v>
      </c>
    </row>
    <row r="313" spans="1:7" ht="86.4" x14ac:dyDescent="0.3">
      <c r="A313" t="s">
        <v>9582</v>
      </c>
      <c r="B313" t="s">
        <v>9625</v>
      </c>
      <c r="C313" s="20" t="s">
        <v>9626</v>
      </c>
      <c r="D313">
        <v>351</v>
      </c>
      <c r="E313" t="s">
        <v>9589</v>
      </c>
      <c r="F313">
        <v>60</v>
      </c>
      <c r="G313" s="28" t="s">
        <v>9590</v>
      </c>
    </row>
    <row r="314" spans="1:7" ht="86.4" x14ac:dyDescent="0.3">
      <c r="A314" t="s">
        <v>9582</v>
      </c>
      <c r="B314" t="s">
        <v>9625</v>
      </c>
      <c r="C314" s="20" t="s">
        <v>9626</v>
      </c>
      <c r="D314">
        <v>351</v>
      </c>
      <c r="E314" t="s">
        <v>9589</v>
      </c>
      <c r="F314">
        <v>60</v>
      </c>
      <c r="G314" s="28" t="s">
        <v>9590</v>
      </c>
    </row>
    <row r="315" spans="1:7" ht="43.2" x14ac:dyDescent="0.3">
      <c r="A315" t="s">
        <v>9582</v>
      </c>
      <c r="B315" t="s">
        <v>9627</v>
      </c>
      <c r="C315" s="20" t="s">
        <v>9628</v>
      </c>
      <c r="D315">
        <v>26</v>
      </c>
      <c r="E315" t="s">
        <v>9616</v>
      </c>
      <c r="F315">
        <v>8</v>
      </c>
      <c r="G315" s="28" t="s">
        <v>9590</v>
      </c>
    </row>
    <row r="316" spans="1:7" ht="43.2" x14ac:dyDescent="0.3">
      <c r="A316" t="s">
        <v>9582</v>
      </c>
      <c r="B316" t="s">
        <v>9627</v>
      </c>
      <c r="C316" s="20" t="s">
        <v>9628</v>
      </c>
      <c r="D316">
        <v>26</v>
      </c>
      <c r="E316" t="s">
        <v>9616</v>
      </c>
      <c r="F316">
        <v>8</v>
      </c>
      <c r="G316" s="28" t="s">
        <v>9590</v>
      </c>
    </row>
    <row r="317" spans="1:7" ht="43.2" x14ac:dyDescent="0.3">
      <c r="A317" t="s">
        <v>9582</v>
      </c>
      <c r="B317" t="s">
        <v>9627</v>
      </c>
      <c r="C317" s="20" t="s">
        <v>9628</v>
      </c>
      <c r="D317">
        <v>26</v>
      </c>
      <c r="E317" t="s">
        <v>9616</v>
      </c>
      <c r="F317">
        <v>8</v>
      </c>
      <c r="G317" s="28" t="s">
        <v>9590</v>
      </c>
    </row>
    <row r="318" spans="1:7" ht="28.8" x14ac:dyDescent="0.3">
      <c r="A318" t="s">
        <v>9582</v>
      </c>
      <c r="B318" t="s">
        <v>9629</v>
      </c>
      <c r="C318" s="20" t="s">
        <v>9630</v>
      </c>
      <c r="D318">
        <v>27</v>
      </c>
      <c r="E318" t="s">
        <v>9616</v>
      </c>
      <c r="F318">
        <v>8</v>
      </c>
      <c r="G318" s="28" t="s">
        <v>9590</v>
      </c>
    </row>
    <row r="319" spans="1:7" ht="28.8" x14ac:dyDescent="0.3">
      <c r="A319" t="s">
        <v>9582</v>
      </c>
      <c r="B319" t="s">
        <v>9629</v>
      </c>
      <c r="C319" s="20" t="s">
        <v>9630</v>
      </c>
      <c r="D319">
        <v>27</v>
      </c>
      <c r="E319" t="s">
        <v>9616</v>
      </c>
      <c r="F319">
        <v>8</v>
      </c>
      <c r="G319" s="28" t="s">
        <v>9590</v>
      </c>
    </row>
    <row r="320" spans="1:7" ht="28.8" x14ac:dyDescent="0.3">
      <c r="A320" t="s">
        <v>9582</v>
      </c>
      <c r="B320" t="s">
        <v>9629</v>
      </c>
      <c r="C320" s="20" t="s">
        <v>9630</v>
      </c>
      <c r="D320">
        <v>27</v>
      </c>
      <c r="E320" t="s">
        <v>9616</v>
      </c>
      <c r="F320">
        <v>8</v>
      </c>
      <c r="G320" s="28" t="s">
        <v>9590</v>
      </c>
    </row>
    <row r="321" spans="1:7" ht="43.2" x14ac:dyDescent="0.3">
      <c r="A321" t="s">
        <v>9582</v>
      </c>
      <c r="B321" t="s">
        <v>9631</v>
      </c>
      <c r="C321" s="20" t="s">
        <v>9632</v>
      </c>
      <c r="D321">
        <v>524</v>
      </c>
      <c r="E321" t="s">
        <v>9633</v>
      </c>
      <c r="F321">
        <v>6.2</v>
      </c>
      <c r="G321" s="28" t="s">
        <v>9590</v>
      </c>
    </row>
    <row r="322" spans="1:7" ht="43.2" x14ac:dyDescent="0.3">
      <c r="A322" t="s">
        <v>9582</v>
      </c>
      <c r="B322" t="s">
        <v>9634</v>
      </c>
      <c r="C322" s="20" t="s">
        <v>9635</v>
      </c>
      <c r="D322">
        <v>616</v>
      </c>
      <c r="E322" t="s">
        <v>9616</v>
      </c>
      <c r="F322">
        <v>8</v>
      </c>
      <c r="G322" s="28" t="s">
        <v>9590</v>
      </c>
    </row>
    <row r="323" spans="1:7" ht="144" x14ac:dyDescent="0.3">
      <c r="A323" t="s">
        <v>9582</v>
      </c>
      <c r="B323" t="s">
        <v>9636</v>
      </c>
      <c r="C323" s="20" t="s">
        <v>9637</v>
      </c>
      <c r="D323">
        <v>617</v>
      </c>
      <c r="E323" t="s">
        <v>9585</v>
      </c>
      <c r="F323">
        <v>5</v>
      </c>
      <c r="G323" s="28" t="s">
        <v>12427</v>
      </c>
    </row>
    <row r="324" spans="1:7" ht="28.8" x14ac:dyDescent="0.3">
      <c r="A324" t="s">
        <v>9582</v>
      </c>
      <c r="B324" t="s">
        <v>9638</v>
      </c>
      <c r="C324" s="20" t="s">
        <v>9639</v>
      </c>
      <c r="D324">
        <v>525</v>
      </c>
      <c r="E324" t="s">
        <v>9633</v>
      </c>
      <c r="F324">
        <v>6.2</v>
      </c>
      <c r="G324" s="28" t="s">
        <v>9590</v>
      </c>
    </row>
    <row r="325" spans="1:7" ht="273.60000000000002" x14ac:dyDescent="0.3">
      <c r="A325" t="s">
        <v>9582</v>
      </c>
      <c r="B325" t="s">
        <v>9640</v>
      </c>
      <c r="C325" s="20" t="s">
        <v>9641</v>
      </c>
      <c r="D325">
        <v>30</v>
      </c>
      <c r="E325" t="s">
        <v>9585</v>
      </c>
      <c r="F325">
        <v>5</v>
      </c>
      <c r="G325" s="28" t="s">
        <v>12428</v>
      </c>
    </row>
    <row r="326" spans="1:7" ht="273.60000000000002" x14ac:dyDescent="0.3">
      <c r="A326" t="s">
        <v>9582</v>
      </c>
      <c r="B326" t="s">
        <v>9640</v>
      </c>
      <c r="C326" s="20" t="s">
        <v>9641</v>
      </c>
      <c r="D326">
        <v>30</v>
      </c>
      <c r="E326" t="s">
        <v>9585</v>
      </c>
      <c r="F326">
        <v>5</v>
      </c>
      <c r="G326" s="28" t="s">
        <v>12428</v>
      </c>
    </row>
    <row r="327" spans="1:7" ht="273.60000000000002" x14ac:dyDescent="0.3">
      <c r="A327" t="s">
        <v>9582</v>
      </c>
      <c r="B327" t="s">
        <v>9640</v>
      </c>
      <c r="C327" s="20" t="s">
        <v>9641</v>
      </c>
      <c r="D327">
        <v>30</v>
      </c>
      <c r="E327" t="s">
        <v>9585</v>
      </c>
      <c r="F327">
        <v>5</v>
      </c>
      <c r="G327" s="28" t="s">
        <v>12428</v>
      </c>
    </row>
    <row r="328" spans="1:7" ht="273.60000000000002" x14ac:dyDescent="0.3">
      <c r="A328" t="s">
        <v>9582</v>
      </c>
      <c r="B328" t="s">
        <v>9640</v>
      </c>
      <c r="C328" s="20" t="s">
        <v>9641</v>
      </c>
      <c r="D328">
        <v>30</v>
      </c>
      <c r="E328" t="s">
        <v>9585</v>
      </c>
      <c r="F328">
        <v>5</v>
      </c>
      <c r="G328" s="28" t="s">
        <v>12428</v>
      </c>
    </row>
    <row r="329" spans="1:7" ht="43.2" x14ac:dyDescent="0.3">
      <c r="A329" t="s">
        <v>9582</v>
      </c>
      <c r="B329" t="s">
        <v>9642</v>
      </c>
      <c r="C329" s="20" t="s">
        <v>9643</v>
      </c>
      <c r="D329">
        <v>1598</v>
      </c>
      <c r="E329" t="s">
        <v>9589</v>
      </c>
      <c r="F329">
        <v>60</v>
      </c>
      <c r="G329" s="28" t="s">
        <v>9590</v>
      </c>
    </row>
    <row r="330" spans="1:7" ht="43.2" x14ac:dyDescent="0.3">
      <c r="A330" t="s">
        <v>9582</v>
      </c>
      <c r="B330" t="s">
        <v>9642</v>
      </c>
      <c r="C330" s="20" t="s">
        <v>9643</v>
      </c>
      <c r="D330">
        <v>1598</v>
      </c>
      <c r="E330" t="s">
        <v>9589</v>
      </c>
      <c r="F330">
        <v>60</v>
      </c>
      <c r="G330" s="28" t="s">
        <v>9590</v>
      </c>
    </row>
    <row r="331" spans="1:7" ht="57.6" x14ac:dyDescent="0.3">
      <c r="A331" t="s">
        <v>9582</v>
      </c>
      <c r="B331" t="s">
        <v>9644</v>
      </c>
      <c r="C331" s="20" t="s">
        <v>9645</v>
      </c>
      <c r="D331">
        <v>1075</v>
      </c>
      <c r="E331" t="s">
        <v>9633</v>
      </c>
      <c r="F331">
        <v>2.2000000000000002</v>
      </c>
      <c r="G331" s="28" t="s">
        <v>9590</v>
      </c>
    </row>
    <row r="332" spans="1:7" ht="115.2" x14ac:dyDescent="0.3">
      <c r="A332" t="s">
        <v>9582</v>
      </c>
      <c r="B332" t="s">
        <v>9646</v>
      </c>
      <c r="C332" s="20" t="s">
        <v>12348</v>
      </c>
      <c r="D332">
        <v>1296</v>
      </c>
      <c r="E332" t="s">
        <v>9585</v>
      </c>
      <c r="F332">
        <v>5</v>
      </c>
      <c r="G332" s="28" t="s">
        <v>12429</v>
      </c>
    </row>
    <row r="333" spans="1:7" ht="28.8" x14ac:dyDescent="0.3">
      <c r="A333" t="s">
        <v>9582</v>
      </c>
      <c r="B333" t="s">
        <v>9647</v>
      </c>
      <c r="C333" s="20" t="s">
        <v>9648</v>
      </c>
      <c r="D333">
        <v>33</v>
      </c>
      <c r="E333" t="s">
        <v>9589</v>
      </c>
      <c r="F333">
        <v>35</v>
      </c>
      <c r="G333" s="28" t="s">
        <v>9590</v>
      </c>
    </row>
    <row r="334" spans="1:7" ht="28.8" x14ac:dyDescent="0.3">
      <c r="A334" t="s">
        <v>9582</v>
      </c>
      <c r="B334" t="s">
        <v>9647</v>
      </c>
      <c r="C334" s="20" t="s">
        <v>9648</v>
      </c>
      <c r="D334">
        <v>33</v>
      </c>
      <c r="E334" t="s">
        <v>9589</v>
      </c>
      <c r="F334">
        <v>35</v>
      </c>
      <c r="G334" s="28" t="s">
        <v>9590</v>
      </c>
    </row>
    <row r="335" spans="1:7" ht="28.8" x14ac:dyDescent="0.3">
      <c r="A335" t="s">
        <v>9582</v>
      </c>
      <c r="B335" t="s">
        <v>9649</v>
      </c>
      <c r="C335" s="20" t="s">
        <v>9650</v>
      </c>
      <c r="D335">
        <v>1424</v>
      </c>
      <c r="E335" t="s">
        <v>9589</v>
      </c>
      <c r="F335">
        <v>35</v>
      </c>
      <c r="G335" s="28" t="s">
        <v>9590</v>
      </c>
    </row>
    <row r="336" spans="1:7" ht="28.8" x14ac:dyDescent="0.3">
      <c r="A336" t="s">
        <v>9582</v>
      </c>
      <c r="B336" t="s">
        <v>9649</v>
      </c>
      <c r="C336" s="20" t="s">
        <v>9650</v>
      </c>
      <c r="D336">
        <v>1424</v>
      </c>
      <c r="E336" t="s">
        <v>9589</v>
      </c>
      <c r="F336">
        <v>35</v>
      </c>
      <c r="G336" s="28" t="s">
        <v>9590</v>
      </c>
    </row>
    <row r="337" spans="1:7" ht="43.2" x14ac:dyDescent="0.3">
      <c r="A337" t="s">
        <v>9582</v>
      </c>
      <c r="B337" t="s">
        <v>9651</v>
      </c>
      <c r="C337" s="20" t="s">
        <v>9652</v>
      </c>
      <c r="D337">
        <v>542</v>
      </c>
      <c r="E337" t="s">
        <v>9653</v>
      </c>
      <c r="F337">
        <v>2</v>
      </c>
      <c r="G337" s="28" t="s">
        <v>9590</v>
      </c>
    </row>
    <row r="338" spans="1:7" ht="100.8" x14ac:dyDescent="0.3">
      <c r="A338" t="s">
        <v>9582</v>
      </c>
      <c r="B338" t="s">
        <v>9654</v>
      </c>
      <c r="C338" s="20" t="s">
        <v>9655</v>
      </c>
      <c r="D338">
        <v>36</v>
      </c>
      <c r="E338" t="s">
        <v>9585</v>
      </c>
      <c r="F338">
        <v>5</v>
      </c>
      <c r="G338" s="28" t="s">
        <v>9586</v>
      </c>
    </row>
    <row r="339" spans="1:7" ht="43.2" x14ac:dyDescent="0.3">
      <c r="A339" t="s">
        <v>9582</v>
      </c>
      <c r="B339" t="s">
        <v>9656</v>
      </c>
      <c r="C339" s="20" t="s">
        <v>9657</v>
      </c>
      <c r="D339">
        <v>682</v>
      </c>
      <c r="E339" t="s">
        <v>9589</v>
      </c>
      <c r="F339">
        <v>35</v>
      </c>
      <c r="G339" s="28" t="s">
        <v>9590</v>
      </c>
    </row>
    <row r="340" spans="1:7" ht="43.2" x14ac:dyDescent="0.3">
      <c r="A340" t="s">
        <v>9582</v>
      </c>
      <c r="B340" t="s">
        <v>9656</v>
      </c>
      <c r="C340" s="20" t="s">
        <v>9657</v>
      </c>
      <c r="D340">
        <v>682</v>
      </c>
      <c r="E340" t="s">
        <v>9589</v>
      </c>
      <c r="F340">
        <v>35</v>
      </c>
      <c r="G340" s="28" t="s">
        <v>9590</v>
      </c>
    </row>
    <row r="341" spans="1:7" ht="43.2" x14ac:dyDescent="0.3">
      <c r="A341" t="s">
        <v>9582</v>
      </c>
      <c r="B341" t="s">
        <v>9658</v>
      </c>
      <c r="C341" s="20" t="s">
        <v>9659</v>
      </c>
      <c r="D341">
        <v>692</v>
      </c>
      <c r="E341" t="s">
        <v>9589</v>
      </c>
      <c r="F341">
        <v>35</v>
      </c>
      <c r="G341" s="28" t="s">
        <v>9590</v>
      </c>
    </row>
    <row r="342" spans="1:7" ht="43.2" x14ac:dyDescent="0.3">
      <c r="A342" t="s">
        <v>9582</v>
      </c>
      <c r="B342" t="s">
        <v>9660</v>
      </c>
      <c r="C342" s="20" t="s">
        <v>9661</v>
      </c>
      <c r="D342">
        <v>1255</v>
      </c>
      <c r="E342" t="s">
        <v>9653</v>
      </c>
      <c r="F342">
        <v>7</v>
      </c>
      <c r="G342" s="28" t="s">
        <v>9590</v>
      </c>
    </row>
    <row r="343" spans="1:7" ht="57.6" x14ac:dyDescent="0.3">
      <c r="A343" t="s">
        <v>9582</v>
      </c>
      <c r="B343" t="s">
        <v>9662</v>
      </c>
      <c r="C343" s="20" t="s">
        <v>9663</v>
      </c>
      <c r="D343">
        <v>1560</v>
      </c>
      <c r="E343" t="s">
        <v>9653</v>
      </c>
      <c r="F343">
        <v>5</v>
      </c>
      <c r="G343" s="28" t="s">
        <v>9590</v>
      </c>
    </row>
    <row r="344" spans="1:7" ht="57.6" x14ac:dyDescent="0.3">
      <c r="A344" t="s">
        <v>9582</v>
      </c>
      <c r="B344" t="s">
        <v>9664</v>
      </c>
      <c r="C344" s="20" t="s">
        <v>9665</v>
      </c>
      <c r="D344">
        <v>1558</v>
      </c>
      <c r="E344" t="s">
        <v>9653</v>
      </c>
      <c r="F344">
        <v>5</v>
      </c>
      <c r="G344" s="28" t="s">
        <v>9590</v>
      </c>
    </row>
    <row r="345" spans="1:7" ht="57.6" x14ac:dyDescent="0.3">
      <c r="A345" t="s">
        <v>9582</v>
      </c>
      <c r="B345" t="s">
        <v>9666</v>
      </c>
      <c r="C345" s="20" t="s">
        <v>9667</v>
      </c>
      <c r="D345">
        <v>1559</v>
      </c>
      <c r="E345" t="s">
        <v>9653</v>
      </c>
      <c r="F345">
        <v>5</v>
      </c>
      <c r="G345" s="28" t="s">
        <v>9590</v>
      </c>
    </row>
    <row r="346" spans="1:7" ht="57.6" x14ac:dyDescent="0.3">
      <c r="A346" t="s">
        <v>9582</v>
      </c>
      <c r="B346" t="s">
        <v>9668</v>
      </c>
      <c r="C346" s="20" t="s">
        <v>9669</v>
      </c>
      <c r="D346">
        <v>1562</v>
      </c>
      <c r="E346" t="s">
        <v>9653</v>
      </c>
      <c r="F346">
        <v>5</v>
      </c>
      <c r="G346" s="28" t="s">
        <v>9590</v>
      </c>
    </row>
    <row r="347" spans="1:7" ht="57.6" x14ac:dyDescent="0.3">
      <c r="A347" t="s">
        <v>9582</v>
      </c>
      <c r="B347" t="s">
        <v>9670</v>
      </c>
      <c r="C347" s="20" t="s">
        <v>9671</v>
      </c>
      <c r="D347">
        <v>1561</v>
      </c>
      <c r="E347" t="s">
        <v>9653</v>
      </c>
      <c r="F347">
        <v>5</v>
      </c>
      <c r="G347" s="28" t="s">
        <v>9590</v>
      </c>
    </row>
    <row r="348" spans="1:7" ht="57.6" x14ac:dyDescent="0.3">
      <c r="A348" t="s">
        <v>9582</v>
      </c>
      <c r="B348" t="s">
        <v>9672</v>
      </c>
      <c r="C348" s="20" t="s">
        <v>9673</v>
      </c>
      <c r="D348">
        <v>531</v>
      </c>
      <c r="E348" t="s">
        <v>9633</v>
      </c>
      <c r="F348">
        <v>6.2</v>
      </c>
      <c r="G348" s="28" t="s">
        <v>9590</v>
      </c>
    </row>
    <row r="349" spans="1:7" ht="331.2" x14ac:dyDescent="0.3">
      <c r="A349" t="s">
        <v>9582</v>
      </c>
      <c r="B349" t="s">
        <v>9674</v>
      </c>
      <c r="C349" s="20" t="s">
        <v>9675</v>
      </c>
      <c r="D349">
        <v>38</v>
      </c>
      <c r="E349" t="s">
        <v>9585</v>
      </c>
      <c r="F349">
        <v>5</v>
      </c>
      <c r="G349" s="28" t="s">
        <v>12430</v>
      </c>
    </row>
    <row r="350" spans="1:7" ht="331.2" x14ac:dyDescent="0.3">
      <c r="A350" t="s">
        <v>9582</v>
      </c>
      <c r="B350" t="s">
        <v>9674</v>
      </c>
      <c r="C350" s="20" t="s">
        <v>9675</v>
      </c>
      <c r="D350">
        <v>38</v>
      </c>
      <c r="E350" t="s">
        <v>9585</v>
      </c>
      <c r="F350">
        <v>5</v>
      </c>
      <c r="G350" s="28" t="s">
        <v>12430</v>
      </c>
    </row>
    <row r="351" spans="1:7" ht="331.2" x14ac:dyDescent="0.3">
      <c r="A351" t="s">
        <v>9582</v>
      </c>
      <c r="B351" t="s">
        <v>9674</v>
      </c>
      <c r="C351" s="20" t="s">
        <v>9675</v>
      </c>
      <c r="D351">
        <v>38</v>
      </c>
      <c r="E351" t="s">
        <v>9585</v>
      </c>
      <c r="F351">
        <v>5</v>
      </c>
      <c r="G351" s="28" t="s">
        <v>12430</v>
      </c>
    </row>
    <row r="352" spans="1:7" ht="331.2" x14ac:dyDescent="0.3">
      <c r="A352" t="s">
        <v>9582</v>
      </c>
      <c r="B352" t="s">
        <v>9674</v>
      </c>
      <c r="C352" s="20" t="s">
        <v>9675</v>
      </c>
      <c r="D352">
        <v>38</v>
      </c>
      <c r="E352" t="s">
        <v>9585</v>
      </c>
      <c r="F352">
        <v>5</v>
      </c>
      <c r="G352" s="28" t="s">
        <v>12430</v>
      </c>
    </row>
    <row r="353" spans="1:7" ht="57.6" x14ac:dyDescent="0.3">
      <c r="A353" t="s">
        <v>9582</v>
      </c>
      <c r="B353" t="s">
        <v>9676</v>
      </c>
      <c r="C353" s="20" t="s">
        <v>9677</v>
      </c>
      <c r="D353">
        <v>459</v>
      </c>
      <c r="E353" t="s">
        <v>9585</v>
      </c>
      <c r="F353">
        <v>5</v>
      </c>
      <c r="G353" s="28" t="s">
        <v>12431</v>
      </c>
    </row>
    <row r="354" spans="1:7" ht="43.2" x14ac:dyDescent="0.3">
      <c r="A354" t="s">
        <v>9582</v>
      </c>
      <c r="B354" t="s">
        <v>9678</v>
      </c>
      <c r="C354" s="20" t="s">
        <v>9679</v>
      </c>
      <c r="D354">
        <v>451</v>
      </c>
      <c r="E354" t="s">
        <v>9589</v>
      </c>
      <c r="F354">
        <v>80</v>
      </c>
      <c r="G354" s="28" t="s">
        <v>9590</v>
      </c>
    </row>
    <row r="355" spans="1:7" ht="28.8" x14ac:dyDescent="0.3">
      <c r="A355" t="s">
        <v>9582</v>
      </c>
      <c r="B355" t="s">
        <v>9680</v>
      </c>
      <c r="C355" s="20" t="s">
        <v>9681</v>
      </c>
      <c r="D355">
        <v>39</v>
      </c>
      <c r="E355" t="s">
        <v>9616</v>
      </c>
      <c r="F355">
        <v>8</v>
      </c>
      <c r="G355" s="28" t="s">
        <v>9590</v>
      </c>
    </row>
    <row r="356" spans="1:7" ht="28.8" x14ac:dyDescent="0.3">
      <c r="A356" t="s">
        <v>9582</v>
      </c>
      <c r="B356" t="s">
        <v>9682</v>
      </c>
      <c r="C356" s="20" t="s">
        <v>9683</v>
      </c>
      <c r="D356">
        <v>44</v>
      </c>
      <c r="E356" t="s">
        <v>9589</v>
      </c>
      <c r="F356">
        <v>60</v>
      </c>
      <c r="G356" s="28" t="s">
        <v>9590</v>
      </c>
    </row>
    <row r="357" spans="1:7" ht="115.2" x14ac:dyDescent="0.3">
      <c r="A357" t="s">
        <v>9582</v>
      </c>
      <c r="B357" t="s">
        <v>9684</v>
      </c>
      <c r="C357" s="20" t="s">
        <v>9685</v>
      </c>
      <c r="D357">
        <v>45</v>
      </c>
      <c r="E357" t="s">
        <v>9585</v>
      </c>
      <c r="F357">
        <v>5</v>
      </c>
      <c r="G357" s="28" t="s">
        <v>12432</v>
      </c>
    </row>
    <row r="358" spans="1:7" ht="43.2" x14ac:dyDescent="0.3">
      <c r="A358" t="s">
        <v>9582</v>
      </c>
      <c r="B358" t="s">
        <v>9686</v>
      </c>
      <c r="C358" s="20" t="s">
        <v>9687</v>
      </c>
      <c r="D358">
        <v>1143</v>
      </c>
      <c r="E358" t="s">
        <v>9589</v>
      </c>
      <c r="F358">
        <v>60</v>
      </c>
      <c r="G358" s="28" t="s">
        <v>9590</v>
      </c>
    </row>
    <row r="359" spans="1:7" ht="28.8" x14ac:dyDescent="0.3">
      <c r="A359" t="s">
        <v>9582</v>
      </c>
      <c r="B359" t="s">
        <v>9688</v>
      </c>
      <c r="C359" s="20" t="s">
        <v>9689</v>
      </c>
      <c r="D359">
        <v>1611</v>
      </c>
      <c r="E359" t="s">
        <v>9589</v>
      </c>
      <c r="F359">
        <v>50</v>
      </c>
      <c r="G359" s="28" t="s">
        <v>9590</v>
      </c>
    </row>
    <row r="360" spans="1:7" ht="86.4" x14ac:dyDescent="0.3">
      <c r="A360" t="s">
        <v>9582</v>
      </c>
      <c r="B360" t="s">
        <v>9690</v>
      </c>
      <c r="C360" s="20" t="s">
        <v>9691</v>
      </c>
      <c r="D360">
        <v>1393</v>
      </c>
      <c r="E360" t="s">
        <v>9585</v>
      </c>
      <c r="F360">
        <v>5</v>
      </c>
      <c r="G360" s="28" t="s">
        <v>12433</v>
      </c>
    </row>
    <row r="361" spans="1:7" ht="100.8" x14ac:dyDescent="0.3">
      <c r="A361" t="s">
        <v>9582</v>
      </c>
      <c r="B361" t="s">
        <v>9692</v>
      </c>
      <c r="C361" s="20" t="s">
        <v>9693</v>
      </c>
      <c r="D361">
        <v>49</v>
      </c>
      <c r="E361" t="s">
        <v>9585</v>
      </c>
      <c r="F361">
        <v>5</v>
      </c>
      <c r="G361" s="28" t="s">
        <v>12434</v>
      </c>
    </row>
    <row r="362" spans="1:7" ht="28.8" x14ac:dyDescent="0.3">
      <c r="A362" t="s">
        <v>9582</v>
      </c>
      <c r="B362" t="s">
        <v>9694</v>
      </c>
      <c r="C362" s="20" t="s">
        <v>9695</v>
      </c>
      <c r="D362">
        <v>1487</v>
      </c>
      <c r="E362" t="s">
        <v>9589</v>
      </c>
      <c r="F362">
        <v>50</v>
      </c>
      <c r="G362" s="28" t="s">
        <v>9590</v>
      </c>
    </row>
    <row r="363" spans="1:7" ht="28.8" x14ac:dyDescent="0.3">
      <c r="A363" t="s">
        <v>9582</v>
      </c>
      <c r="B363" t="s">
        <v>9696</v>
      </c>
      <c r="C363" s="20" t="s">
        <v>9697</v>
      </c>
      <c r="D363">
        <v>1488</v>
      </c>
      <c r="E363" t="s">
        <v>9653</v>
      </c>
      <c r="F363">
        <v>5</v>
      </c>
      <c r="G363" s="28" t="s">
        <v>9590</v>
      </c>
    </row>
    <row r="364" spans="1:7" ht="43.2" x14ac:dyDescent="0.3">
      <c r="A364" t="s">
        <v>9582</v>
      </c>
      <c r="B364" t="s">
        <v>9698</v>
      </c>
      <c r="C364" s="20" t="s">
        <v>9699</v>
      </c>
      <c r="D364">
        <v>1486</v>
      </c>
      <c r="E364" t="s">
        <v>9589</v>
      </c>
      <c r="F364">
        <v>5</v>
      </c>
      <c r="G364" s="28" t="s">
        <v>9590</v>
      </c>
    </row>
    <row r="365" spans="1:7" ht="28.8" x14ac:dyDescent="0.3">
      <c r="A365" t="s">
        <v>9582</v>
      </c>
      <c r="B365" t="s">
        <v>9700</v>
      </c>
      <c r="C365" s="20" t="s">
        <v>9701</v>
      </c>
      <c r="D365">
        <v>1615</v>
      </c>
      <c r="E365" t="s">
        <v>9589</v>
      </c>
      <c r="F365">
        <v>80</v>
      </c>
      <c r="G365" s="28" t="s">
        <v>9590</v>
      </c>
    </row>
    <row r="366" spans="1:7" ht="28.8" x14ac:dyDescent="0.3">
      <c r="A366" t="s">
        <v>9582</v>
      </c>
      <c r="B366" t="s">
        <v>9702</v>
      </c>
      <c r="C366" s="20" t="s">
        <v>9703</v>
      </c>
      <c r="D366">
        <v>1352</v>
      </c>
      <c r="E366" t="s">
        <v>9589</v>
      </c>
      <c r="F366">
        <v>60</v>
      </c>
      <c r="G366" s="28" t="s">
        <v>9590</v>
      </c>
    </row>
    <row r="367" spans="1:7" ht="28.8" x14ac:dyDescent="0.3">
      <c r="A367" t="s">
        <v>9582</v>
      </c>
      <c r="B367" t="s">
        <v>9704</v>
      </c>
      <c r="C367" s="20" t="s">
        <v>9705</v>
      </c>
      <c r="D367">
        <v>1629</v>
      </c>
      <c r="E367" t="s">
        <v>9589</v>
      </c>
      <c r="F367">
        <v>30</v>
      </c>
      <c r="G367" s="28" t="s">
        <v>9590</v>
      </c>
    </row>
    <row r="368" spans="1:7" ht="57.6" x14ac:dyDescent="0.3">
      <c r="A368" t="s">
        <v>9582</v>
      </c>
      <c r="B368" t="s">
        <v>9706</v>
      </c>
      <c r="C368" s="20" t="s">
        <v>9707</v>
      </c>
      <c r="D368">
        <v>1353</v>
      </c>
      <c r="E368" t="s">
        <v>9589</v>
      </c>
      <c r="F368">
        <v>45</v>
      </c>
      <c r="G368" s="28" t="s">
        <v>9590</v>
      </c>
    </row>
    <row r="369" spans="1:7" ht="28.8" x14ac:dyDescent="0.3">
      <c r="A369" t="s">
        <v>9582</v>
      </c>
      <c r="B369" t="s">
        <v>9708</v>
      </c>
      <c r="C369" s="20" t="s">
        <v>9709</v>
      </c>
      <c r="D369">
        <v>1351</v>
      </c>
      <c r="E369" t="s">
        <v>9589</v>
      </c>
      <c r="F369">
        <v>45</v>
      </c>
      <c r="G369" s="28" t="s">
        <v>9590</v>
      </c>
    </row>
    <row r="370" spans="1:7" ht="28.8" x14ac:dyDescent="0.3">
      <c r="A370" t="s">
        <v>9582</v>
      </c>
      <c r="B370" t="s">
        <v>9710</v>
      </c>
      <c r="C370" s="20" t="s">
        <v>9711</v>
      </c>
      <c r="D370">
        <v>199</v>
      </c>
      <c r="E370" t="s">
        <v>9653</v>
      </c>
      <c r="F370">
        <v>3</v>
      </c>
      <c r="G370" s="28" t="s">
        <v>9590</v>
      </c>
    </row>
    <row r="371" spans="1:7" ht="129.6" x14ac:dyDescent="0.3">
      <c r="A371" t="s">
        <v>9582</v>
      </c>
      <c r="B371" t="s">
        <v>9712</v>
      </c>
      <c r="C371" s="20" t="s">
        <v>9713</v>
      </c>
      <c r="D371">
        <v>1513</v>
      </c>
      <c r="E371" t="s">
        <v>9585</v>
      </c>
      <c r="F371">
        <v>5</v>
      </c>
      <c r="G371" s="28" t="s">
        <v>12435</v>
      </c>
    </row>
    <row r="372" spans="1:7" ht="28.8" x14ac:dyDescent="0.3">
      <c r="A372" t="s">
        <v>9582</v>
      </c>
      <c r="B372" t="s">
        <v>9712</v>
      </c>
      <c r="C372" s="20" t="s">
        <v>9713</v>
      </c>
      <c r="D372">
        <v>1513</v>
      </c>
      <c r="E372" t="s">
        <v>9585</v>
      </c>
      <c r="F372">
        <v>5</v>
      </c>
      <c r="G372" s="28" t="s">
        <v>9590</v>
      </c>
    </row>
    <row r="373" spans="1:7" ht="72" x14ac:dyDescent="0.3">
      <c r="A373" t="s">
        <v>9582</v>
      </c>
      <c r="B373" t="s">
        <v>9714</v>
      </c>
      <c r="C373" s="20" t="s">
        <v>9715</v>
      </c>
      <c r="D373">
        <v>54</v>
      </c>
      <c r="E373" t="s">
        <v>9585</v>
      </c>
      <c r="F373">
        <v>5</v>
      </c>
      <c r="G373" s="28" t="s">
        <v>12436</v>
      </c>
    </row>
    <row r="374" spans="1:7" ht="409.6" x14ac:dyDescent="0.3">
      <c r="A374" t="s">
        <v>9582</v>
      </c>
      <c r="B374" t="s">
        <v>9716</v>
      </c>
      <c r="C374" s="20" t="s">
        <v>9717</v>
      </c>
      <c r="D374">
        <v>2061</v>
      </c>
      <c r="E374" t="s">
        <v>9585</v>
      </c>
      <c r="F374">
        <v>5</v>
      </c>
      <c r="G374" s="28" t="s">
        <v>12437</v>
      </c>
    </row>
    <row r="375" spans="1:7" ht="187.2" x14ac:dyDescent="0.3">
      <c r="A375" t="s">
        <v>9582</v>
      </c>
      <c r="B375" t="s">
        <v>9718</v>
      </c>
      <c r="C375" s="20" t="s">
        <v>9719</v>
      </c>
      <c r="D375">
        <v>55</v>
      </c>
      <c r="E375" t="s">
        <v>9585</v>
      </c>
      <c r="F375">
        <v>5</v>
      </c>
      <c r="G375" s="28" t="s">
        <v>12438</v>
      </c>
    </row>
    <row r="376" spans="1:7" ht="230.4" x14ac:dyDescent="0.3">
      <c r="A376" t="s">
        <v>9582</v>
      </c>
      <c r="B376" t="s">
        <v>9720</v>
      </c>
      <c r="C376" s="20" t="s">
        <v>9721</v>
      </c>
      <c r="D376">
        <v>57</v>
      </c>
      <c r="E376" t="s">
        <v>9585</v>
      </c>
      <c r="F376">
        <v>5</v>
      </c>
      <c r="G376" s="28" t="s">
        <v>12439</v>
      </c>
    </row>
    <row r="377" spans="1:7" ht="409.6" x14ac:dyDescent="0.3">
      <c r="A377" t="s">
        <v>9582</v>
      </c>
      <c r="B377" t="s">
        <v>9722</v>
      </c>
      <c r="C377" s="20" t="s">
        <v>9723</v>
      </c>
      <c r="D377">
        <v>59</v>
      </c>
      <c r="E377" t="s">
        <v>9585</v>
      </c>
      <c r="F377">
        <v>5</v>
      </c>
      <c r="G377" s="28" t="s">
        <v>12440</v>
      </c>
    </row>
    <row r="378" spans="1:7" ht="57.6" x14ac:dyDescent="0.3">
      <c r="A378" t="s">
        <v>9582</v>
      </c>
      <c r="B378" t="s">
        <v>9724</v>
      </c>
      <c r="C378" s="20" t="s">
        <v>9725</v>
      </c>
      <c r="D378">
        <v>60</v>
      </c>
      <c r="E378" t="s">
        <v>9589</v>
      </c>
      <c r="F378">
        <v>45</v>
      </c>
      <c r="G378" s="28" t="s">
        <v>9590</v>
      </c>
    </row>
    <row r="379" spans="1:7" ht="28.8" x14ac:dyDescent="0.3">
      <c r="A379" t="s">
        <v>9582</v>
      </c>
      <c r="B379" t="s">
        <v>9726</v>
      </c>
      <c r="C379" s="20" t="s">
        <v>9727</v>
      </c>
      <c r="D379">
        <v>68</v>
      </c>
      <c r="E379" t="s">
        <v>9589</v>
      </c>
      <c r="F379">
        <v>60</v>
      </c>
      <c r="G379" s="28" t="s">
        <v>9590</v>
      </c>
    </row>
    <row r="380" spans="1:7" ht="129.6" x14ac:dyDescent="0.3">
      <c r="A380" t="s">
        <v>9582</v>
      </c>
      <c r="B380" t="s">
        <v>9728</v>
      </c>
      <c r="C380" s="20" t="s">
        <v>9729</v>
      </c>
      <c r="D380">
        <v>1632</v>
      </c>
      <c r="E380" t="s">
        <v>9633</v>
      </c>
      <c r="F380">
        <v>10.199999999999999</v>
      </c>
      <c r="G380" s="28" t="s">
        <v>9590</v>
      </c>
    </row>
    <row r="381" spans="1:7" ht="28.8" x14ac:dyDescent="0.3">
      <c r="A381" t="s">
        <v>9582</v>
      </c>
      <c r="B381" t="s">
        <v>7828</v>
      </c>
      <c r="C381" s="20" t="s">
        <v>9730</v>
      </c>
      <c r="D381">
        <v>69</v>
      </c>
      <c r="E381" t="s">
        <v>9589</v>
      </c>
      <c r="F381">
        <v>60</v>
      </c>
      <c r="G381" s="28" t="s">
        <v>9590</v>
      </c>
    </row>
    <row r="382" spans="1:7" ht="28.8" x14ac:dyDescent="0.3">
      <c r="A382" t="s">
        <v>9582</v>
      </c>
      <c r="B382" t="s">
        <v>7828</v>
      </c>
      <c r="C382" s="20" t="s">
        <v>9730</v>
      </c>
      <c r="D382">
        <v>69</v>
      </c>
      <c r="E382" t="s">
        <v>9589</v>
      </c>
      <c r="F382">
        <v>60</v>
      </c>
      <c r="G382" s="28" t="s">
        <v>9590</v>
      </c>
    </row>
    <row r="383" spans="1:7" ht="100.8" x14ac:dyDescent="0.3">
      <c r="A383" t="s">
        <v>9582</v>
      </c>
      <c r="B383" t="s">
        <v>9731</v>
      </c>
      <c r="C383" s="20" t="s">
        <v>9732</v>
      </c>
      <c r="D383">
        <v>558</v>
      </c>
      <c r="E383" t="s">
        <v>9589</v>
      </c>
      <c r="F383">
        <v>80</v>
      </c>
      <c r="G383" s="28" t="s">
        <v>9590</v>
      </c>
    </row>
    <row r="384" spans="1:7" ht="28.8" x14ac:dyDescent="0.3">
      <c r="A384" t="s">
        <v>9582</v>
      </c>
      <c r="B384" t="s">
        <v>9733</v>
      </c>
      <c r="C384" s="20" t="s">
        <v>9734</v>
      </c>
      <c r="D384">
        <v>71</v>
      </c>
      <c r="E384" t="s">
        <v>9616</v>
      </c>
      <c r="F384">
        <v>8</v>
      </c>
      <c r="G384" s="28" t="s">
        <v>9590</v>
      </c>
    </row>
    <row r="385" spans="1:7" ht="28.8" x14ac:dyDescent="0.3">
      <c r="A385" t="s">
        <v>9582</v>
      </c>
      <c r="B385" t="s">
        <v>9733</v>
      </c>
      <c r="C385" s="20" t="s">
        <v>9734</v>
      </c>
      <c r="D385">
        <v>71</v>
      </c>
      <c r="E385" t="s">
        <v>9616</v>
      </c>
      <c r="F385">
        <v>8</v>
      </c>
      <c r="G385" s="28" t="s">
        <v>9590</v>
      </c>
    </row>
    <row r="386" spans="1:7" ht="43.2" x14ac:dyDescent="0.3">
      <c r="A386" t="s">
        <v>9582</v>
      </c>
      <c r="B386" t="s">
        <v>9735</v>
      </c>
      <c r="C386" s="20" t="s">
        <v>9736</v>
      </c>
      <c r="D386">
        <v>72</v>
      </c>
      <c r="E386" t="s">
        <v>9653</v>
      </c>
      <c r="F386">
        <v>2</v>
      </c>
      <c r="G386" s="28" t="s">
        <v>9590</v>
      </c>
    </row>
    <row r="387" spans="1:7" ht="43.2" x14ac:dyDescent="0.3">
      <c r="A387" t="s">
        <v>9582</v>
      </c>
      <c r="B387" t="s">
        <v>9735</v>
      </c>
      <c r="C387" s="20" t="s">
        <v>9736</v>
      </c>
      <c r="D387">
        <v>72</v>
      </c>
      <c r="E387" t="s">
        <v>9653</v>
      </c>
      <c r="F387">
        <v>2</v>
      </c>
      <c r="G387" s="28" t="s">
        <v>9590</v>
      </c>
    </row>
    <row r="388" spans="1:7" ht="43.2" x14ac:dyDescent="0.3">
      <c r="A388" t="s">
        <v>9582</v>
      </c>
      <c r="B388" t="s">
        <v>9737</v>
      </c>
      <c r="C388" s="20" t="s">
        <v>9738</v>
      </c>
      <c r="D388">
        <v>1114</v>
      </c>
      <c r="E388" t="s">
        <v>9589</v>
      </c>
      <c r="F388">
        <v>30</v>
      </c>
      <c r="G388" s="28" t="s">
        <v>9590</v>
      </c>
    </row>
    <row r="389" spans="1:7" ht="43.2" x14ac:dyDescent="0.3">
      <c r="A389" t="s">
        <v>9582</v>
      </c>
      <c r="B389" t="s">
        <v>9737</v>
      </c>
      <c r="C389" s="20" t="s">
        <v>9738</v>
      </c>
      <c r="D389">
        <v>1114</v>
      </c>
      <c r="E389" t="s">
        <v>9589</v>
      </c>
      <c r="F389">
        <v>30</v>
      </c>
      <c r="G389" s="28" t="s">
        <v>9590</v>
      </c>
    </row>
    <row r="390" spans="1:7" ht="43.2" x14ac:dyDescent="0.3">
      <c r="A390" t="s">
        <v>9582</v>
      </c>
      <c r="B390" t="s">
        <v>9737</v>
      </c>
      <c r="C390" s="20" t="s">
        <v>9738</v>
      </c>
      <c r="D390">
        <v>1114</v>
      </c>
      <c r="E390" t="s">
        <v>9589</v>
      </c>
      <c r="F390">
        <v>30</v>
      </c>
      <c r="G390" s="28" t="s">
        <v>9590</v>
      </c>
    </row>
    <row r="391" spans="1:7" ht="86.4" x14ac:dyDescent="0.3">
      <c r="A391" t="s">
        <v>9582</v>
      </c>
      <c r="B391" t="s">
        <v>9739</v>
      </c>
      <c r="C391" s="20" t="s">
        <v>9740</v>
      </c>
      <c r="D391">
        <v>1224</v>
      </c>
      <c r="E391" t="s">
        <v>9585</v>
      </c>
      <c r="F391">
        <v>5</v>
      </c>
      <c r="G391" s="28" t="s">
        <v>12441</v>
      </c>
    </row>
    <row r="392" spans="1:7" ht="28.8" x14ac:dyDescent="0.3">
      <c r="A392" t="s">
        <v>9582</v>
      </c>
      <c r="B392" t="s">
        <v>9741</v>
      </c>
      <c r="C392" s="20" t="s">
        <v>9742</v>
      </c>
      <c r="D392">
        <v>1379</v>
      </c>
      <c r="E392" t="s">
        <v>9585</v>
      </c>
      <c r="F392">
        <v>5</v>
      </c>
      <c r="G392" s="28" t="s">
        <v>9586</v>
      </c>
    </row>
    <row r="393" spans="1:7" ht="72" x14ac:dyDescent="0.3">
      <c r="A393" t="s">
        <v>9582</v>
      </c>
      <c r="B393" t="s">
        <v>9743</v>
      </c>
      <c r="C393" s="20" t="s">
        <v>9744</v>
      </c>
      <c r="D393">
        <v>960</v>
      </c>
      <c r="E393" t="s">
        <v>9589</v>
      </c>
      <c r="F393">
        <v>30</v>
      </c>
      <c r="G393" s="28" t="s">
        <v>9590</v>
      </c>
    </row>
    <row r="394" spans="1:7" ht="28.8" x14ac:dyDescent="0.3">
      <c r="A394" t="s">
        <v>9582</v>
      </c>
      <c r="B394" t="s">
        <v>9745</v>
      </c>
      <c r="C394" s="20" t="s">
        <v>12349</v>
      </c>
      <c r="D394">
        <v>1199</v>
      </c>
      <c r="E394" t="s">
        <v>9589</v>
      </c>
      <c r="F394">
        <v>60</v>
      </c>
      <c r="G394" s="28" t="s">
        <v>9590</v>
      </c>
    </row>
    <row r="395" spans="1:7" ht="100.8" x14ac:dyDescent="0.3">
      <c r="A395" t="s">
        <v>9582</v>
      </c>
      <c r="B395" t="s">
        <v>9746</v>
      </c>
      <c r="C395" s="20" t="s">
        <v>12350</v>
      </c>
      <c r="D395">
        <v>1297</v>
      </c>
      <c r="E395" t="s">
        <v>9585</v>
      </c>
      <c r="F395">
        <v>5</v>
      </c>
      <c r="G395" s="28" t="s">
        <v>12442</v>
      </c>
    </row>
    <row r="396" spans="1:7" ht="28.8" x14ac:dyDescent="0.3">
      <c r="A396" t="s">
        <v>9582</v>
      </c>
      <c r="B396" t="s">
        <v>9747</v>
      </c>
      <c r="C396" s="20" t="s">
        <v>9748</v>
      </c>
      <c r="D396">
        <v>1200</v>
      </c>
      <c r="E396" t="s">
        <v>9589</v>
      </c>
      <c r="F396">
        <v>10</v>
      </c>
      <c r="G396" s="28" t="s">
        <v>9590</v>
      </c>
    </row>
    <row r="397" spans="1:7" ht="43.2" x14ac:dyDescent="0.3">
      <c r="A397" t="s">
        <v>9582</v>
      </c>
      <c r="B397" t="s">
        <v>9749</v>
      </c>
      <c r="C397" s="20" t="s">
        <v>12351</v>
      </c>
      <c r="D397">
        <v>2201</v>
      </c>
      <c r="E397" t="s">
        <v>9589</v>
      </c>
      <c r="G397" s="17" t="s">
        <v>32</v>
      </c>
    </row>
    <row r="398" spans="1:7" ht="201.6" x14ac:dyDescent="0.3">
      <c r="A398" t="s">
        <v>9582</v>
      </c>
      <c r="B398" t="s">
        <v>9750</v>
      </c>
      <c r="C398" s="20" t="s">
        <v>9751</v>
      </c>
      <c r="D398">
        <v>420</v>
      </c>
      <c r="E398" t="s">
        <v>9585</v>
      </c>
      <c r="F398">
        <v>5</v>
      </c>
      <c r="G398" s="28" t="s">
        <v>12443</v>
      </c>
    </row>
    <row r="399" spans="1:7" ht="57.6" x14ac:dyDescent="0.3">
      <c r="A399" t="s">
        <v>9582</v>
      </c>
      <c r="B399" t="s">
        <v>9752</v>
      </c>
      <c r="C399" s="20" t="s">
        <v>9753</v>
      </c>
      <c r="D399">
        <v>489</v>
      </c>
      <c r="E399" t="s">
        <v>9585</v>
      </c>
      <c r="F399">
        <v>5</v>
      </c>
      <c r="G399" s="28" t="s">
        <v>9586</v>
      </c>
    </row>
    <row r="400" spans="1:7" ht="43.2" x14ac:dyDescent="0.3">
      <c r="A400" t="s">
        <v>9582</v>
      </c>
      <c r="B400" t="s">
        <v>9754</v>
      </c>
      <c r="C400" s="20" t="s">
        <v>9755</v>
      </c>
      <c r="D400">
        <v>490</v>
      </c>
      <c r="E400" t="s">
        <v>9585</v>
      </c>
      <c r="F400">
        <v>5</v>
      </c>
      <c r="G400" s="28" t="s">
        <v>9586</v>
      </c>
    </row>
    <row r="401" spans="1:7" ht="57.6" x14ac:dyDescent="0.3">
      <c r="A401" t="s">
        <v>9582</v>
      </c>
      <c r="B401" t="s">
        <v>9756</v>
      </c>
      <c r="C401" s="20" t="s">
        <v>9757</v>
      </c>
      <c r="D401">
        <v>450</v>
      </c>
      <c r="E401" t="s">
        <v>9589</v>
      </c>
      <c r="F401">
        <v>80</v>
      </c>
      <c r="G401" s="28" t="s">
        <v>9590</v>
      </c>
    </row>
    <row r="402" spans="1:7" ht="43.2" x14ac:dyDescent="0.3">
      <c r="A402" t="s">
        <v>9582</v>
      </c>
      <c r="B402" t="s">
        <v>9758</v>
      </c>
      <c r="C402" s="20" t="s">
        <v>9759</v>
      </c>
      <c r="D402">
        <v>77</v>
      </c>
      <c r="E402" t="s">
        <v>9633</v>
      </c>
      <c r="F402">
        <v>7.2</v>
      </c>
      <c r="G402" s="28" t="s">
        <v>9590</v>
      </c>
    </row>
    <row r="403" spans="1:7" ht="43.2" x14ac:dyDescent="0.3">
      <c r="A403" t="s">
        <v>9582</v>
      </c>
      <c r="B403" t="s">
        <v>9758</v>
      </c>
      <c r="C403" s="20" t="s">
        <v>9759</v>
      </c>
      <c r="D403">
        <v>77</v>
      </c>
      <c r="E403" t="s">
        <v>9633</v>
      </c>
      <c r="F403">
        <v>7.2</v>
      </c>
      <c r="G403" s="28" t="s">
        <v>9590</v>
      </c>
    </row>
    <row r="404" spans="1:7" ht="43.2" x14ac:dyDescent="0.3">
      <c r="A404" t="s">
        <v>9582</v>
      </c>
      <c r="B404" t="s">
        <v>9758</v>
      </c>
      <c r="C404" s="20" t="s">
        <v>9759</v>
      </c>
      <c r="D404">
        <v>77</v>
      </c>
      <c r="E404" t="s">
        <v>9633</v>
      </c>
      <c r="F404">
        <v>7.2</v>
      </c>
      <c r="G404" s="28" t="s">
        <v>9590</v>
      </c>
    </row>
    <row r="405" spans="1:7" ht="86.4" x14ac:dyDescent="0.3">
      <c r="A405" t="s">
        <v>9582</v>
      </c>
      <c r="B405" t="s">
        <v>9760</v>
      </c>
      <c r="C405" s="20" t="s">
        <v>9761</v>
      </c>
      <c r="D405">
        <v>403</v>
      </c>
      <c r="E405" t="s">
        <v>9616</v>
      </c>
      <c r="F405">
        <v>8</v>
      </c>
      <c r="G405" s="28" t="s">
        <v>9590</v>
      </c>
    </row>
    <row r="406" spans="1:7" ht="86.4" x14ac:dyDescent="0.3">
      <c r="A406" t="s">
        <v>9582</v>
      </c>
      <c r="B406" t="s">
        <v>9760</v>
      </c>
      <c r="C406" s="20" t="s">
        <v>9761</v>
      </c>
      <c r="D406">
        <v>403</v>
      </c>
      <c r="E406" t="s">
        <v>9616</v>
      </c>
      <c r="F406">
        <v>8</v>
      </c>
      <c r="G406" s="28" t="s">
        <v>9590</v>
      </c>
    </row>
    <row r="407" spans="1:7" ht="86.4" x14ac:dyDescent="0.3">
      <c r="A407" t="s">
        <v>9582</v>
      </c>
      <c r="B407" t="s">
        <v>9762</v>
      </c>
      <c r="C407" s="20" t="s">
        <v>9763</v>
      </c>
      <c r="D407">
        <v>402</v>
      </c>
      <c r="E407" t="s">
        <v>9589</v>
      </c>
      <c r="F407">
        <v>60</v>
      </c>
      <c r="G407" s="28" t="s">
        <v>9590</v>
      </c>
    </row>
    <row r="408" spans="1:7" ht="86.4" x14ac:dyDescent="0.3">
      <c r="A408" t="s">
        <v>9582</v>
      </c>
      <c r="B408" t="s">
        <v>9762</v>
      </c>
      <c r="C408" s="20" t="s">
        <v>9763</v>
      </c>
      <c r="D408">
        <v>402</v>
      </c>
      <c r="E408" t="s">
        <v>9589</v>
      </c>
      <c r="F408">
        <v>60</v>
      </c>
      <c r="G408" s="28" t="s">
        <v>9590</v>
      </c>
    </row>
    <row r="409" spans="1:7" ht="100.8" x14ac:dyDescent="0.3">
      <c r="A409" t="s">
        <v>9582</v>
      </c>
      <c r="B409" t="s">
        <v>9764</v>
      </c>
      <c r="C409" s="20" t="s">
        <v>9765</v>
      </c>
      <c r="D409">
        <v>401</v>
      </c>
      <c r="E409" t="s">
        <v>9585</v>
      </c>
      <c r="F409">
        <v>5</v>
      </c>
      <c r="G409" s="28" t="s">
        <v>12444</v>
      </c>
    </row>
    <row r="410" spans="1:7" ht="100.8" x14ac:dyDescent="0.3">
      <c r="A410" t="s">
        <v>9582</v>
      </c>
      <c r="B410" t="s">
        <v>9764</v>
      </c>
      <c r="C410" s="20" t="s">
        <v>9765</v>
      </c>
      <c r="D410">
        <v>401</v>
      </c>
      <c r="E410" t="s">
        <v>9585</v>
      </c>
      <c r="F410">
        <v>5</v>
      </c>
      <c r="G410" s="28" t="s">
        <v>12444</v>
      </c>
    </row>
    <row r="411" spans="1:7" ht="86.4" x14ac:dyDescent="0.3">
      <c r="A411" t="s">
        <v>9582</v>
      </c>
      <c r="B411" t="s">
        <v>9766</v>
      </c>
      <c r="C411" s="20" t="s">
        <v>9767</v>
      </c>
      <c r="D411">
        <v>534</v>
      </c>
      <c r="E411" t="s">
        <v>9585</v>
      </c>
      <c r="F411">
        <v>5</v>
      </c>
      <c r="G411" s="28" t="s">
        <v>12445</v>
      </c>
    </row>
    <row r="412" spans="1:7" ht="86.4" x14ac:dyDescent="0.3">
      <c r="A412" t="s">
        <v>9582</v>
      </c>
      <c r="B412" t="s">
        <v>9768</v>
      </c>
      <c r="C412" s="20" t="s">
        <v>9769</v>
      </c>
      <c r="D412">
        <v>78</v>
      </c>
      <c r="E412" t="s">
        <v>9585</v>
      </c>
      <c r="F412">
        <v>5</v>
      </c>
      <c r="G412" s="28" t="s">
        <v>12446</v>
      </c>
    </row>
    <row r="413" spans="1:7" ht="86.4" x14ac:dyDescent="0.3">
      <c r="A413" t="s">
        <v>9582</v>
      </c>
      <c r="B413" t="s">
        <v>9768</v>
      </c>
      <c r="C413" s="20" t="s">
        <v>9769</v>
      </c>
      <c r="D413">
        <v>78</v>
      </c>
      <c r="E413" t="s">
        <v>9585</v>
      </c>
      <c r="F413">
        <v>5</v>
      </c>
      <c r="G413" s="28" t="s">
        <v>12446</v>
      </c>
    </row>
    <row r="414" spans="1:7" ht="86.4" x14ac:dyDescent="0.3">
      <c r="A414" t="s">
        <v>9582</v>
      </c>
      <c r="B414" t="s">
        <v>9768</v>
      </c>
      <c r="C414" s="20" t="s">
        <v>9769</v>
      </c>
      <c r="D414">
        <v>78</v>
      </c>
      <c r="E414" t="s">
        <v>9585</v>
      </c>
      <c r="F414">
        <v>5</v>
      </c>
      <c r="G414" s="28" t="s">
        <v>12446</v>
      </c>
    </row>
    <row r="415" spans="1:7" ht="43.2" x14ac:dyDescent="0.3">
      <c r="A415" t="s">
        <v>9582</v>
      </c>
      <c r="B415" t="s">
        <v>9770</v>
      </c>
      <c r="C415" s="20" t="s">
        <v>9771</v>
      </c>
      <c r="D415">
        <v>981</v>
      </c>
      <c r="E415" t="s">
        <v>9633</v>
      </c>
      <c r="F415">
        <v>6.2</v>
      </c>
      <c r="G415" s="28" t="s">
        <v>9590</v>
      </c>
    </row>
    <row r="416" spans="1:7" ht="28.8" x14ac:dyDescent="0.3">
      <c r="A416" t="s">
        <v>9582</v>
      </c>
      <c r="B416" t="s">
        <v>9772</v>
      </c>
      <c r="C416" s="20" t="s">
        <v>9773</v>
      </c>
      <c r="D416">
        <v>1522</v>
      </c>
      <c r="E416" t="s">
        <v>9589</v>
      </c>
      <c r="F416">
        <v>80</v>
      </c>
      <c r="G416" s="28" t="s">
        <v>9590</v>
      </c>
    </row>
    <row r="417" spans="1:7" ht="28.8" x14ac:dyDescent="0.3">
      <c r="A417" t="s">
        <v>9582</v>
      </c>
      <c r="B417" t="s">
        <v>9774</v>
      </c>
      <c r="C417" s="20" t="s">
        <v>9775</v>
      </c>
      <c r="D417">
        <v>1523</v>
      </c>
      <c r="E417" t="s">
        <v>9589</v>
      </c>
      <c r="F417">
        <v>80</v>
      </c>
      <c r="G417" s="28" t="s">
        <v>9590</v>
      </c>
    </row>
    <row r="418" spans="1:7" ht="28.8" x14ac:dyDescent="0.3">
      <c r="A418" t="s">
        <v>9582</v>
      </c>
      <c r="B418" t="s">
        <v>9776</v>
      </c>
      <c r="C418" s="20" t="s">
        <v>9777</v>
      </c>
      <c r="D418">
        <v>79</v>
      </c>
      <c r="E418" t="s">
        <v>9616</v>
      </c>
      <c r="F418">
        <v>8</v>
      </c>
      <c r="G418" s="28" t="s">
        <v>9590</v>
      </c>
    </row>
    <row r="419" spans="1:7" ht="28.8" x14ac:dyDescent="0.3">
      <c r="A419" t="s">
        <v>9582</v>
      </c>
      <c r="B419" t="s">
        <v>9776</v>
      </c>
      <c r="C419" s="20" t="s">
        <v>9777</v>
      </c>
      <c r="D419">
        <v>79</v>
      </c>
      <c r="E419" t="s">
        <v>9616</v>
      </c>
      <c r="F419">
        <v>8</v>
      </c>
      <c r="G419" s="28" t="s">
        <v>9590</v>
      </c>
    </row>
    <row r="420" spans="1:7" ht="28.8" x14ac:dyDescent="0.3">
      <c r="A420" t="s">
        <v>9582</v>
      </c>
      <c r="B420" t="s">
        <v>9776</v>
      </c>
      <c r="C420" s="20" t="s">
        <v>9777</v>
      </c>
      <c r="D420">
        <v>79</v>
      </c>
      <c r="E420" t="s">
        <v>9616</v>
      </c>
      <c r="F420">
        <v>8</v>
      </c>
      <c r="G420" s="28" t="s">
        <v>9590</v>
      </c>
    </row>
    <row r="421" spans="1:7" ht="28.8" x14ac:dyDescent="0.3">
      <c r="A421" t="s">
        <v>9582</v>
      </c>
      <c r="B421" t="s">
        <v>9778</v>
      </c>
      <c r="C421" s="20" t="s">
        <v>9779</v>
      </c>
      <c r="D421">
        <v>1461</v>
      </c>
      <c r="E421" t="s">
        <v>9589</v>
      </c>
      <c r="F421">
        <v>10</v>
      </c>
      <c r="G421" s="28" t="s">
        <v>9590</v>
      </c>
    </row>
    <row r="422" spans="1:7" ht="28.8" x14ac:dyDescent="0.3">
      <c r="A422" t="s">
        <v>9582</v>
      </c>
      <c r="B422" t="s">
        <v>9780</v>
      </c>
      <c r="C422" s="20" t="s">
        <v>9781</v>
      </c>
      <c r="D422">
        <v>1460</v>
      </c>
      <c r="E422" t="s">
        <v>9589</v>
      </c>
      <c r="F422">
        <v>10</v>
      </c>
      <c r="G422" s="28" t="s">
        <v>9590</v>
      </c>
    </row>
    <row r="423" spans="1:7" ht="43.2" x14ac:dyDescent="0.3">
      <c r="A423" t="s">
        <v>9582</v>
      </c>
      <c r="B423" t="s">
        <v>9782</v>
      </c>
      <c r="C423" s="20" t="s">
        <v>9783</v>
      </c>
      <c r="D423">
        <v>1456</v>
      </c>
      <c r="E423" t="s">
        <v>9589</v>
      </c>
      <c r="F423">
        <v>25</v>
      </c>
      <c r="G423" s="28" t="s">
        <v>9590</v>
      </c>
    </row>
    <row r="424" spans="1:7" ht="43.2" x14ac:dyDescent="0.3">
      <c r="A424" t="s">
        <v>9582</v>
      </c>
      <c r="B424" t="s">
        <v>9784</v>
      </c>
      <c r="C424" s="20" t="s">
        <v>9785</v>
      </c>
      <c r="D424">
        <v>520</v>
      </c>
      <c r="E424" t="s">
        <v>9633</v>
      </c>
      <c r="F424">
        <v>6.2</v>
      </c>
      <c r="G424" s="28" t="s">
        <v>9590</v>
      </c>
    </row>
    <row r="425" spans="1:7" ht="72" x14ac:dyDescent="0.3">
      <c r="A425" t="s">
        <v>9582</v>
      </c>
      <c r="B425" t="s">
        <v>9786</v>
      </c>
      <c r="C425" s="20" t="s">
        <v>9787</v>
      </c>
      <c r="D425">
        <v>519</v>
      </c>
      <c r="E425" t="s">
        <v>9585</v>
      </c>
      <c r="F425">
        <v>5</v>
      </c>
      <c r="G425" s="28" t="s">
        <v>12447</v>
      </c>
    </row>
    <row r="426" spans="1:7" ht="172.8" x14ac:dyDescent="0.3">
      <c r="A426" t="s">
        <v>9582</v>
      </c>
      <c r="B426" t="s">
        <v>9788</v>
      </c>
      <c r="C426" s="20" t="s">
        <v>9789</v>
      </c>
      <c r="D426">
        <v>518</v>
      </c>
      <c r="E426" t="s">
        <v>9585</v>
      </c>
      <c r="F426">
        <v>5</v>
      </c>
      <c r="G426" s="28" t="s">
        <v>12448</v>
      </c>
    </row>
    <row r="427" spans="1:7" ht="57.6" x14ac:dyDescent="0.3">
      <c r="A427" t="s">
        <v>9582</v>
      </c>
      <c r="B427" t="s">
        <v>9790</v>
      </c>
      <c r="C427" s="20" t="s">
        <v>9791</v>
      </c>
      <c r="D427">
        <v>516</v>
      </c>
      <c r="E427" t="s">
        <v>9616</v>
      </c>
      <c r="F427">
        <v>8</v>
      </c>
      <c r="G427" s="28" t="s">
        <v>9590</v>
      </c>
    </row>
    <row r="428" spans="1:7" ht="100.8" x14ac:dyDescent="0.3">
      <c r="A428" t="s">
        <v>9582</v>
      </c>
      <c r="B428" t="s">
        <v>9792</v>
      </c>
      <c r="C428" s="20" t="s">
        <v>12352</v>
      </c>
      <c r="D428">
        <v>1169</v>
      </c>
      <c r="E428" t="s">
        <v>9585</v>
      </c>
      <c r="F428">
        <v>5</v>
      </c>
      <c r="G428" s="28" t="s">
        <v>12449</v>
      </c>
    </row>
    <row r="429" spans="1:7" ht="100.8" x14ac:dyDescent="0.3">
      <c r="A429" t="s">
        <v>9582</v>
      </c>
      <c r="B429" t="s">
        <v>9792</v>
      </c>
      <c r="C429" s="20" t="s">
        <v>12352</v>
      </c>
      <c r="D429">
        <v>1169</v>
      </c>
      <c r="E429" t="s">
        <v>9585</v>
      </c>
      <c r="F429">
        <v>5</v>
      </c>
      <c r="G429" s="28" t="s">
        <v>12449</v>
      </c>
    </row>
    <row r="430" spans="1:7" ht="72" x14ac:dyDescent="0.3">
      <c r="A430" t="s">
        <v>9582</v>
      </c>
      <c r="B430" t="s">
        <v>9793</v>
      </c>
      <c r="C430" s="20" t="s">
        <v>9794</v>
      </c>
      <c r="D430">
        <v>759</v>
      </c>
      <c r="E430" t="s">
        <v>9589</v>
      </c>
      <c r="F430">
        <v>8</v>
      </c>
      <c r="G430" s="28" t="s">
        <v>9590</v>
      </c>
    </row>
    <row r="431" spans="1:7" ht="100.8" x14ac:dyDescent="0.3">
      <c r="A431" t="s">
        <v>9582</v>
      </c>
      <c r="B431" t="s">
        <v>9795</v>
      </c>
      <c r="C431" s="20" t="s">
        <v>9796</v>
      </c>
      <c r="D431">
        <v>624</v>
      </c>
      <c r="E431" t="s">
        <v>9585</v>
      </c>
      <c r="F431">
        <v>5</v>
      </c>
      <c r="G431" s="28" t="s">
        <v>12450</v>
      </c>
    </row>
    <row r="432" spans="1:7" ht="28.8" x14ac:dyDescent="0.3">
      <c r="A432" t="s">
        <v>9582</v>
      </c>
      <c r="B432" t="s">
        <v>9797</v>
      </c>
      <c r="C432" s="20" t="s">
        <v>9798</v>
      </c>
      <c r="D432">
        <v>1016</v>
      </c>
      <c r="E432" t="s">
        <v>9633</v>
      </c>
      <c r="F432">
        <v>2.2000000000000002</v>
      </c>
      <c r="G432" s="28" t="s">
        <v>9590</v>
      </c>
    </row>
    <row r="433" spans="1:7" ht="28.8" x14ac:dyDescent="0.3">
      <c r="A433" t="s">
        <v>9582</v>
      </c>
      <c r="B433" t="s">
        <v>9799</v>
      </c>
      <c r="C433" s="20" t="s">
        <v>9800</v>
      </c>
      <c r="D433">
        <v>1014</v>
      </c>
      <c r="E433" t="s">
        <v>9653</v>
      </c>
      <c r="F433">
        <v>2</v>
      </c>
      <c r="G433" s="28" t="s">
        <v>9590</v>
      </c>
    </row>
    <row r="434" spans="1:7" ht="28.8" x14ac:dyDescent="0.3">
      <c r="A434" t="s">
        <v>9582</v>
      </c>
      <c r="B434" t="s">
        <v>9801</v>
      </c>
      <c r="C434" s="20" t="s">
        <v>9802</v>
      </c>
      <c r="D434">
        <v>1015</v>
      </c>
      <c r="E434" t="s">
        <v>9653</v>
      </c>
      <c r="F434">
        <v>4</v>
      </c>
      <c r="G434" s="28" t="s">
        <v>9590</v>
      </c>
    </row>
    <row r="435" spans="1:7" ht="72" x14ac:dyDescent="0.3">
      <c r="A435" t="s">
        <v>9582</v>
      </c>
      <c r="B435" t="s">
        <v>9803</v>
      </c>
      <c r="C435" s="20" t="s">
        <v>9804</v>
      </c>
      <c r="D435">
        <v>584</v>
      </c>
      <c r="E435" t="s">
        <v>9585</v>
      </c>
      <c r="F435">
        <v>5</v>
      </c>
      <c r="G435" s="28" t="s">
        <v>12451</v>
      </c>
    </row>
    <row r="436" spans="1:7" ht="28.8" x14ac:dyDescent="0.3">
      <c r="A436" t="s">
        <v>9582</v>
      </c>
      <c r="B436" t="s">
        <v>9805</v>
      </c>
      <c r="C436" s="20" t="s">
        <v>9806</v>
      </c>
      <c r="D436">
        <v>1877</v>
      </c>
      <c r="E436" t="s">
        <v>9589</v>
      </c>
      <c r="F436">
        <v>50</v>
      </c>
      <c r="G436" s="28" t="s">
        <v>9590</v>
      </c>
    </row>
    <row r="437" spans="1:7" ht="28.8" x14ac:dyDescent="0.3">
      <c r="A437" t="s">
        <v>9582</v>
      </c>
      <c r="B437" t="s">
        <v>9807</v>
      </c>
      <c r="C437" s="20" t="s">
        <v>9808</v>
      </c>
      <c r="D437">
        <v>1328</v>
      </c>
      <c r="E437" t="s">
        <v>9589</v>
      </c>
      <c r="F437">
        <v>45</v>
      </c>
      <c r="G437" s="28" t="s">
        <v>9590</v>
      </c>
    </row>
    <row r="438" spans="1:7" ht="43.2" x14ac:dyDescent="0.3">
      <c r="A438" t="s">
        <v>9582</v>
      </c>
      <c r="B438" t="s">
        <v>9809</v>
      </c>
      <c r="C438" s="20" t="s">
        <v>9810</v>
      </c>
      <c r="D438">
        <v>1327</v>
      </c>
      <c r="E438" t="s">
        <v>9653</v>
      </c>
      <c r="F438">
        <v>3</v>
      </c>
      <c r="G438" s="28" t="s">
        <v>9590</v>
      </c>
    </row>
    <row r="439" spans="1:7" ht="57.6" x14ac:dyDescent="0.3">
      <c r="A439" t="s">
        <v>9582</v>
      </c>
      <c r="B439" t="s">
        <v>9811</v>
      </c>
      <c r="C439" s="20" t="s">
        <v>9812</v>
      </c>
      <c r="D439">
        <v>1325</v>
      </c>
      <c r="E439" t="s">
        <v>9589</v>
      </c>
      <c r="F439">
        <v>45</v>
      </c>
      <c r="G439" s="28" t="s">
        <v>9590</v>
      </c>
    </row>
    <row r="440" spans="1:7" ht="28.8" x14ac:dyDescent="0.3">
      <c r="A440" t="s">
        <v>9582</v>
      </c>
      <c r="B440" t="s">
        <v>9813</v>
      </c>
      <c r="C440" s="20" t="s">
        <v>9814</v>
      </c>
      <c r="D440">
        <v>1330</v>
      </c>
      <c r="E440" t="s">
        <v>9589</v>
      </c>
      <c r="F440">
        <v>6</v>
      </c>
      <c r="G440" s="28" t="s">
        <v>9590</v>
      </c>
    </row>
    <row r="441" spans="1:7" ht="28.8" x14ac:dyDescent="0.3">
      <c r="A441" t="s">
        <v>9582</v>
      </c>
      <c r="B441" t="s">
        <v>9815</v>
      </c>
      <c r="C441" s="20" t="s">
        <v>9816</v>
      </c>
      <c r="D441">
        <v>1332</v>
      </c>
      <c r="E441" t="s">
        <v>9589</v>
      </c>
      <c r="F441">
        <v>6</v>
      </c>
      <c r="G441" s="28" t="s">
        <v>9590</v>
      </c>
    </row>
    <row r="442" spans="1:7" ht="28.8" x14ac:dyDescent="0.3">
      <c r="A442" t="s">
        <v>9582</v>
      </c>
      <c r="B442" t="s">
        <v>9817</v>
      </c>
      <c r="C442" s="20" t="s">
        <v>9818</v>
      </c>
      <c r="D442">
        <v>1329</v>
      </c>
      <c r="E442" t="s">
        <v>9589</v>
      </c>
      <c r="F442">
        <v>6</v>
      </c>
      <c r="G442" s="28" t="s">
        <v>9590</v>
      </c>
    </row>
    <row r="443" spans="1:7" ht="57.6" x14ac:dyDescent="0.3">
      <c r="A443" t="s">
        <v>9582</v>
      </c>
      <c r="B443" t="s">
        <v>9819</v>
      </c>
      <c r="C443" s="20" t="s">
        <v>9820</v>
      </c>
      <c r="D443">
        <v>1331</v>
      </c>
      <c r="E443" t="s">
        <v>9589</v>
      </c>
      <c r="F443">
        <v>6</v>
      </c>
      <c r="G443" s="28" t="s">
        <v>9590</v>
      </c>
    </row>
    <row r="444" spans="1:7" ht="28.8" x14ac:dyDescent="0.3">
      <c r="A444" t="s">
        <v>9582</v>
      </c>
      <c r="B444" t="s">
        <v>9821</v>
      </c>
      <c r="C444" s="20" t="s">
        <v>9822</v>
      </c>
      <c r="D444">
        <v>1324</v>
      </c>
      <c r="E444" t="s">
        <v>9589</v>
      </c>
      <c r="F444">
        <v>30</v>
      </c>
      <c r="G444" s="28" t="s">
        <v>9590</v>
      </c>
    </row>
    <row r="445" spans="1:7" ht="28.8" x14ac:dyDescent="0.3">
      <c r="A445" t="s">
        <v>9582</v>
      </c>
      <c r="B445" t="s">
        <v>9821</v>
      </c>
      <c r="C445" s="20" t="s">
        <v>9822</v>
      </c>
      <c r="D445">
        <v>1324</v>
      </c>
      <c r="E445" t="s">
        <v>9589</v>
      </c>
      <c r="F445">
        <v>30</v>
      </c>
      <c r="G445" s="28" t="s">
        <v>9590</v>
      </c>
    </row>
    <row r="446" spans="1:7" ht="57.6" x14ac:dyDescent="0.3">
      <c r="A446" t="s">
        <v>9582</v>
      </c>
      <c r="B446" t="s">
        <v>9823</v>
      </c>
      <c r="C446" s="20" t="s">
        <v>9824</v>
      </c>
      <c r="D446">
        <v>1326</v>
      </c>
      <c r="E446" t="s">
        <v>9585</v>
      </c>
      <c r="F446">
        <v>5</v>
      </c>
      <c r="G446" s="28" t="s">
        <v>12452</v>
      </c>
    </row>
    <row r="447" spans="1:7" ht="28.8" x14ac:dyDescent="0.3">
      <c r="A447" t="s">
        <v>9582</v>
      </c>
      <c r="B447" t="s">
        <v>9825</v>
      </c>
      <c r="C447" s="20" t="s">
        <v>9826</v>
      </c>
      <c r="D447">
        <v>1336</v>
      </c>
      <c r="E447" t="s">
        <v>9589</v>
      </c>
      <c r="F447">
        <v>10</v>
      </c>
      <c r="G447" s="28" t="s">
        <v>9590</v>
      </c>
    </row>
    <row r="448" spans="1:7" ht="28.8" x14ac:dyDescent="0.3">
      <c r="A448" t="s">
        <v>9582</v>
      </c>
      <c r="B448" t="s">
        <v>9825</v>
      </c>
      <c r="C448" s="20" t="s">
        <v>9826</v>
      </c>
      <c r="D448">
        <v>1336</v>
      </c>
      <c r="E448" t="s">
        <v>9589</v>
      </c>
      <c r="F448">
        <v>10</v>
      </c>
      <c r="G448" s="28" t="s">
        <v>9590</v>
      </c>
    </row>
    <row r="449" spans="1:7" ht="43.2" x14ac:dyDescent="0.3">
      <c r="A449" t="s">
        <v>9582</v>
      </c>
      <c r="B449" t="s">
        <v>9827</v>
      </c>
      <c r="C449" s="20" t="s">
        <v>9828</v>
      </c>
      <c r="D449">
        <v>1334</v>
      </c>
      <c r="E449" t="s">
        <v>9589</v>
      </c>
      <c r="F449">
        <v>45</v>
      </c>
      <c r="G449" s="28" t="s">
        <v>9590</v>
      </c>
    </row>
    <row r="450" spans="1:7" ht="43.2" x14ac:dyDescent="0.3">
      <c r="A450" t="s">
        <v>9582</v>
      </c>
      <c r="B450" t="s">
        <v>9827</v>
      </c>
      <c r="C450" s="20" t="s">
        <v>9828</v>
      </c>
      <c r="D450">
        <v>1334</v>
      </c>
      <c r="E450" t="s">
        <v>9589</v>
      </c>
      <c r="F450">
        <v>45</v>
      </c>
      <c r="G450" s="28" t="s">
        <v>9590</v>
      </c>
    </row>
    <row r="451" spans="1:7" ht="43.2" x14ac:dyDescent="0.3">
      <c r="A451" t="s">
        <v>9582</v>
      </c>
      <c r="B451" t="s">
        <v>9829</v>
      </c>
      <c r="C451" s="20" t="s">
        <v>9830</v>
      </c>
      <c r="D451">
        <v>1339</v>
      </c>
      <c r="E451" t="s">
        <v>9589</v>
      </c>
      <c r="F451">
        <v>6</v>
      </c>
      <c r="G451" s="28" t="s">
        <v>9590</v>
      </c>
    </row>
    <row r="452" spans="1:7" ht="43.2" x14ac:dyDescent="0.3">
      <c r="A452" t="s">
        <v>9582</v>
      </c>
      <c r="B452" t="s">
        <v>9831</v>
      </c>
      <c r="C452" s="20" t="s">
        <v>9832</v>
      </c>
      <c r="D452">
        <v>1338</v>
      </c>
      <c r="E452" t="s">
        <v>9589</v>
      </c>
      <c r="F452">
        <v>30</v>
      </c>
      <c r="G452" s="28" t="s">
        <v>9590</v>
      </c>
    </row>
    <row r="453" spans="1:7" ht="43.2" x14ac:dyDescent="0.3">
      <c r="A453" t="s">
        <v>9582</v>
      </c>
      <c r="B453" t="s">
        <v>9833</v>
      </c>
      <c r="C453" s="20" t="s">
        <v>9834</v>
      </c>
      <c r="D453">
        <v>1333</v>
      </c>
      <c r="E453" t="s">
        <v>9589</v>
      </c>
      <c r="F453">
        <v>30</v>
      </c>
      <c r="G453" s="28" t="s">
        <v>9590</v>
      </c>
    </row>
    <row r="454" spans="1:7" ht="43.2" x14ac:dyDescent="0.3">
      <c r="A454" t="s">
        <v>9582</v>
      </c>
      <c r="B454" t="s">
        <v>9835</v>
      </c>
      <c r="C454" s="20" t="s">
        <v>9836</v>
      </c>
      <c r="D454">
        <v>1335</v>
      </c>
      <c r="E454" t="s">
        <v>9589</v>
      </c>
      <c r="F454">
        <v>6</v>
      </c>
      <c r="G454" s="28" t="s">
        <v>9590</v>
      </c>
    </row>
    <row r="455" spans="1:7" ht="43.2" x14ac:dyDescent="0.3">
      <c r="A455" t="s">
        <v>9582</v>
      </c>
      <c r="B455" t="s">
        <v>9835</v>
      </c>
      <c r="C455" s="20" t="s">
        <v>9836</v>
      </c>
      <c r="D455">
        <v>1335</v>
      </c>
      <c r="E455" t="s">
        <v>9589</v>
      </c>
      <c r="F455">
        <v>6</v>
      </c>
      <c r="G455" s="28" t="s">
        <v>9590</v>
      </c>
    </row>
    <row r="456" spans="1:7" ht="43.2" x14ac:dyDescent="0.3">
      <c r="A456" t="s">
        <v>9582</v>
      </c>
      <c r="B456" t="s">
        <v>9837</v>
      </c>
      <c r="C456" s="20" t="s">
        <v>9834</v>
      </c>
      <c r="D456">
        <v>1337</v>
      </c>
      <c r="E456" t="s">
        <v>9589</v>
      </c>
      <c r="F456">
        <v>30</v>
      </c>
      <c r="G456" s="28" t="s">
        <v>9590</v>
      </c>
    </row>
    <row r="457" spans="1:7" ht="273.60000000000002" x14ac:dyDescent="0.3">
      <c r="A457" t="s">
        <v>9582</v>
      </c>
      <c r="B457" t="s">
        <v>9838</v>
      </c>
      <c r="C457" s="20" t="s">
        <v>9839</v>
      </c>
      <c r="D457">
        <v>429</v>
      </c>
      <c r="E457" t="s">
        <v>9585</v>
      </c>
      <c r="F457">
        <v>5</v>
      </c>
      <c r="G457" s="28" t="s">
        <v>12428</v>
      </c>
    </row>
    <row r="458" spans="1:7" ht="28.8" x14ac:dyDescent="0.3">
      <c r="A458" t="s">
        <v>9582</v>
      </c>
      <c r="B458" t="s">
        <v>9840</v>
      </c>
      <c r="C458" s="20" t="s">
        <v>9841</v>
      </c>
      <c r="D458">
        <v>1471</v>
      </c>
      <c r="E458" t="s">
        <v>9653</v>
      </c>
      <c r="F458">
        <v>5</v>
      </c>
      <c r="G458" s="28" t="s">
        <v>9590</v>
      </c>
    </row>
    <row r="459" spans="1:7" ht="28.8" x14ac:dyDescent="0.3">
      <c r="A459" t="s">
        <v>9582</v>
      </c>
      <c r="B459" t="s">
        <v>9840</v>
      </c>
      <c r="C459" s="20" t="s">
        <v>9841</v>
      </c>
      <c r="D459">
        <v>1471</v>
      </c>
      <c r="E459" t="s">
        <v>9653</v>
      </c>
      <c r="F459">
        <v>5</v>
      </c>
      <c r="G459" s="28" t="s">
        <v>9590</v>
      </c>
    </row>
    <row r="460" spans="1:7" ht="43.2" x14ac:dyDescent="0.3">
      <c r="A460" t="s">
        <v>9582</v>
      </c>
      <c r="B460" t="s">
        <v>9842</v>
      </c>
      <c r="C460" s="20" t="s">
        <v>9843</v>
      </c>
      <c r="D460">
        <v>86</v>
      </c>
      <c r="E460" t="s">
        <v>9589</v>
      </c>
      <c r="F460">
        <v>45</v>
      </c>
      <c r="G460" s="28" t="s">
        <v>9590</v>
      </c>
    </row>
    <row r="461" spans="1:7" ht="43.2" x14ac:dyDescent="0.3">
      <c r="A461" t="s">
        <v>9582</v>
      </c>
      <c r="B461" t="s">
        <v>9842</v>
      </c>
      <c r="C461" s="20" t="s">
        <v>9843</v>
      </c>
      <c r="D461">
        <v>86</v>
      </c>
      <c r="E461" t="s">
        <v>9589</v>
      </c>
      <c r="F461">
        <v>45</v>
      </c>
      <c r="G461" s="28" t="s">
        <v>9590</v>
      </c>
    </row>
    <row r="462" spans="1:7" ht="43.2" x14ac:dyDescent="0.3">
      <c r="A462" t="s">
        <v>9582</v>
      </c>
      <c r="B462" t="s">
        <v>9842</v>
      </c>
      <c r="C462" s="20" t="s">
        <v>9843</v>
      </c>
      <c r="D462">
        <v>86</v>
      </c>
      <c r="E462" t="s">
        <v>9589</v>
      </c>
      <c r="F462">
        <v>45</v>
      </c>
      <c r="G462" s="28" t="s">
        <v>9590</v>
      </c>
    </row>
    <row r="463" spans="1:7" ht="28.8" x14ac:dyDescent="0.3">
      <c r="A463" t="s">
        <v>9582</v>
      </c>
      <c r="B463" t="s">
        <v>9844</v>
      </c>
      <c r="C463" s="20" t="s">
        <v>9845</v>
      </c>
      <c r="D463">
        <v>87</v>
      </c>
      <c r="E463" t="s">
        <v>9616</v>
      </c>
      <c r="F463">
        <v>8</v>
      </c>
      <c r="G463" s="28" t="s">
        <v>9590</v>
      </c>
    </row>
    <row r="464" spans="1:7" ht="28.8" x14ac:dyDescent="0.3">
      <c r="A464" t="s">
        <v>9582</v>
      </c>
      <c r="B464" t="s">
        <v>9844</v>
      </c>
      <c r="C464" s="20" t="s">
        <v>9845</v>
      </c>
      <c r="D464">
        <v>87</v>
      </c>
      <c r="E464" t="s">
        <v>9616</v>
      </c>
      <c r="F464">
        <v>8</v>
      </c>
      <c r="G464" s="28" t="s">
        <v>9590</v>
      </c>
    </row>
    <row r="465" spans="1:7" ht="28.8" x14ac:dyDescent="0.3">
      <c r="A465" t="s">
        <v>9582</v>
      </c>
      <c r="B465" t="s">
        <v>9844</v>
      </c>
      <c r="C465" s="20" t="s">
        <v>9845</v>
      </c>
      <c r="D465">
        <v>87</v>
      </c>
      <c r="E465" t="s">
        <v>9616</v>
      </c>
      <c r="F465">
        <v>8</v>
      </c>
      <c r="G465" s="28" t="s">
        <v>9590</v>
      </c>
    </row>
    <row r="466" spans="1:7" ht="86.4" x14ac:dyDescent="0.3">
      <c r="A466" t="s">
        <v>9582</v>
      </c>
      <c r="B466" t="s">
        <v>9846</v>
      </c>
      <c r="C466" s="20" t="s">
        <v>9847</v>
      </c>
      <c r="D466">
        <v>88</v>
      </c>
      <c r="E466" t="s">
        <v>9585</v>
      </c>
      <c r="F466">
        <v>5</v>
      </c>
      <c r="G466" s="28" t="s">
        <v>12453</v>
      </c>
    </row>
    <row r="467" spans="1:7" ht="86.4" x14ac:dyDescent="0.3">
      <c r="A467" t="s">
        <v>9582</v>
      </c>
      <c r="B467" t="s">
        <v>9846</v>
      </c>
      <c r="C467" s="20" t="s">
        <v>9847</v>
      </c>
      <c r="D467">
        <v>88</v>
      </c>
      <c r="E467" t="s">
        <v>9585</v>
      </c>
      <c r="F467">
        <v>5</v>
      </c>
      <c r="G467" s="28" t="s">
        <v>12453</v>
      </c>
    </row>
    <row r="468" spans="1:7" ht="86.4" x14ac:dyDescent="0.3">
      <c r="A468" t="s">
        <v>9582</v>
      </c>
      <c r="B468" t="s">
        <v>9846</v>
      </c>
      <c r="C468" s="20" t="s">
        <v>9847</v>
      </c>
      <c r="D468">
        <v>88</v>
      </c>
      <c r="E468" t="s">
        <v>9585</v>
      </c>
      <c r="F468">
        <v>5</v>
      </c>
      <c r="G468" s="28" t="s">
        <v>12453</v>
      </c>
    </row>
    <row r="469" spans="1:7" ht="86.4" x14ac:dyDescent="0.3">
      <c r="A469" t="s">
        <v>9582</v>
      </c>
      <c r="B469" t="s">
        <v>9846</v>
      </c>
      <c r="C469" s="20" t="s">
        <v>9847</v>
      </c>
      <c r="D469">
        <v>88</v>
      </c>
      <c r="E469" t="s">
        <v>9585</v>
      </c>
      <c r="F469">
        <v>5</v>
      </c>
      <c r="G469" s="28" t="s">
        <v>12453</v>
      </c>
    </row>
    <row r="470" spans="1:7" ht="28.8" x14ac:dyDescent="0.3">
      <c r="A470" t="s">
        <v>9582</v>
      </c>
      <c r="B470" t="s">
        <v>9848</v>
      </c>
      <c r="C470" s="20" t="s">
        <v>9849</v>
      </c>
      <c r="D470">
        <v>1009</v>
      </c>
      <c r="E470" t="s">
        <v>9653</v>
      </c>
      <c r="F470">
        <v>4</v>
      </c>
      <c r="G470" s="28" t="s">
        <v>9590</v>
      </c>
    </row>
    <row r="471" spans="1:7" ht="28.8" x14ac:dyDescent="0.3">
      <c r="A471" t="s">
        <v>9582</v>
      </c>
      <c r="B471" t="s">
        <v>9850</v>
      </c>
      <c r="C471" s="20" t="s">
        <v>9851</v>
      </c>
      <c r="D471">
        <v>1035</v>
      </c>
      <c r="E471" t="s">
        <v>9633</v>
      </c>
      <c r="F471">
        <v>8.1999999999999993</v>
      </c>
      <c r="G471" s="28" t="s">
        <v>9590</v>
      </c>
    </row>
    <row r="472" spans="1:7" ht="28.8" x14ac:dyDescent="0.3">
      <c r="A472" t="s">
        <v>9582</v>
      </c>
      <c r="B472" t="s">
        <v>9852</v>
      </c>
      <c r="C472" s="20" t="s">
        <v>9853</v>
      </c>
      <c r="D472">
        <v>1012</v>
      </c>
      <c r="E472" t="s">
        <v>9633</v>
      </c>
      <c r="F472">
        <v>8.1999999999999993</v>
      </c>
      <c r="G472" s="28" t="s">
        <v>9590</v>
      </c>
    </row>
    <row r="473" spans="1:7" ht="360" x14ac:dyDescent="0.3">
      <c r="A473" t="s">
        <v>9582</v>
      </c>
      <c r="B473" t="s">
        <v>9854</v>
      </c>
      <c r="C473" s="20" t="s">
        <v>9855</v>
      </c>
      <c r="D473">
        <v>971</v>
      </c>
      <c r="E473" t="s">
        <v>9585</v>
      </c>
      <c r="F473">
        <v>5</v>
      </c>
      <c r="G473" s="28" t="s">
        <v>12454</v>
      </c>
    </row>
    <row r="474" spans="1:7" ht="43.2" x14ac:dyDescent="0.3">
      <c r="A474" t="s">
        <v>9582</v>
      </c>
      <c r="B474" t="s">
        <v>9856</v>
      </c>
      <c r="C474" s="20" t="s">
        <v>9857</v>
      </c>
      <c r="D474">
        <v>977</v>
      </c>
      <c r="E474" t="s">
        <v>9616</v>
      </c>
      <c r="F474">
        <v>8</v>
      </c>
      <c r="G474" s="28" t="s">
        <v>9590</v>
      </c>
    </row>
    <row r="475" spans="1:7" ht="28.8" x14ac:dyDescent="0.3">
      <c r="A475" t="s">
        <v>9582</v>
      </c>
      <c r="B475" t="s">
        <v>9858</v>
      </c>
      <c r="C475" s="20" t="s">
        <v>9859</v>
      </c>
      <c r="D475">
        <v>1034</v>
      </c>
      <c r="E475" t="s">
        <v>9616</v>
      </c>
      <c r="F475">
        <v>8</v>
      </c>
      <c r="G475" s="28" t="s">
        <v>9590</v>
      </c>
    </row>
    <row r="476" spans="1:7" ht="72" x14ac:dyDescent="0.3">
      <c r="A476" t="s">
        <v>9582</v>
      </c>
      <c r="B476" t="s">
        <v>9860</v>
      </c>
      <c r="C476" s="20" t="s">
        <v>9861</v>
      </c>
      <c r="D476">
        <v>1552</v>
      </c>
      <c r="E476" t="s">
        <v>9616</v>
      </c>
      <c r="F476">
        <v>8</v>
      </c>
      <c r="G476" s="28" t="s">
        <v>9590</v>
      </c>
    </row>
    <row r="477" spans="1:7" ht="28.8" x14ac:dyDescent="0.3">
      <c r="A477" t="s">
        <v>9582</v>
      </c>
      <c r="B477" t="s">
        <v>9862</v>
      </c>
      <c r="C477" s="20" t="s">
        <v>9863</v>
      </c>
      <c r="D477">
        <v>1551</v>
      </c>
      <c r="E477" t="s">
        <v>9616</v>
      </c>
      <c r="F477">
        <v>8</v>
      </c>
      <c r="G477" s="28" t="s">
        <v>9590</v>
      </c>
    </row>
    <row r="478" spans="1:7" ht="144" x14ac:dyDescent="0.3">
      <c r="A478" t="s">
        <v>9582</v>
      </c>
      <c r="B478" t="s">
        <v>9864</v>
      </c>
      <c r="C478" s="20" t="s">
        <v>9865</v>
      </c>
      <c r="D478">
        <v>972</v>
      </c>
      <c r="E478" t="s">
        <v>9585</v>
      </c>
      <c r="F478">
        <v>5</v>
      </c>
      <c r="G478" s="28" t="s">
        <v>12455</v>
      </c>
    </row>
    <row r="479" spans="1:7" ht="28.8" x14ac:dyDescent="0.3">
      <c r="A479" t="s">
        <v>9582</v>
      </c>
      <c r="B479" t="s">
        <v>9866</v>
      </c>
      <c r="C479" s="20" t="s">
        <v>9867</v>
      </c>
      <c r="D479">
        <v>1010</v>
      </c>
      <c r="E479" t="s">
        <v>9633</v>
      </c>
      <c r="F479">
        <v>8.1999999999999993</v>
      </c>
      <c r="G479" s="28" t="s">
        <v>9590</v>
      </c>
    </row>
    <row r="480" spans="1:7" ht="28.8" x14ac:dyDescent="0.3">
      <c r="A480" t="s">
        <v>9582</v>
      </c>
      <c r="B480" t="s">
        <v>9868</v>
      </c>
      <c r="C480" s="20" t="s">
        <v>9869</v>
      </c>
      <c r="D480">
        <v>976</v>
      </c>
      <c r="E480" t="s">
        <v>9616</v>
      </c>
      <c r="F480">
        <v>8</v>
      </c>
      <c r="G480" s="28" t="s">
        <v>9590</v>
      </c>
    </row>
    <row r="481" spans="1:7" ht="43.2" x14ac:dyDescent="0.3">
      <c r="A481" t="s">
        <v>9582</v>
      </c>
      <c r="B481" t="s">
        <v>9870</v>
      </c>
      <c r="C481" s="20" t="s">
        <v>9871</v>
      </c>
      <c r="D481">
        <v>974</v>
      </c>
      <c r="E481" t="s">
        <v>9589</v>
      </c>
      <c r="F481">
        <v>80</v>
      </c>
      <c r="G481" s="28" t="s">
        <v>9590</v>
      </c>
    </row>
    <row r="482" spans="1:7" ht="28.8" x14ac:dyDescent="0.3">
      <c r="A482" t="s">
        <v>9582</v>
      </c>
      <c r="B482" t="s">
        <v>9872</v>
      </c>
      <c r="C482" s="20" t="s">
        <v>9873</v>
      </c>
      <c r="D482">
        <v>975</v>
      </c>
      <c r="E482" t="s">
        <v>9616</v>
      </c>
      <c r="F482">
        <v>8</v>
      </c>
      <c r="G482" s="28" t="s">
        <v>9590</v>
      </c>
    </row>
    <row r="483" spans="1:7" ht="288" x14ac:dyDescent="0.3">
      <c r="A483" t="s">
        <v>9582</v>
      </c>
      <c r="B483" t="s">
        <v>9874</v>
      </c>
      <c r="C483" s="20" t="s">
        <v>9875</v>
      </c>
      <c r="D483">
        <v>1553</v>
      </c>
      <c r="E483" t="s">
        <v>9585</v>
      </c>
      <c r="F483">
        <v>5</v>
      </c>
      <c r="G483" s="28" t="s">
        <v>12456</v>
      </c>
    </row>
    <row r="484" spans="1:7" ht="288" x14ac:dyDescent="0.3">
      <c r="A484" t="s">
        <v>9582</v>
      </c>
      <c r="B484" t="s">
        <v>9876</v>
      </c>
      <c r="C484" s="20" t="s">
        <v>9877</v>
      </c>
      <c r="D484">
        <v>973</v>
      </c>
      <c r="E484" t="s">
        <v>9585</v>
      </c>
      <c r="F484">
        <v>5</v>
      </c>
      <c r="G484" s="28" t="s">
        <v>12456</v>
      </c>
    </row>
    <row r="485" spans="1:7" ht="28.8" x14ac:dyDescent="0.3">
      <c r="A485" t="s">
        <v>9582</v>
      </c>
      <c r="B485" t="s">
        <v>9878</v>
      </c>
      <c r="C485" s="20" t="s">
        <v>9879</v>
      </c>
      <c r="D485">
        <v>848</v>
      </c>
      <c r="E485" t="s">
        <v>9616</v>
      </c>
      <c r="F485">
        <v>8</v>
      </c>
      <c r="G485" s="28" t="s">
        <v>9590</v>
      </c>
    </row>
    <row r="486" spans="1:7" ht="57.6" x14ac:dyDescent="0.3">
      <c r="A486" t="s">
        <v>9582</v>
      </c>
      <c r="B486" t="s">
        <v>9880</v>
      </c>
      <c r="C486" s="20" t="s">
        <v>9881</v>
      </c>
      <c r="D486">
        <v>847</v>
      </c>
      <c r="E486" t="s">
        <v>9585</v>
      </c>
      <c r="F486">
        <v>5</v>
      </c>
      <c r="G486" s="28" t="s">
        <v>12457</v>
      </c>
    </row>
    <row r="487" spans="1:7" ht="43.2" x14ac:dyDescent="0.3">
      <c r="A487" t="s">
        <v>9582</v>
      </c>
      <c r="B487" t="s">
        <v>9882</v>
      </c>
      <c r="C487" s="20" t="s">
        <v>9883</v>
      </c>
      <c r="D487">
        <v>814</v>
      </c>
      <c r="E487" t="s">
        <v>9616</v>
      </c>
      <c r="F487">
        <v>8</v>
      </c>
      <c r="G487" s="28" t="s">
        <v>9590</v>
      </c>
    </row>
    <row r="488" spans="1:7" ht="57.6" x14ac:dyDescent="0.3">
      <c r="A488" t="s">
        <v>9582</v>
      </c>
      <c r="B488" t="s">
        <v>9884</v>
      </c>
      <c r="C488" s="20" t="s">
        <v>9885</v>
      </c>
      <c r="D488">
        <v>845</v>
      </c>
      <c r="E488" t="s">
        <v>9633</v>
      </c>
      <c r="F488">
        <v>3.1</v>
      </c>
      <c r="G488" s="28" t="s">
        <v>9590</v>
      </c>
    </row>
    <row r="489" spans="1:7" ht="129.6" x14ac:dyDescent="0.3">
      <c r="A489" t="s">
        <v>9582</v>
      </c>
      <c r="B489" t="s">
        <v>9886</v>
      </c>
      <c r="C489" s="20" t="s">
        <v>9887</v>
      </c>
      <c r="D489">
        <v>570</v>
      </c>
      <c r="E489" t="s">
        <v>9585</v>
      </c>
      <c r="F489">
        <v>5</v>
      </c>
      <c r="G489" s="28" t="s">
        <v>12458</v>
      </c>
    </row>
    <row r="490" spans="1:7" ht="409.6" x14ac:dyDescent="0.3">
      <c r="A490" t="s">
        <v>9582</v>
      </c>
      <c r="B490" t="s">
        <v>9888</v>
      </c>
      <c r="C490" s="20" t="s">
        <v>9889</v>
      </c>
      <c r="D490">
        <v>712</v>
      </c>
      <c r="E490" t="s">
        <v>9585</v>
      </c>
      <c r="F490">
        <v>5</v>
      </c>
      <c r="G490" s="28" t="s">
        <v>12459</v>
      </c>
    </row>
    <row r="491" spans="1:7" ht="86.4" x14ac:dyDescent="0.3">
      <c r="A491" t="s">
        <v>9582</v>
      </c>
      <c r="B491" t="s">
        <v>9890</v>
      </c>
      <c r="C491" s="20" t="s">
        <v>9891</v>
      </c>
      <c r="D491">
        <v>1648</v>
      </c>
      <c r="E491" t="s">
        <v>9585</v>
      </c>
      <c r="F491">
        <v>5</v>
      </c>
      <c r="G491" s="28" t="s">
        <v>12460</v>
      </c>
    </row>
    <row r="492" spans="1:7" ht="86.4" x14ac:dyDescent="0.3">
      <c r="A492" t="s">
        <v>9582</v>
      </c>
      <c r="B492" t="s">
        <v>9892</v>
      </c>
      <c r="C492" s="20" t="s">
        <v>9893</v>
      </c>
      <c r="D492">
        <v>800</v>
      </c>
      <c r="E492" t="s">
        <v>9589</v>
      </c>
      <c r="F492">
        <v>35</v>
      </c>
      <c r="G492" s="28" t="s">
        <v>9590</v>
      </c>
    </row>
    <row r="493" spans="1:7" ht="28.8" x14ac:dyDescent="0.3">
      <c r="A493" t="s">
        <v>9582</v>
      </c>
      <c r="B493" t="s">
        <v>9894</v>
      </c>
      <c r="C493" s="20" t="s">
        <v>9895</v>
      </c>
      <c r="D493">
        <v>1507</v>
      </c>
      <c r="E493" t="s">
        <v>9589</v>
      </c>
      <c r="F493">
        <v>45</v>
      </c>
      <c r="G493" s="28" t="s">
        <v>9590</v>
      </c>
    </row>
    <row r="494" spans="1:7" ht="409.6" x14ac:dyDescent="0.3">
      <c r="A494" t="s">
        <v>9582</v>
      </c>
      <c r="B494" t="s">
        <v>9896</v>
      </c>
      <c r="C494" s="20" t="s">
        <v>12353</v>
      </c>
      <c r="D494">
        <v>1173</v>
      </c>
      <c r="E494" t="s">
        <v>9585</v>
      </c>
      <c r="F494">
        <v>5</v>
      </c>
      <c r="G494" s="28" t="s">
        <v>12461</v>
      </c>
    </row>
    <row r="495" spans="1:7" ht="409.6" x14ac:dyDescent="0.3">
      <c r="A495" t="s">
        <v>9582</v>
      </c>
      <c r="B495" t="s">
        <v>9896</v>
      </c>
      <c r="C495" s="20" t="s">
        <v>12353</v>
      </c>
      <c r="D495">
        <v>1173</v>
      </c>
      <c r="E495" t="s">
        <v>9585</v>
      </c>
      <c r="F495">
        <v>5</v>
      </c>
      <c r="G495" s="28" t="s">
        <v>12461</v>
      </c>
    </row>
    <row r="496" spans="1:7" ht="409.6" x14ac:dyDescent="0.3">
      <c r="A496" t="s">
        <v>9582</v>
      </c>
      <c r="B496" t="s">
        <v>9896</v>
      </c>
      <c r="C496" s="20" t="s">
        <v>12353</v>
      </c>
      <c r="D496">
        <v>1173</v>
      </c>
      <c r="E496" t="s">
        <v>9585</v>
      </c>
      <c r="F496">
        <v>5</v>
      </c>
      <c r="G496" s="28" t="s">
        <v>12461</v>
      </c>
    </row>
    <row r="497" spans="1:7" ht="409.6" x14ac:dyDescent="0.3">
      <c r="A497" t="s">
        <v>9582</v>
      </c>
      <c r="B497" t="s">
        <v>9896</v>
      </c>
      <c r="C497" s="20" t="s">
        <v>12353</v>
      </c>
      <c r="D497">
        <v>1173</v>
      </c>
      <c r="E497" t="s">
        <v>9585</v>
      </c>
      <c r="F497">
        <v>5</v>
      </c>
      <c r="G497" s="28" t="s">
        <v>12461</v>
      </c>
    </row>
    <row r="498" spans="1:7" ht="43.2" x14ac:dyDescent="0.3">
      <c r="A498" t="s">
        <v>9582</v>
      </c>
      <c r="B498" t="s">
        <v>9897</v>
      </c>
      <c r="C498" s="20" t="s">
        <v>9898</v>
      </c>
      <c r="D498">
        <v>1419</v>
      </c>
      <c r="E498" t="s">
        <v>9585</v>
      </c>
      <c r="F498">
        <v>5</v>
      </c>
      <c r="G498" s="28" t="s">
        <v>9586</v>
      </c>
    </row>
    <row r="499" spans="1:7" ht="43.2" x14ac:dyDescent="0.3">
      <c r="A499" t="s">
        <v>9582</v>
      </c>
      <c r="B499" t="s">
        <v>9897</v>
      </c>
      <c r="C499" s="20" t="s">
        <v>9898</v>
      </c>
      <c r="D499">
        <v>1419</v>
      </c>
      <c r="E499" t="s">
        <v>9585</v>
      </c>
      <c r="F499">
        <v>5</v>
      </c>
      <c r="G499" s="28" t="s">
        <v>9586</v>
      </c>
    </row>
    <row r="500" spans="1:7" ht="201.6" x14ac:dyDescent="0.3">
      <c r="A500" t="s">
        <v>9582</v>
      </c>
      <c r="B500" t="s">
        <v>9899</v>
      </c>
      <c r="C500" s="20" t="s">
        <v>9900</v>
      </c>
      <c r="D500">
        <v>1246</v>
      </c>
      <c r="E500" t="s">
        <v>9585</v>
      </c>
      <c r="F500">
        <v>5</v>
      </c>
      <c r="G500" s="28" t="s">
        <v>12462</v>
      </c>
    </row>
    <row r="501" spans="1:7" ht="57.6" x14ac:dyDescent="0.3">
      <c r="A501" t="s">
        <v>9582</v>
      </c>
      <c r="B501" t="s">
        <v>9901</v>
      </c>
      <c r="C501" s="20" t="s">
        <v>9902</v>
      </c>
      <c r="D501">
        <v>1572</v>
      </c>
      <c r="E501" t="s">
        <v>9585</v>
      </c>
      <c r="F501">
        <v>5</v>
      </c>
      <c r="G501" s="28" t="s">
        <v>12463</v>
      </c>
    </row>
    <row r="502" spans="1:7" ht="28.8" x14ac:dyDescent="0.3">
      <c r="A502" t="s">
        <v>9582</v>
      </c>
      <c r="B502" t="s">
        <v>9903</v>
      </c>
      <c r="C502" s="20" t="s">
        <v>9904</v>
      </c>
      <c r="D502">
        <v>1650</v>
      </c>
      <c r="E502" t="s">
        <v>9633</v>
      </c>
      <c r="F502">
        <v>5.2</v>
      </c>
      <c r="G502" s="28" t="s">
        <v>9590</v>
      </c>
    </row>
    <row r="503" spans="1:7" ht="28.8" x14ac:dyDescent="0.3">
      <c r="A503" t="s">
        <v>9582</v>
      </c>
      <c r="B503" t="s">
        <v>9903</v>
      </c>
      <c r="C503" s="20" t="s">
        <v>9904</v>
      </c>
      <c r="D503">
        <v>1650</v>
      </c>
      <c r="E503" t="s">
        <v>9633</v>
      </c>
      <c r="F503">
        <v>5.2</v>
      </c>
      <c r="G503" s="28" t="s">
        <v>9590</v>
      </c>
    </row>
    <row r="504" spans="1:7" ht="158.4" x14ac:dyDescent="0.3">
      <c r="A504" t="s">
        <v>9582</v>
      </c>
      <c r="B504" t="s">
        <v>9905</v>
      </c>
      <c r="C504" s="20" t="s">
        <v>9906</v>
      </c>
      <c r="D504">
        <v>1276</v>
      </c>
      <c r="E504" t="s">
        <v>9585</v>
      </c>
      <c r="F504">
        <v>5</v>
      </c>
      <c r="G504" s="28" t="s">
        <v>12464</v>
      </c>
    </row>
    <row r="505" spans="1:7" ht="86.4" x14ac:dyDescent="0.3">
      <c r="A505" t="s">
        <v>9582</v>
      </c>
      <c r="B505" t="s">
        <v>9907</v>
      </c>
      <c r="C505" s="20" t="s">
        <v>9908</v>
      </c>
      <c r="D505">
        <v>640</v>
      </c>
      <c r="E505" t="s">
        <v>9585</v>
      </c>
      <c r="F505">
        <v>5</v>
      </c>
      <c r="G505" s="28" t="s">
        <v>12465</v>
      </c>
    </row>
    <row r="506" spans="1:7" ht="100.8" x14ac:dyDescent="0.3">
      <c r="A506" t="s">
        <v>9582</v>
      </c>
      <c r="B506" t="s">
        <v>9907</v>
      </c>
      <c r="C506" s="20" t="s">
        <v>9908</v>
      </c>
      <c r="D506">
        <v>640</v>
      </c>
      <c r="E506" t="s">
        <v>9585</v>
      </c>
      <c r="F506">
        <v>5</v>
      </c>
      <c r="G506" s="28" t="s">
        <v>12466</v>
      </c>
    </row>
    <row r="507" spans="1:7" ht="86.4" x14ac:dyDescent="0.3">
      <c r="A507" t="s">
        <v>9582</v>
      </c>
      <c r="B507" t="s">
        <v>9907</v>
      </c>
      <c r="C507" s="20" t="s">
        <v>9908</v>
      </c>
      <c r="D507">
        <v>640</v>
      </c>
      <c r="E507" t="s">
        <v>9585</v>
      </c>
      <c r="F507">
        <v>5</v>
      </c>
      <c r="G507" s="28" t="s">
        <v>12465</v>
      </c>
    </row>
    <row r="508" spans="1:7" ht="100.8" x14ac:dyDescent="0.3">
      <c r="A508" t="s">
        <v>9582</v>
      </c>
      <c r="B508" t="s">
        <v>9907</v>
      </c>
      <c r="C508" s="20" t="s">
        <v>9908</v>
      </c>
      <c r="D508">
        <v>640</v>
      </c>
      <c r="E508" t="s">
        <v>9585</v>
      </c>
      <c r="F508">
        <v>5</v>
      </c>
      <c r="G508" s="28" t="s">
        <v>12466</v>
      </c>
    </row>
    <row r="509" spans="1:7" ht="129.6" x14ac:dyDescent="0.3">
      <c r="A509" t="s">
        <v>9582</v>
      </c>
      <c r="B509" t="s">
        <v>9909</v>
      </c>
      <c r="C509" s="20" t="s">
        <v>9910</v>
      </c>
      <c r="D509">
        <v>94</v>
      </c>
      <c r="E509" t="s">
        <v>9585</v>
      </c>
      <c r="F509">
        <v>5</v>
      </c>
      <c r="G509" s="28" t="s">
        <v>12467</v>
      </c>
    </row>
    <row r="510" spans="1:7" ht="72" x14ac:dyDescent="0.3">
      <c r="A510" t="s">
        <v>9582</v>
      </c>
      <c r="B510" t="s">
        <v>9911</v>
      </c>
      <c r="C510" s="20" t="s">
        <v>9912</v>
      </c>
      <c r="D510">
        <v>1146</v>
      </c>
      <c r="E510" t="s">
        <v>9585</v>
      </c>
      <c r="F510">
        <v>5</v>
      </c>
      <c r="G510" s="28" t="s">
        <v>12468</v>
      </c>
    </row>
    <row r="511" spans="1:7" ht="28.8" x14ac:dyDescent="0.3">
      <c r="A511" t="s">
        <v>9582</v>
      </c>
      <c r="B511" t="s">
        <v>9913</v>
      </c>
      <c r="C511" s="20" t="s">
        <v>9914</v>
      </c>
      <c r="D511">
        <v>953</v>
      </c>
      <c r="E511" t="s">
        <v>9585</v>
      </c>
      <c r="F511">
        <v>5</v>
      </c>
      <c r="G511" s="28" t="s">
        <v>9915</v>
      </c>
    </row>
    <row r="512" spans="1:7" ht="72" x14ac:dyDescent="0.3">
      <c r="A512" t="s">
        <v>9582</v>
      </c>
      <c r="B512" t="s">
        <v>9916</v>
      </c>
      <c r="C512" s="20" t="s">
        <v>9917</v>
      </c>
      <c r="D512">
        <v>96</v>
      </c>
      <c r="E512" t="s">
        <v>9585</v>
      </c>
      <c r="F512">
        <v>5</v>
      </c>
      <c r="G512" s="28" t="s">
        <v>12469</v>
      </c>
    </row>
    <row r="513" spans="1:7" ht="72" x14ac:dyDescent="0.3">
      <c r="A513" t="s">
        <v>9582</v>
      </c>
      <c r="B513" t="s">
        <v>9918</v>
      </c>
      <c r="C513" s="20" t="s">
        <v>9919</v>
      </c>
      <c r="D513">
        <v>1293</v>
      </c>
      <c r="E513" t="s">
        <v>9585</v>
      </c>
      <c r="F513">
        <v>5</v>
      </c>
      <c r="G513" s="28" t="s">
        <v>12470</v>
      </c>
    </row>
    <row r="514" spans="1:7" ht="43.2" x14ac:dyDescent="0.3">
      <c r="A514" t="s">
        <v>9582</v>
      </c>
      <c r="B514" t="s">
        <v>9920</v>
      </c>
      <c r="C514" s="20" t="s">
        <v>9921</v>
      </c>
      <c r="D514">
        <v>1525</v>
      </c>
      <c r="E514" t="s">
        <v>9589</v>
      </c>
      <c r="F514">
        <v>80</v>
      </c>
      <c r="G514" s="28" t="s">
        <v>9590</v>
      </c>
    </row>
    <row r="515" spans="1:7" ht="43.2" x14ac:dyDescent="0.3">
      <c r="A515" t="s">
        <v>9582</v>
      </c>
      <c r="B515" t="s">
        <v>9920</v>
      </c>
      <c r="C515" s="20" t="s">
        <v>9921</v>
      </c>
      <c r="D515">
        <v>1525</v>
      </c>
      <c r="E515" t="s">
        <v>9589</v>
      </c>
      <c r="F515">
        <v>80</v>
      </c>
      <c r="G515" s="28" t="s">
        <v>9590</v>
      </c>
    </row>
    <row r="516" spans="1:7" ht="28.8" x14ac:dyDescent="0.3">
      <c r="A516" t="s">
        <v>9582</v>
      </c>
      <c r="B516" t="s">
        <v>9922</v>
      </c>
      <c r="C516" s="20" t="s">
        <v>9923</v>
      </c>
      <c r="D516">
        <v>1209</v>
      </c>
      <c r="E516" t="s">
        <v>9653</v>
      </c>
      <c r="F516">
        <v>5</v>
      </c>
      <c r="G516" s="28" t="s">
        <v>9590</v>
      </c>
    </row>
    <row r="517" spans="1:7" ht="144" x14ac:dyDescent="0.3">
      <c r="A517" t="s">
        <v>9582</v>
      </c>
      <c r="B517" t="s">
        <v>9924</v>
      </c>
      <c r="C517" s="20" t="s">
        <v>9925</v>
      </c>
      <c r="D517">
        <v>1172</v>
      </c>
      <c r="E517" t="s">
        <v>9585</v>
      </c>
      <c r="F517">
        <v>5</v>
      </c>
      <c r="G517" s="28" t="s">
        <v>12471</v>
      </c>
    </row>
    <row r="518" spans="1:7" ht="144" x14ac:dyDescent="0.3">
      <c r="A518" t="s">
        <v>9582</v>
      </c>
      <c r="B518" t="s">
        <v>9924</v>
      </c>
      <c r="C518" s="20" t="s">
        <v>9925</v>
      </c>
      <c r="D518">
        <v>1172</v>
      </c>
      <c r="E518" t="s">
        <v>9585</v>
      </c>
      <c r="F518">
        <v>5</v>
      </c>
      <c r="G518" s="28" t="s">
        <v>12471</v>
      </c>
    </row>
    <row r="519" spans="1:7" ht="57.6" x14ac:dyDescent="0.3">
      <c r="A519" t="s">
        <v>9582</v>
      </c>
      <c r="B519" t="s">
        <v>9926</v>
      </c>
      <c r="C519" s="20" t="s">
        <v>9927</v>
      </c>
      <c r="D519">
        <v>504</v>
      </c>
      <c r="E519" t="s">
        <v>9633</v>
      </c>
      <c r="F519">
        <v>6.2</v>
      </c>
      <c r="G519" s="28" t="s">
        <v>9590</v>
      </c>
    </row>
    <row r="520" spans="1:7" ht="57.6" x14ac:dyDescent="0.3">
      <c r="A520" t="s">
        <v>9582</v>
      </c>
      <c r="B520" t="s">
        <v>9928</v>
      </c>
      <c r="C520" s="20" t="s">
        <v>9929</v>
      </c>
      <c r="D520">
        <v>502</v>
      </c>
      <c r="E520" t="s">
        <v>9589</v>
      </c>
      <c r="F520">
        <v>60</v>
      </c>
      <c r="G520" s="28" t="s">
        <v>9590</v>
      </c>
    </row>
    <row r="521" spans="1:7" ht="72" x14ac:dyDescent="0.3">
      <c r="A521" t="s">
        <v>9582</v>
      </c>
      <c r="B521" t="s">
        <v>9930</v>
      </c>
      <c r="C521" s="20" t="s">
        <v>9931</v>
      </c>
      <c r="D521">
        <v>503</v>
      </c>
      <c r="E521" t="s">
        <v>9589</v>
      </c>
      <c r="F521">
        <v>60</v>
      </c>
      <c r="G521" s="28" t="s">
        <v>9590</v>
      </c>
    </row>
    <row r="522" spans="1:7" ht="57.6" x14ac:dyDescent="0.3">
      <c r="A522" t="s">
        <v>9582</v>
      </c>
      <c r="B522" t="s">
        <v>9932</v>
      </c>
      <c r="C522" s="20" t="s">
        <v>9933</v>
      </c>
      <c r="D522">
        <v>368</v>
      </c>
      <c r="E522" t="s">
        <v>9616</v>
      </c>
      <c r="F522">
        <v>8</v>
      </c>
      <c r="G522" s="28" t="s">
        <v>9590</v>
      </c>
    </row>
    <row r="523" spans="1:7" ht="158.4" x14ac:dyDescent="0.3">
      <c r="A523" t="s">
        <v>9582</v>
      </c>
      <c r="B523" t="s">
        <v>9934</v>
      </c>
      <c r="C523" s="20" t="s">
        <v>9935</v>
      </c>
      <c r="D523">
        <v>651</v>
      </c>
      <c r="E523" t="s">
        <v>9589</v>
      </c>
      <c r="F523">
        <v>60</v>
      </c>
      <c r="G523" s="28" t="s">
        <v>9590</v>
      </c>
    </row>
    <row r="524" spans="1:7" ht="144" x14ac:dyDescent="0.3">
      <c r="A524" t="s">
        <v>9582</v>
      </c>
      <c r="B524" t="s">
        <v>9936</v>
      </c>
      <c r="C524" s="20" t="s">
        <v>9937</v>
      </c>
      <c r="D524">
        <v>1094</v>
      </c>
      <c r="E524" t="s">
        <v>9585</v>
      </c>
      <c r="F524">
        <v>5</v>
      </c>
      <c r="G524" s="28" t="s">
        <v>12472</v>
      </c>
    </row>
    <row r="525" spans="1:7" ht="144" x14ac:dyDescent="0.3">
      <c r="A525" t="s">
        <v>9582</v>
      </c>
      <c r="B525" t="s">
        <v>9936</v>
      </c>
      <c r="C525" s="20" t="s">
        <v>9937</v>
      </c>
      <c r="D525">
        <v>1094</v>
      </c>
      <c r="E525" t="s">
        <v>9585</v>
      </c>
      <c r="F525">
        <v>5</v>
      </c>
      <c r="G525" s="28" t="s">
        <v>12472</v>
      </c>
    </row>
    <row r="526" spans="1:7" ht="345.6" x14ac:dyDescent="0.3">
      <c r="A526" t="s">
        <v>9582</v>
      </c>
      <c r="B526" t="s">
        <v>9938</v>
      </c>
      <c r="C526" s="20" t="s">
        <v>9939</v>
      </c>
      <c r="D526">
        <v>1093</v>
      </c>
      <c r="E526" t="s">
        <v>9585</v>
      </c>
      <c r="F526">
        <v>5</v>
      </c>
      <c r="G526" s="28" t="s">
        <v>12473</v>
      </c>
    </row>
    <row r="527" spans="1:7" ht="345.6" x14ac:dyDescent="0.3">
      <c r="A527" t="s">
        <v>9582</v>
      </c>
      <c r="B527" t="s">
        <v>9938</v>
      </c>
      <c r="C527" s="20" t="s">
        <v>9939</v>
      </c>
      <c r="D527">
        <v>1093</v>
      </c>
      <c r="E527" t="s">
        <v>9585</v>
      </c>
      <c r="F527">
        <v>5</v>
      </c>
      <c r="G527" s="28" t="s">
        <v>12473</v>
      </c>
    </row>
    <row r="528" spans="1:7" ht="72" x14ac:dyDescent="0.3">
      <c r="A528" t="s">
        <v>9582</v>
      </c>
      <c r="B528" t="s">
        <v>9940</v>
      </c>
      <c r="C528" s="20" t="s">
        <v>9941</v>
      </c>
      <c r="D528">
        <v>1396</v>
      </c>
      <c r="E528" t="s">
        <v>9633</v>
      </c>
      <c r="F528">
        <v>6</v>
      </c>
      <c r="G528" s="28" t="s">
        <v>9590</v>
      </c>
    </row>
    <row r="529" spans="1:7" ht="72" x14ac:dyDescent="0.3">
      <c r="A529" t="s">
        <v>9582</v>
      </c>
      <c r="B529" t="s">
        <v>9940</v>
      </c>
      <c r="C529" s="20" t="s">
        <v>9941</v>
      </c>
      <c r="D529">
        <v>1396</v>
      </c>
      <c r="E529" t="s">
        <v>9633</v>
      </c>
      <c r="F529">
        <v>6</v>
      </c>
      <c r="G529" s="28" t="s">
        <v>9590</v>
      </c>
    </row>
    <row r="530" spans="1:7" ht="43.2" x14ac:dyDescent="0.3">
      <c r="A530" t="s">
        <v>9582</v>
      </c>
      <c r="B530" t="s">
        <v>9942</v>
      </c>
      <c r="C530" s="20" t="s">
        <v>9943</v>
      </c>
      <c r="D530">
        <v>433</v>
      </c>
      <c r="E530" t="s">
        <v>9589</v>
      </c>
      <c r="F530">
        <v>60</v>
      </c>
      <c r="G530" s="28" t="s">
        <v>9590</v>
      </c>
    </row>
    <row r="531" spans="1:7" ht="28.8" x14ac:dyDescent="0.3">
      <c r="A531" t="s">
        <v>9582</v>
      </c>
      <c r="B531" t="s">
        <v>9944</v>
      </c>
      <c r="C531" s="20" t="s">
        <v>9945</v>
      </c>
      <c r="D531">
        <v>767</v>
      </c>
      <c r="E531" t="s">
        <v>9616</v>
      </c>
      <c r="F531">
        <v>8</v>
      </c>
      <c r="G531" s="28" t="s">
        <v>9590</v>
      </c>
    </row>
    <row r="532" spans="1:7" ht="244.8" x14ac:dyDescent="0.3">
      <c r="A532" t="s">
        <v>9582</v>
      </c>
      <c r="B532" t="s">
        <v>9946</v>
      </c>
      <c r="C532" s="20" t="s">
        <v>12354</v>
      </c>
      <c r="D532">
        <v>1095</v>
      </c>
      <c r="E532" t="s">
        <v>9589</v>
      </c>
      <c r="F532">
        <v>2</v>
      </c>
      <c r="G532" s="28" t="s">
        <v>9590</v>
      </c>
    </row>
    <row r="533" spans="1:7" ht="244.8" x14ac:dyDescent="0.3">
      <c r="A533" t="s">
        <v>9582</v>
      </c>
      <c r="B533" t="s">
        <v>9946</v>
      </c>
      <c r="C533" s="20" t="s">
        <v>12354</v>
      </c>
      <c r="D533">
        <v>1095</v>
      </c>
      <c r="E533" t="s">
        <v>9589</v>
      </c>
      <c r="F533">
        <v>2</v>
      </c>
      <c r="G533" s="28" t="s">
        <v>9590</v>
      </c>
    </row>
    <row r="534" spans="1:7" ht="28.8" x14ac:dyDescent="0.3">
      <c r="A534" t="s">
        <v>9582</v>
      </c>
      <c r="B534" t="s">
        <v>9947</v>
      </c>
      <c r="C534" s="20" t="s">
        <v>9948</v>
      </c>
      <c r="D534">
        <v>1455</v>
      </c>
      <c r="E534" t="s">
        <v>9653</v>
      </c>
      <c r="F534">
        <v>2</v>
      </c>
      <c r="G534" s="28" t="s">
        <v>9590</v>
      </c>
    </row>
    <row r="535" spans="1:7" ht="72" x14ac:dyDescent="0.3">
      <c r="A535" t="s">
        <v>9582</v>
      </c>
      <c r="B535" t="s">
        <v>9949</v>
      </c>
      <c r="C535" s="20" t="s">
        <v>9950</v>
      </c>
      <c r="D535">
        <v>469</v>
      </c>
      <c r="E535" t="s">
        <v>9616</v>
      </c>
      <c r="F535">
        <v>8</v>
      </c>
      <c r="G535" s="28" t="s">
        <v>9590</v>
      </c>
    </row>
    <row r="536" spans="1:7" ht="72" x14ac:dyDescent="0.3">
      <c r="A536" t="s">
        <v>9582</v>
      </c>
      <c r="B536" t="s">
        <v>9951</v>
      </c>
      <c r="C536" s="20" t="s">
        <v>9952</v>
      </c>
      <c r="D536">
        <v>470</v>
      </c>
      <c r="E536" t="s">
        <v>9616</v>
      </c>
      <c r="F536">
        <v>8</v>
      </c>
      <c r="G536" s="28" t="s">
        <v>9590</v>
      </c>
    </row>
    <row r="537" spans="1:7" ht="115.2" x14ac:dyDescent="0.3">
      <c r="A537" t="s">
        <v>9582</v>
      </c>
      <c r="B537" t="s">
        <v>9953</v>
      </c>
      <c r="C537" s="20" t="s">
        <v>9954</v>
      </c>
      <c r="D537">
        <v>468</v>
      </c>
      <c r="E537" t="s">
        <v>9585</v>
      </c>
      <c r="F537">
        <v>5</v>
      </c>
      <c r="G537" s="28" t="s">
        <v>12474</v>
      </c>
    </row>
    <row r="538" spans="1:7" ht="28.8" x14ac:dyDescent="0.3">
      <c r="A538" t="s">
        <v>9582</v>
      </c>
      <c r="B538" t="s">
        <v>9955</v>
      </c>
      <c r="C538" s="20" t="s">
        <v>9956</v>
      </c>
      <c r="D538">
        <v>98</v>
      </c>
      <c r="E538" t="s">
        <v>9616</v>
      </c>
      <c r="F538">
        <v>8</v>
      </c>
      <c r="G538" s="28" t="s">
        <v>9590</v>
      </c>
    </row>
    <row r="539" spans="1:7" ht="28.8" x14ac:dyDescent="0.3">
      <c r="A539" t="s">
        <v>9582</v>
      </c>
      <c r="B539" t="s">
        <v>9955</v>
      </c>
      <c r="C539" s="20" t="s">
        <v>9956</v>
      </c>
      <c r="D539">
        <v>98</v>
      </c>
      <c r="E539" t="s">
        <v>9616</v>
      </c>
      <c r="F539">
        <v>8</v>
      </c>
      <c r="G539" s="28" t="s">
        <v>9590</v>
      </c>
    </row>
    <row r="540" spans="1:7" ht="28.8" x14ac:dyDescent="0.3">
      <c r="A540" t="s">
        <v>9582</v>
      </c>
      <c r="B540" t="s">
        <v>9955</v>
      </c>
      <c r="C540" s="20" t="s">
        <v>9956</v>
      </c>
      <c r="D540">
        <v>98</v>
      </c>
      <c r="E540" t="s">
        <v>9616</v>
      </c>
      <c r="F540">
        <v>8</v>
      </c>
      <c r="G540" s="28" t="s">
        <v>9590</v>
      </c>
    </row>
    <row r="541" spans="1:7" ht="28.8" x14ac:dyDescent="0.3">
      <c r="A541" t="s">
        <v>9582</v>
      </c>
      <c r="B541" t="s">
        <v>9955</v>
      </c>
      <c r="C541" s="20" t="s">
        <v>9956</v>
      </c>
      <c r="D541">
        <v>98</v>
      </c>
      <c r="E541" t="s">
        <v>9616</v>
      </c>
      <c r="F541">
        <v>8</v>
      </c>
      <c r="G541" s="28" t="s">
        <v>9590</v>
      </c>
    </row>
    <row r="542" spans="1:7" ht="28.8" x14ac:dyDescent="0.3">
      <c r="A542" t="s">
        <v>9582</v>
      </c>
      <c r="B542" t="s">
        <v>9957</v>
      </c>
      <c r="C542" s="20" t="s">
        <v>9958</v>
      </c>
      <c r="D542">
        <v>1501</v>
      </c>
      <c r="E542" t="s">
        <v>9589</v>
      </c>
      <c r="F542">
        <v>60</v>
      </c>
      <c r="G542" s="28" t="s">
        <v>9590</v>
      </c>
    </row>
    <row r="543" spans="1:7" ht="28.8" x14ac:dyDescent="0.3">
      <c r="A543" t="s">
        <v>9582</v>
      </c>
      <c r="B543" t="s">
        <v>9957</v>
      </c>
      <c r="C543" s="20" t="s">
        <v>9958</v>
      </c>
      <c r="D543">
        <v>1501</v>
      </c>
      <c r="E543" t="s">
        <v>9589</v>
      </c>
      <c r="F543">
        <v>60</v>
      </c>
      <c r="G543" s="28" t="s">
        <v>9590</v>
      </c>
    </row>
    <row r="544" spans="1:7" ht="28.8" x14ac:dyDescent="0.3">
      <c r="A544" t="s">
        <v>9582</v>
      </c>
      <c r="B544" t="s">
        <v>9957</v>
      </c>
      <c r="C544" s="20" t="s">
        <v>9958</v>
      </c>
      <c r="D544">
        <v>1501</v>
      </c>
      <c r="E544" t="s">
        <v>9589</v>
      </c>
      <c r="F544">
        <v>60</v>
      </c>
      <c r="G544" s="28" t="s">
        <v>9590</v>
      </c>
    </row>
    <row r="545" spans="1:7" ht="86.4" x14ac:dyDescent="0.3">
      <c r="A545" t="s">
        <v>9582</v>
      </c>
      <c r="B545" t="s">
        <v>9959</v>
      </c>
      <c r="C545" s="20" t="s">
        <v>9960</v>
      </c>
      <c r="D545">
        <v>757</v>
      </c>
      <c r="E545" t="s">
        <v>9589</v>
      </c>
      <c r="F545">
        <v>35</v>
      </c>
      <c r="G545" s="28" t="s">
        <v>9590</v>
      </c>
    </row>
    <row r="546" spans="1:7" ht="57.6" x14ac:dyDescent="0.3">
      <c r="A546" t="s">
        <v>9582</v>
      </c>
      <c r="B546" t="s">
        <v>9961</v>
      </c>
      <c r="C546" s="20" t="s">
        <v>9962</v>
      </c>
      <c r="D546">
        <v>764</v>
      </c>
      <c r="E546" t="s">
        <v>9589</v>
      </c>
      <c r="F546">
        <v>35</v>
      </c>
      <c r="G546" s="28" t="s">
        <v>9590</v>
      </c>
    </row>
    <row r="547" spans="1:7" ht="28.8" x14ac:dyDescent="0.3">
      <c r="A547" t="s">
        <v>9582</v>
      </c>
      <c r="B547" t="s">
        <v>9963</v>
      </c>
      <c r="C547" s="20" t="s">
        <v>9964</v>
      </c>
      <c r="D547">
        <v>765</v>
      </c>
      <c r="E547" t="s">
        <v>9589</v>
      </c>
      <c r="F547">
        <v>60</v>
      </c>
      <c r="G547" s="28" t="s">
        <v>9590</v>
      </c>
    </row>
    <row r="548" spans="1:7" ht="409.6" x14ac:dyDescent="0.3">
      <c r="A548" t="s">
        <v>9582</v>
      </c>
      <c r="B548" t="s">
        <v>9965</v>
      </c>
      <c r="C548" s="20" t="s">
        <v>9966</v>
      </c>
      <c r="D548">
        <v>323</v>
      </c>
      <c r="E548" t="s">
        <v>9585</v>
      </c>
      <c r="F548">
        <v>5</v>
      </c>
      <c r="G548" s="28" t="s">
        <v>12475</v>
      </c>
    </row>
    <row r="549" spans="1:7" ht="409.6" x14ac:dyDescent="0.3">
      <c r="A549" t="s">
        <v>9582</v>
      </c>
      <c r="B549" t="s">
        <v>9965</v>
      </c>
      <c r="C549" s="20" t="s">
        <v>9966</v>
      </c>
      <c r="D549">
        <v>323</v>
      </c>
      <c r="E549" t="s">
        <v>9585</v>
      </c>
      <c r="F549">
        <v>5</v>
      </c>
      <c r="G549" s="28" t="s">
        <v>12475</v>
      </c>
    </row>
    <row r="550" spans="1:7" ht="172.8" x14ac:dyDescent="0.3">
      <c r="A550" t="s">
        <v>9582</v>
      </c>
      <c r="B550" t="s">
        <v>9967</v>
      </c>
      <c r="C550" s="20" t="s">
        <v>12355</v>
      </c>
      <c r="D550">
        <v>100</v>
      </c>
      <c r="E550" t="s">
        <v>9585</v>
      </c>
      <c r="F550">
        <v>5</v>
      </c>
      <c r="G550" s="17" t="s">
        <v>12356</v>
      </c>
    </row>
    <row r="551" spans="1:7" ht="172.8" x14ac:dyDescent="0.3">
      <c r="A551" t="s">
        <v>9582</v>
      </c>
      <c r="B551" t="s">
        <v>9967</v>
      </c>
      <c r="C551" s="20" t="s">
        <v>12355</v>
      </c>
      <c r="D551">
        <v>100</v>
      </c>
      <c r="E551" t="s">
        <v>9585</v>
      </c>
      <c r="F551">
        <v>5</v>
      </c>
      <c r="G551" s="17" t="s">
        <v>12356</v>
      </c>
    </row>
    <row r="552" spans="1:7" ht="172.8" x14ac:dyDescent="0.3">
      <c r="A552" t="s">
        <v>9582</v>
      </c>
      <c r="B552" t="s">
        <v>9967</v>
      </c>
      <c r="C552" s="20" t="s">
        <v>12355</v>
      </c>
      <c r="D552">
        <v>100</v>
      </c>
      <c r="E552" t="s">
        <v>9585</v>
      </c>
      <c r="F552">
        <v>5</v>
      </c>
      <c r="G552" s="17" t="s">
        <v>12356</v>
      </c>
    </row>
    <row r="553" spans="1:7" ht="172.8" x14ac:dyDescent="0.3">
      <c r="A553" t="s">
        <v>9582</v>
      </c>
      <c r="B553" t="s">
        <v>9967</v>
      </c>
      <c r="C553" s="20" t="s">
        <v>12355</v>
      </c>
      <c r="D553">
        <v>100</v>
      </c>
      <c r="E553" t="s">
        <v>9585</v>
      </c>
      <c r="F553">
        <v>5</v>
      </c>
      <c r="G553" s="17" t="s">
        <v>12356</v>
      </c>
    </row>
    <row r="554" spans="1:7" ht="172.8" x14ac:dyDescent="0.3">
      <c r="A554" t="s">
        <v>9582</v>
      </c>
      <c r="B554" t="s">
        <v>9967</v>
      </c>
      <c r="C554" s="20" t="s">
        <v>12355</v>
      </c>
      <c r="D554">
        <v>100</v>
      </c>
      <c r="E554" t="s">
        <v>9585</v>
      </c>
      <c r="F554">
        <v>5</v>
      </c>
      <c r="G554" s="17" t="s">
        <v>12356</v>
      </c>
    </row>
    <row r="555" spans="1:7" ht="172.8" x14ac:dyDescent="0.3">
      <c r="A555" t="s">
        <v>9582</v>
      </c>
      <c r="B555" t="s">
        <v>9967</v>
      </c>
      <c r="C555" s="20" t="s">
        <v>12355</v>
      </c>
      <c r="D555">
        <v>100</v>
      </c>
      <c r="E555" t="s">
        <v>9585</v>
      </c>
      <c r="F555">
        <v>5</v>
      </c>
      <c r="G555" s="17" t="s">
        <v>12356</v>
      </c>
    </row>
    <row r="556" spans="1:7" ht="172.8" x14ac:dyDescent="0.3">
      <c r="A556" t="s">
        <v>9582</v>
      </c>
      <c r="B556" t="s">
        <v>9967</v>
      </c>
      <c r="C556" s="20" t="s">
        <v>12355</v>
      </c>
      <c r="D556">
        <v>100</v>
      </c>
      <c r="E556" t="s">
        <v>9585</v>
      </c>
      <c r="F556">
        <v>5</v>
      </c>
      <c r="G556" s="17" t="s">
        <v>12356</v>
      </c>
    </row>
    <row r="557" spans="1:7" ht="172.8" x14ac:dyDescent="0.3">
      <c r="A557" t="s">
        <v>9582</v>
      </c>
      <c r="B557" t="s">
        <v>9967</v>
      </c>
      <c r="C557" s="20" t="s">
        <v>12355</v>
      </c>
      <c r="D557">
        <v>100</v>
      </c>
      <c r="E557" t="s">
        <v>9585</v>
      </c>
      <c r="F557">
        <v>5</v>
      </c>
      <c r="G557" s="17" t="s">
        <v>12356</v>
      </c>
    </row>
    <row r="558" spans="1:7" ht="43.2" x14ac:dyDescent="0.3">
      <c r="A558" t="s">
        <v>9582</v>
      </c>
      <c r="B558" t="s">
        <v>9968</v>
      </c>
      <c r="C558" s="20" t="s">
        <v>9969</v>
      </c>
      <c r="D558">
        <v>317</v>
      </c>
      <c r="E558" t="s">
        <v>9589</v>
      </c>
      <c r="F558">
        <v>30</v>
      </c>
      <c r="G558" s="28" t="s">
        <v>9590</v>
      </c>
    </row>
    <row r="559" spans="1:7" ht="43.2" x14ac:dyDescent="0.3">
      <c r="A559" t="s">
        <v>9582</v>
      </c>
      <c r="B559" t="s">
        <v>9968</v>
      </c>
      <c r="C559" s="20" t="s">
        <v>9969</v>
      </c>
      <c r="D559">
        <v>317</v>
      </c>
      <c r="E559" t="s">
        <v>9589</v>
      </c>
      <c r="F559">
        <v>30</v>
      </c>
      <c r="G559" s="28" t="s">
        <v>9590</v>
      </c>
    </row>
    <row r="560" spans="1:7" ht="72" x14ac:dyDescent="0.3">
      <c r="A560" t="s">
        <v>9582</v>
      </c>
      <c r="B560" t="s">
        <v>9970</v>
      </c>
      <c r="C560" s="20" t="s">
        <v>9971</v>
      </c>
      <c r="D560">
        <v>1123</v>
      </c>
      <c r="E560" t="s">
        <v>9589</v>
      </c>
      <c r="F560">
        <v>30</v>
      </c>
      <c r="G560" s="28" t="s">
        <v>9590</v>
      </c>
    </row>
    <row r="561" spans="1:7" ht="72" x14ac:dyDescent="0.3">
      <c r="A561" t="s">
        <v>9582</v>
      </c>
      <c r="B561" t="s">
        <v>9970</v>
      </c>
      <c r="C561" s="20" t="s">
        <v>9971</v>
      </c>
      <c r="D561">
        <v>1123</v>
      </c>
      <c r="E561" t="s">
        <v>9589</v>
      </c>
      <c r="F561">
        <v>30</v>
      </c>
      <c r="G561" s="28" t="s">
        <v>9590</v>
      </c>
    </row>
    <row r="562" spans="1:7" ht="72" x14ac:dyDescent="0.3">
      <c r="A562" t="s">
        <v>9582</v>
      </c>
      <c r="B562" t="s">
        <v>9970</v>
      </c>
      <c r="C562" s="20" t="s">
        <v>9971</v>
      </c>
      <c r="D562">
        <v>1123</v>
      </c>
      <c r="E562" t="s">
        <v>9589</v>
      </c>
      <c r="F562">
        <v>30</v>
      </c>
      <c r="G562" s="28" t="s">
        <v>9590</v>
      </c>
    </row>
    <row r="563" spans="1:7" ht="57.6" x14ac:dyDescent="0.3">
      <c r="A563" t="s">
        <v>9582</v>
      </c>
      <c r="B563" t="s">
        <v>9972</v>
      </c>
      <c r="C563" s="20" t="s">
        <v>9973</v>
      </c>
      <c r="D563">
        <v>1122</v>
      </c>
      <c r="E563" t="s">
        <v>9585</v>
      </c>
      <c r="F563">
        <v>5</v>
      </c>
      <c r="G563" s="28" t="s">
        <v>9586</v>
      </c>
    </row>
    <row r="564" spans="1:7" ht="57.6" x14ac:dyDescent="0.3">
      <c r="A564" t="s">
        <v>9582</v>
      </c>
      <c r="B564" t="s">
        <v>9972</v>
      </c>
      <c r="C564" s="20" t="s">
        <v>9973</v>
      </c>
      <c r="D564">
        <v>1122</v>
      </c>
      <c r="E564" t="s">
        <v>9585</v>
      </c>
      <c r="F564">
        <v>5</v>
      </c>
      <c r="G564" s="28" t="s">
        <v>9586</v>
      </c>
    </row>
    <row r="565" spans="1:7" ht="57.6" x14ac:dyDescent="0.3">
      <c r="A565" t="s">
        <v>9582</v>
      </c>
      <c r="B565" t="s">
        <v>9972</v>
      </c>
      <c r="C565" s="20" t="s">
        <v>9973</v>
      </c>
      <c r="D565">
        <v>1122</v>
      </c>
      <c r="E565" t="s">
        <v>9585</v>
      </c>
      <c r="F565">
        <v>5</v>
      </c>
      <c r="G565" s="28" t="s">
        <v>9586</v>
      </c>
    </row>
    <row r="566" spans="1:7" ht="28.8" x14ac:dyDescent="0.3">
      <c r="A566" t="s">
        <v>9582</v>
      </c>
      <c r="B566" t="s">
        <v>9974</v>
      </c>
      <c r="C566" s="20" t="s">
        <v>9975</v>
      </c>
      <c r="D566">
        <v>1193</v>
      </c>
      <c r="E566" t="s">
        <v>9653</v>
      </c>
      <c r="F566">
        <v>5</v>
      </c>
      <c r="G566" s="28" t="s">
        <v>9590</v>
      </c>
    </row>
    <row r="567" spans="1:7" ht="28.8" x14ac:dyDescent="0.3">
      <c r="A567" t="s">
        <v>9582</v>
      </c>
      <c r="B567" t="s">
        <v>9976</v>
      </c>
      <c r="C567" s="20" t="s">
        <v>9977</v>
      </c>
      <c r="D567">
        <v>511</v>
      </c>
      <c r="E567" t="s">
        <v>9633</v>
      </c>
      <c r="F567">
        <v>7.2</v>
      </c>
      <c r="G567" s="28" t="s">
        <v>9590</v>
      </c>
    </row>
    <row r="568" spans="1:7" ht="43.2" x14ac:dyDescent="0.3">
      <c r="A568" t="s">
        <v>9582</v>
      </c>
      <c r="B568" t="s">
        <v>9978</v>
      </c>
      <c r="C568" s="20" t="s">
        <v>9979</v>
      </c>
      <c r="D568">
        <v>513</v>
      </c>
      <c r="E568" t="s">
        <v>9616</v>
      </c>
      <c r="F568">
        <v>8</v>
      </c>
      <c r="G568" s="28" t="s">
        <v>9590</v>
      </c>
    </row>
    <row r="569" spans="1:7" ht="43.2" x14ac:dyDescent="0.3">
      <c r="A569" t="s">
        <v>9582</v>
      </c>
      <c r="B569" t="s">
        <v>9980</v>
      </c>
      <c r="C569" s="20" t="s">
        <v>9981</v>
      </c>
      <c r="D569">
        <v>508</v>
      </c>
      <c r="E569" t="s">
        <v>9589</v>
      </c>
      <c r="F569">
        <v>80</v>
      </c>
      <c r="G569" s="28" t="s">
        <v>9590</v>
      </c>
    </row>
    <row r="570" spans="1:7" ht="28.8" x14ac:dyDescent="0.3">
      <c r="A570" t="s">
        <v>9582</v>
      </c>
      <c r="B570" t="s">
        <v>9982</v>
      </c>
      <c r="C570" s="20" t="s">
        <v>9983</v>
      </c>
      <c r="D570">
        <v>514</v>
      </c>
      <c r="E570" t="s">
        <v>9616</v>
      </c>
      <c r="F570">
        <v>8</v>
      </c>
      <c r="G570" s="28" t="s">
        <v>9590</v>
      </c>
    </row>
    <row r="571" spans="1:7" ht="43.2" x14ac:dyDescent="0.3">
      <c r="A571" t="s">
        <v>9582</v>
      </c>
      <c r="B571" t="s">
        <v>9984</v>
      </c>
      <c r="C571" s="20" t="s">
        <v>9985</v>
      </c>
      <c r="D571">
        <v>510</v>
      </c>
      <c r="E571" t="s">
        <v>9589</v>
      </c>
      <c r="F571">
        <v>45</v>
      </c>
      <c r="G571" s="28" t="s">
        <v>9590</v>
      </c>
    </row>
    <row r="572" spans="1:7" ht="144" x14ac:dyDescent="0.3">
      <c r="A572" t="s">
        <v>9582</v>
      </c>
      <c r="B572" t="s">
        <v>9986</v>
      </c>
      <c r="C572" s="20" t="s">
        <v>9987</v>
      </c>
      <c r="D572">
        <v>509</v>
      </c>
      <c r="E572" t="s">
        <v>9589</v>
      </c>
      <c r="F572">
        <v>60</v>
      </c>
      <c r="G572" s="28" t="s">
        <v>12476</v>
      </c>
    </row>
    <row r="573" spans="1:7" ht="216" x14ac:dyDescent="0.3">
      <c r="A573" t="s">
        <v>9582</v>
      </c>
      <c r="B573" t="s">
        <v>9988</v>
      </c>
      <c r="C573" s="20" t="s">
        <v>12357</v>
      </c>
      <c r="D573">
        <v>1164</v>
      </c>
      <c r="E573" t="s">
        <v>9585</v>
      </c>
      <c r="F573">
        <v>5</v>
      </c>
      <c r="G573" s="28" t="s">
        <v>12477</v>
      </c>
    </row>
    <row r="574" spans="1:7" ht="216" x14ac:dyDescent="0.3">
      <c r="A574" t="s">
        <v>9582</v>
      </c>
      <c r="B574" t="s">
        <v>9988</v>
      </c>
      <c r="C574" s="20" t="s">
        <v>12357</v>
      </c>
      <c r="D574">
        <v>1164</v>
      </c>
      <c r="E574" t="s">
        <v>9585</v>
      </c>
      <c r="F574">
        <v>5</v>
      </c>
      <c r="G574" s="28" t="s">
        <v>12477</v>
      </c>
    </row>
    <row r="575" spans="1:7" ht="72" x14ac:dyDescent="0.3">
      <c r="A575" t="s">
        <v>9582</v>
      </c>
      <c r="B575" t="s">
        <v>9989</v>
      </c>
      <c r="C575" s="20" t="s">
        <v>9990</v>
      </c>
      <c r="D575">
        <v>413</v>
      </c>
      <c r="E575" t="s">
        <v>9589</v>
      </c>
      <c r="F575">
        <v>30</v>
      </c>
      <c r="G575" s="28" t="s">
        <v>9590</v>
      </c>
    </row>
    <row r="576" spans="1:7" ht="216" x14ac:dyDescent="0.3">
      <c r="A576" t="s">
        <v>9582</v>
      </c>
      <c r="B576" t="s">
        <v>9991</v>
      </c>
      <c r="C576" s="20" t="s">
        <v>9992</v>
      </c>
      <c r="D576">
        <v>416</v>
      </c>
      <c r="E576" t="s">
        <v>9585</v>
      </c>
      <c r="F576">
        <v>5</v>
      </c>
      <c r="G576" s="28" t="s">
        <v>12478</v>
      </c>
    </row>
    <row r="577" spans="1:7" ht="57.6" x14ac:dyDescent="0.3">
      <c r="A577" t="s">
        <v>9582</v>
      </c>
      <c r="B577" t="s">
        <v>9993</v>
      </c>
      <c r="C577" s="20" t="s">
        <v>9994</v>
      </c>
      <c r="D577">
        <v>417</v>
      </c>
      <c r="E577" t="s">
        <v>9589</v>
      </c>
      <c r="F577">
        <v>35</v>
      </c>
      <c r="G577" s="28" t="s">
        <v>9590</v>
      </c>
    </row>
    <row r="578" spans="1:7" ht="28.8" x14ac:dyDescent="0.3">
      <c r="A578" t="s">
        <v>9582</v>
      </c>
      <c r="B578" t="s">
        <v>9995</v>
      </c>
      <c r="C578" s="20" t="s">
        <v>9996</v>
      </c>
      <c r="D578">
        <v>418</v>
      </c>
      <c r="E578" t="s">
        <v>9616</v>
      </c>
      <c r="F578">
        <v>8</v>
      </c>
      <c r="G578" s="28" t="s">
        <v>9590</v>
      </c>
    </row>
    <row r="579" spans="1:7" ht="86.4" x14ac:dyDescent="0.3">
      <c r="A579" t="s">
        <v>9582</v>
      </c>
      <c r="B579" t="s">
        <v>9997</v>
      </c>
      <c r="C579" s="20" t="s">
        <v>9998</v>
      </c>
      <c r="D579">
        <v>412</v>
      </c>
      <c r="E579" t="s">
        <v>9585</v>
      </c>
      <c r="F579">
        <v>5</v>
      </c>
      <c r="G579" s="28" t="s">
        <v>12479</v>
      </c>
    </row>
    <row r="580" spans="1:7" ht="43.2" x14ac:dyDescent="0.3">
      <c r="A580" t="s">
        <v>9582</v>
      </c>
      <c r="B580" t="s">
        <v>9999</v>
      </c>
      <c r="C580" s="20" t="s">
        <v>10000</v>
      </c>
      <c r="D580">
        <v>430</v>
      </c>
      <c r="E580" t="s">
        <v>9589</v>
      </c>
      <c r="F580">
        <v>35</v>
      </c>
      <c r="G580" s="28" t="s">
        <v>9590</v>
      </c>
    </row>
    <row r="581" spans="1:7" ht="86.4" x14ac:dyDescent="0.3">
      <c r="A581" t="s">
        <v>9582</v>
      </c>
      <c r="B581" t="s">
        <v>10001</v>
      </c>
      <c r="C581" s="20" t="s">
        <v>10002</v>
      </c>
      <c r="D581">
        <v>419</v>
      </c>
      <c r="E581" t="s">
        <v>9589</v>
      </c>
      <c r="F581">
        <v>30</v>
      </c>
      <c r="G581" s="28" t="s">
        <v>9590</v>
      </c>
    </row>
    <row r="582" spans="1:7" ht="28.8" x14ac:dyDescent="0.3">
      <c r="A582" t="s">
        <v>9582</v>
      </c>
      <c r="B582" t="s">
        <v>2832</v>
      </c>
      <c r="C582" s="20" t="s">
        <v>10003</v>
      </c>
      <c r="D582">
        <v>396</v>
      </c>
      <c r="E582" t="s">
        <v>9589</v>
      </c>
      <c r="F582">
        <v>60</v>
      </c>
      <c r="G582" s="28" t="s">
        <v>9590</v>
      </c>
    </row>
    <row r="583" spans="1:7" ht="43.2" x14ac:dyDescent="0.3">
      <c r="A583" t="s">
        <v>9582</v>
      </c>
      <c r="B583" t="s">
        <v>10004</v>
      </c>
      <c r="C583" s="20" t="s">
        <v>10005</v>
      </c>
      <c r="D583">
        <v>422</v>
      </c>
      <c r="E583" t="s">
        <v>9633</v>
      </c>
      <c r="F583">
        <v>5.2</v>
      </c>
      <c r="G583" s="28" t="s">
        <v>9590</v>
      </c>
    </row>
    <row r="584" spans="1:7" ht="43.2" x14ac:dyDescent="0.3">
      <c r="A584" t="s">
        <v>9582</v>
      </c>
      <c r="B584" t="s">
        <v>10006</v>
      </c>
      <c r="C584" s="20" t="s">
        <v>10007</v>
      </c>
      <c r="D584">
        <v>410</v>
      </c>
      <c r="E584" t="s">
        <v>9616</v>
      </c>
      <c r="F584">
        <v>8</v>
      </c>
      <c r="G584" s="28" t="s">
        <v>9590</v>
      </c>
    </row>
    <row r="585" spans="1:7" ht="331.2" x14ac:dyDescent="0.3">
      <c r="A585" t="s">
        <v>9582</v>
      </c>
      <c r="B585" t="s">
        <v>10008</v>
      </c>
      <c r="C585" s="20" t="s">
        <v>10009</v>
      </c>
      <c r="D585">
        <v>405</v>
      </c>
      <c r="E585" t="s">
        <v>9585</v>
      </c>
      <c r="F585">
        <v>5</v>
      </c>
      <c r="G585" s="28" t="s">
        <v>12480</v>
      </c>
    </row>
    <row r="586" spans="1:7" ht="43.2" x14ac:dyDescent="0.3">
      <c r="A586" t="s">
        <v>9582</v>
      </c>
      <c r="B586" t="s">
        <v>10010</v>
      </c>
      <c r="C586" s="20" t="s">
        <v>10011</v>
      </c>
      <c r="D586">
        <v>407</v>
      </c>
      <c r="E586" t="s">
        <v>9653</v>
      </c>
      <c r="F586">
        <v>3</v>
      </c>
      <c r="G586" s="28" t="s">
        <v>9590</v>
      </c>
    </row>
    <row r="587" spans="1:7" ht="43.2" x14ac:dyDescent="0.3">
      <c r="A587" t="s">
        <v>9582</v>
      </c>
      <c r="B587" t="s">
        <v>10012</v>
      </c>
      <c r="C587" s="20" t="s">
        <v>10013</v>
      </c>
      <c r="D587">
        <v>408</v>
      </c>
      <c r="E587" t="s">
        <v>9653</v>
      </c>
      <c r="F587">
        <v>3</v>
      </c>
      <c r="G587" s="28" t="s">
        <v>9590</v>
      </c>
    </row>
    <row r="588" spans="1:7" ht="28.8" x14ac:dyDescent="0.3">
      <c r="A588" t="s">
        <v>9582</v>
      </c>
      <c r="B588" t="s">
        <v>10014</v>
      </c>
      <c r="C588" s="20" t="s">
        <v>10015</v>
      </c>
      <c r="D588">
        <v>425</v>
      </c>
      <c r="E588" t="s">
        <v>9616</v>
      </c>
      <c r="F588">
        <v>8</v>
      </c>
      <c r="G588" s="28" t="s">
        <v>9590</v>
      </c>
    </row>
    <row r="589" spans="1:7" ht="28.8" x14ac:dyDescent="0.3">
      <c r="A589" t="s">
        <v>9582</v>
      </c>
      <c r="B589" t="s">
        <v>10016</v>
      </c>
      <c r="C589" s="20" t="s">
        <v>10017</v>
      </c>
      <c r="D589">
        <v>426</v>
      </c>
      <c r="E589" t="s">
        <v>9589</v>
      </c>
      <c r="F589">
        <v>60</v>
      </c>
      <c r="G589" s="28" t="s">
        <v>9590</v>
      </c>
    </row>
    <row r="590" spans="1:7" ht="43.2" x14ac:dyDescent="0.3">
      <c r="A590" t="s">
        <v>9582</v>
      </c>
      <c r="B590" t="s">
        <v>12358</v>
      </c>
      <c r="C590" s="20" t="s">
        <v>10018</v>
      </c>
      <c r="D590">
        <v>657</v>
      </c>
      <c r="E590" t="s">
        <v>9633</v>
      </c>
      <c r="F590">
        <v>2.1</v>
      </c>
      <c r="G590" s="28" t="s">
        <v>9590</v>
      </c>
    </row>
    <row r="591" spans="1:7" ht="43.2" x14ac:dyDescent="0.3">
      <c r="A591" t="s">
        <v>9582</v>
      </c>
      <c r="B591" t="s">
        <v>12359</v>
      </c>
      <c r="C591" s="20" t="s">
        <v>10019</v>
      </c>
      <c r="D591">
        <v>659</v>
      </c>
      <c r="E591" t="s">
        <v>9633</v>
      </c>
      <c r="F591">
        <v>2.1</v>
      </c>
      <c r="G591" s="28" t="s">
        <v>9590</v>
      </c>
    </row>
    <row r="592" spans="1:7" ht="43.2" x14ac:dyDescent="0.3">
      <c r="A592" t="s">
        <v>9582</v>
      </c>
      <c r="B592" t="s">
        <v>12360</v>
      </c>
      <c r="C592" s="20" t="s">
        <v>10020</v>
      </c>
      <c r="D592">
        <v>658</v>
      </c>
      <c r="E592" t="s">
        <v>9633</v>
      </c>
      <c r="F592">
        <v>2.1</v>
      </c>
      <c r="G592" s="28" t="s">
        <v>9590</v>
      </c>
    </row>
    <row r="593" spans="1:7" ht="43.2" x14ac:dyDescent="0.3">
      <c r="A593" t="s">
        <v>9582</v>
      </c>
      <c r="B593" t="s">
        <v>10021</v>
      </c>
      <c r="C593" s="20" t="s">
        <v>10022</v>
      </c>
      <c r="D593">
        <v>375</v>
      </c>
      <c r="E593" t="s">
        <v>9633</v>
      </c>
      <c r="F593">
        <v>2.1</v>
      </c>
      <c r="G593" s="28" t="s">
        <v>9590</v>
      </c>
    </row>
    <row r="594" spans="1:7" ht="43.2" x14ac:dyDescent="0.3">
      <c r="A594" t="s">
        <v>9582</v>
      </c>
      <c r="B594" t="s">
        <v>10021</v>
      </c>
      <c r="C594" s="20" t="s">
        <v>10022</v>
      </c>
      <c r="D594">
        <v>375</v>
      </c>
      <c r="E594" t="s">
        <v>9633</v>
      </c>
      <c r="F594">
        <v>2.1</v>
      </c>
      <c r="G594" s="28" t="s">
        <v>9590</v>
      </c>
    </row>
    <row r="595" spans="1:7" ht="57.6" x14ac:dyDescent="0.3">
      <c r="A595" t="s">
        <v>9582</v>
      </c>
      <c r="B595" t="s">
        <v>10023</v>
      </c>
      <c r="C595" s="20" t="s">
        <v>10024</v>
      </c>
      <c r="D595">
        <v>661</v>
      </c>
      <c r="E595" t="s">
        <v>9633</v>
      </c>
      <c r="F595">
        <v>2.1</v>
      </c>
      <c r="G595" s="28" t="s">
        <v>9590</v>
      </c>
    </row>
    <row r="596" spans="1:7" ht="57.6" x14ac:dyDescent="0.3">
      <c r="A596" t="s">
        <v>9582</v>
      </c>
      <c r="B596" t="s">
        <v>10025</v>
      </c>
      <c r="C596" s="20" t="s">
        <v>10026</v>
      </c>
      <c r="D596">
        <v>663</v>
      </c>
      <c r="E596" t="s">
        <v>9633</v>
      </c>
      <c r="F596">
        <v>2.1</v>
      </c>
      <c r="G596" s="28" t="s">
        <v>9590</v>
      </c>
    </row>
    <row r="597" spans="1:7" ht="43.2" x14ac:dyDescent="0.3">
      <c r="A597" t="s">
        <v>9582</v>
      </c>
      <c r="B597" t="s">
        <v>10027</v>
      </c>
      <c r="C597" s="20" t="s">
        <v>10028</v>
      </c>
      <c r="D597">
        <v>662</v>
      </c>
      <c r="E597" t="s">
        <v>9633</v>
      </c>
      <c r="F597">
        <v>2.1</v>
      </c>
      <c r="G597" s="28" t="s">
        <v>9590</v>
      </c>
    </row>
    <row r="598" spans="1:7" ht="28.8" x14ac:dyDescent="0.3">
      <c r="A598" t="s">
        <v>9582</v>
      </c>
      <c r="B598" t="s">
        <v>10029</v>
      </c>
      <c r="C598" s="20" t="s">
        <v>2998</v>
      </c>
      <c r="D598">
        <v>1361</v>
      </c>
      <c r="E598" t="s">
        <v>9589</v>
      </c>
      <c r="F598">
        <v>35</v>
      </c>
      <c r="G598" s="28" t="s">
        <v>9590</v>
      </c>
    </row>
    <row r="599" spans="1:7" ht="28.8" x14ac:dyDescent="0.3">
      <c r="A599" t="s">
        <v>9582</v>
      </c>
      <c r="B599" t="s">
        <v>10029</v>
      </c>
      <c r="C599" s="20" t="s">
        <v>2998</v>
      </c>
      <c r="D599">
        <v>1361</v>
      </c>
      <c r="E599" t="s">
        <v>9589</v>
      </c>
      <c r="F599">
        <v>35</v>
      </c>
      <c r="G599" s="28" t="s">
        <v>9590</v>
      </c>
    </row>
    <row r="600" spans="1:7" ht="28.8" x14ac:dyDescent="0.3">
      <c r="A600" t="s">
        <v>9582</v>
      </c>
      <c r="B600" t="s">
        <v>10029</v>
      </c>
      <c r="C600" s="20" t="s">
        <v>2998</v>
      </c>
      <c r="D600">
        <v>1361</v>
      </c>
      <c r="E600" t="s">
        <v>9589</v>
      </c>
      <c r="F600">
        <v>35</v>
      </c>
      <c r="G600" s="28" t="s">
        <v>9590</v>
      </c>
    </row>
    <row r="601" spans="1:7" ht="28.8" x14ac:dyDescent="0.3">
      <c r="A601" t="s">
        <v>9582</v>
      </c>
      <c r="B601" t="s">
        <v>10030</v>
      </c>
      <c r="C601" s="20" t="s">
        <v>10031</v>
      </c>
      <c r="D601">
        <v>109</v>
      </c>
      <c r="E601" t="s">
        <v>9589</v>
      </c>
      <c r="F601">
        <v>45</v>
      </c>
      <c r="G601" s="28" t="s">
        <v>9590</v>
      </c>
    </row>
    <row r="602" spans="1:7" ht="28.8" x14ac:dyDescent="0.3">
      <c r="A602" t="s">
        <v>9582</v>
      </c>
      <c r="B602" t="s">
        <v>10030</v>
      </c>
      <c r="C602" s="20" t="s">
        <v>10031</v>
      </c>
      <c r="D602">
        <v>109</v>
      </c>
      <c r="E602" t="s">
        <v>9589</v>
      </c>
      <c r="F602">
        <v>45</v>
      </c>
      <c r="G602" s="28" t="s">
        <v>9590</v>
      </c>
    </row>
    <row r="603" spans="1:7" ht="28.8" x14ac:dyDescent="0.3">
      <c r="A603" t="s">
        <v>9582</v>
      </c>
      <c r="B603" t="s">
        <v>10030</v>
      </c>
      <c r="C603" s="20" t="s">
        <v>10031</v>
      </c>
      <c r="D603">
        <v>109</v>
      </c>
      <c r="E603" t="s">
        <v>9589</v>
      </c>
      <c r="F603">
        <v>45</v>
      </c>
      <c r="G603" s="28" t="s">
        <v>9590</v>
      </c>
    </row>
    <row r="604" spans="1:7" ht="28.8" x14ac:dyDescent="0.3">
      <c r="A604" t="s">
        <v>9582</v>
      </c>
      <c r="B604" t="s">
        <v>10032</v>
      </c>
      <c r="C604" s="20" t="s">
        <v>10033</v>
      </c>
      <c r="D604">
        <v>1454</v>
      </c>
      <c r="E604" t="s">
        <v>9585</v>
      </c>
      <c r="F604">
        <v>5</v>
      </c>
      <c r="G604" s="28" t="s">
        <v>9586</v>
      </c>
    </row>
    <row r="605" spans="1:7" ht="100.8" x14ac:dyDescent="0.3">
      <c r="A605" t="s">
        <v>9582</v>
      </c>
      <c r="B605" t="s">
        <v>10034</v>
      </c>
      <c r="C605" s="20" t="s">
        <v>10035</v>
      </c>
      <c r="D605">
        <v>636</v>
      </c>
      <c r="E605" t="s">
        <v>9585</v>
      </c>
      <c r="F605">
        <v>5</v>
      </c>
      <c r="G605" s="28" t="s">
        <v>12466</v>
      </c>
    </row>
    <row r="606" spans="1:7" ht="28.8" x14ac:dyDescent="0.3">
      <c r="A606" t="s">
        <v>9582</v>
      </c>
      <c r="B606" t="s">
        <v>10036</v>
      </c>
      <c r="C606" s="20" t="s">
        <v>10037</v>
      </c>
      <c r="D606">
        <v>1473</v>
      </c>
      <c r="E606" t="s">
        <v>9653</v>
      </c>
      <c r="F606">
        <v>5</v>
      </c>
      <c r="G606" s="28" t="s">
        <v>9590</v>
      </c>
    </row>
    <row r="607" spans="1:7" ht="28.8" x14ac:dyDescent="0.3">
      <c r="A607" t="s">
        <v>9582</v>
      </c>
      <c r="B607" t="s">
        <v>10036</v>
      </c>
      <c r="C607" s="20" t="s">
        <v>10037</v>
      </c>
      <c r="D607">
        <v>1473</v>
      </c>
      <c r="E607" t="s">
        <v>9653</v>
      </c>
      <c r="F607">
        <v>5</v>
      </c>
      <c r="G607" s="28" t="s">
        <v>9590</v>
      </c>
    </row>
    <row r="608" spans="1:7" ht="28.8" x14ac:dyDescent="0.3">
      <c r="A608" t="s">
        <v>9582</v>
      </c>
      <c r="B608" t="s">
        <v>10038</v>
      </c>
      <c r="C608" s="20" t="s">
        <v>10039</v>
      </c>
      <c r="D608">
        <v>1472</v>
      </c>
      <c r="E608" t="s">
        <v>9585</v>
      </c>
      <c r="F608">
        <v>5</v>
      </c>
      <c r="G608" s="28" t="s">
        <v>9586</v>
      </c>
    </row>
    <row r="609" spans="1:7" ht="43.2" x14ac:dyDescent="0.3">
      <c r="A609" t="s">
        <v>9582</v>
      </c>
      <c r="B609" t="s">
        <v>10040</v>
      </c>
      <c r="C609" s="20" t="s">
        <v>10041</v>
      </c>
      <c r="D609">
        <v>397</v>
      </c>
      <c r="E609" t="s">
        <v>9616</v>
      </c>
      <c r="F609">
        <v>8</v>
      </c>
      <c r="G609" s="28" t="s">
        <v>9590</v>
      </c>
    </row>
    <row r="610" spans="1:7" ht="28.8" x14ac:dyDescent="0.3">
      <c r="A610" t="s">
        <v>9582</v>
      </c>
      <c r="B610" t="s">
        <v>10042</v>
      </c>
      <c r="C610" s="20" t="s">
        <v>10043</v>
      </c>
      <c r="D610">
        <v>843</v>
      </c>
      <c r="E610" t="s">
        <v>9616</v>
      </c>
      <c r="F610">
        <v>8</v>
      </c>
      <c r="G610" s="28" t="s">
        <v>9590</v>
      </c>
    </row>
    <row r="611" spans="1:7" ht="28.8" x14ac:dyDescent="0.3">
      <c r="A611" t="s">
        <v>9582</v>
      </c>
      <c r="B611" t="s">
        <v>10042</v>
      </c>
      <c r="C611" s="20" t="s">
        <v>10043</v>
      </c>
      <c r="D611">
        <v>843</v>
      </c>
      <c r="E611" t="s">
        <v>9616</v>
      </c>
      <c r="F611">
        <v>8</v>
      </c>
      <c r="G611" s="28" t="s">
        <v>9590</v>
      </c>
    </row>
    <row r="612" spans="1:7" ht="28.8" x14ac:dyDescent="0.3">
      <c r="A612" t="s">
        <v>9582</v>
      </c>
      <c r="B612" t="s">
        <v>10042</v>
      </c>
      <c r="C612" s="20" t="s">
        <v>10043</v>
      </c>
      <c r="D612">
        <v>843</v>
      </c>
      <c r="E612" t="s">
        <v>9616</v>
      </c>
      <c r="F612">
        <v>8</v>
      </c>
      <c r="G612" s="28" t="s">
        <v>9590</v>
      </c>
    </row>
    <row r="613" spans="1:7" ht="43.2" x14ac:dyDescent="0.3">
      <c r="A613" t="s">
        <v>9582</v>
      </c>
      <c r="B613" t="s">
        <v>10044</v>
      </c>
      <c r="C613" s="20" t="s">
        <v>1306</v>
      </c>
      <c r="D613">
        <v>112</v>
      </c>
      <c r="E613" t="s">
        <v>9616</v>
      </c>
      <c r="F613">
        <v>8</v>
      </c>
      <c r="G613" s="28" t="s">
        <v>9590</v>
      </c>
    </row>
    <row r="614" spans="1:7" ht="57.6" x14ac:dyDescent="0.3">
      <c r="A614" t="s">
        <v>9582</v>
      </c>
      <c r="B614" t="s">
        <v>10045</v>
      </c>
      <c r="C614" s="20" t="s">
        <v>10046</v>
      </c>
      <c r="D614">
        <v>1008</v>
      </c>
      <c r="E614" t="s">
        <v>9616</v>
      </c>
      <c r="F614">
        <v>8</v>
      </c>
      <c r="G614" s="28" t="s">
        <v>9590</v>
      </c>
    </row>
    <row r="615" spans="1:7" ht="28.8" x14ac:dyDescent="0.3">
      <c r="A615" t="s">
        <v>9582</v>
      </c>
      <c r="B615" t="s">
        <v>10047</v>
      </c>
      <c r="C615" s="20" t="s">
        <v>10048</v>
      </c>
      <c r="D615">
        <v>113</v>
      </c>
      <c r="E615" t="s">
        <v>9616</v>
      </c>
      <c r="F615">
        <v>8</v>
      </c>
      <c r="G615" s="28" t="s">
        <v>9590</v>
      </c>
    </row>
    <row r="616" spans="1:7" ht="28.8" x14ac:dyDescent="0.3">
      <c r="A616" t="s">
        <v>9582</v>
      </c>
      <c r="B616" t="s">
        <v>10047</v>
      </c>
      <c r="C616" s="20" t="s">
        <v>10048</v>
      </c>
      <c r="D616">
        <v>113</v>
      </c>
      <c r="E616" t="s">
        <v>9616</v>
      </c>
      <c r="F616">
        <v>8</v>
      </c>
      <c r="G616" s="28" t="s">
        <v>9590</v>
      </c>
    </row>
    <row r="617" spans="1:7" ht="28.8" x14ac:dyDescent="0.3">
      <c r="A617" t="s">
        <v>9582</v>
      </c>
      <c r="B617" t="s">
        <v>10047</v>
      </c>
      <c r="C617" s="20" t="s">
        <v>10048</v>
      </c>
      <c r="D617">
        <v>113</v>
      </c>
      <c r="E617" t="s">
        <v>9616</v>
      </c>
      <c r="F617">
        <v>8</v>
      </c>
      <c r="G617" s="28" t="s">
        <v>9590</v>
      </c>
    </row>
    <row r="618" spans="1:7" ht="72" x14ac:dyDescent="0.3">
      <c r="A618" t="s">
        <v>9582</v>
      </c>
      <c r="B618" t="s">
        <v>10049</v>
      </c>
      <c r="C618" s="20" t="s">
        <v>10050</v>
      </c>
      <c r="D618">
        <v>576</v>
      </c>
      <c r="E618" t="s">
        <v>9616</v>
      </c>
      <c r="F618">
        <v>8</v>
      </c>
      <c r="G618" s="28" t="s">
        <v>9590</v>
      </c>
    </row>
    <row r="619" spans="1:7" ht="72" x14ac:dyDescent="0.3">
      <c r="A619" t="s">
        <v>9582</v>
      </c>
      <c r="B619" t="s">
        <v>10051</v>
      </c>
      <c r="C619" s="20" t="s">
        <v>10052</v>
      </c>
      <c r="D619">
        <v>1021</v>
      </c>
      <c r="E619" t="s">
        <v>9616</v>
      </c>
      <c r="F619">
        <v>8</v>
      </c>
      <c r="G619" s="28" t="s">
        <v>9590</v>
      </c>
    </row>
    <row r="620" spans="1:7" ht="28.8" x14ac:dyDescent="0.3">
      <c r="A620" t="s">
        <v>9582</v>
      </c>
      <c r="B620" t="s">
        <v>10053</v>
      </c>
      <c r="C620" s="20" t="s">
        <v>10054</v>
      </c>
      <c r="D620">
        <v>114</v>
      </c>
      <c r="E620" t="s">
        <v>9616</v>
      </c>
      <c r="F620">
        <v>8</v>
      </c>
      <c r="G620" s="28" t="s">
        <v>9590</v>
      </c>
    </row>
    <row r="621" spans="1:7" ht="28.8" x14ac:dyDescent="0.3">
      <c r="A621" t="s">
        <v>9582</v>
      </c>
      <c r="B621" t="s">
        <v>10053</v>
      </c>
      <c r="C621" s="20" t="s">
        <v>10054</v>
      </c>
      <c r="D621">
        <v>114</v>
      </c>
      <c r="E621" t="s">
        <v>9616</v>
      </c>
      <c r="F621">
        <v>8</v>
      </c>
      <c r="G621" s="28" t="s">
        <v>9590</v>
      </c>
    </row>
    <row r="622" spans="1:7" ht="28.8" x14ac:dyDescent="0.3">
      <c r="A622" t="s">
        <v>9582</v>
      </c>
      <c r="B622" t="s">
        <v>10053</v>
      </c>
      <c r="C622" s="20" t="s">
        <v>10054</v>
      </c>
      <c r="D622">
        <v>114</v>
      </c>
      <c r="E622" t="s">
        <v>9616</v>
      </c>
      <c r="F622">
        <v>8</v>
      </c>
      <c r="G622" s="28" t="s">
        <v>9590</v>
      </c>
    </row>
    <row r="623" spans="1:7" ht="28.8" x14ac:dyDescent="0.3">
      <c r="A623" t="s">
        <v>9582</v>
      </c>
      <c r="B623" t="s">
        <v>10055</v>
      </c>
      <c r="C623" s="20" t="s">
        <v>10056</v>
      </c>
      <c r="D623">
        <v>111</v>
      </c>
      <c r="E623" t="s">
        <v>9616</v>
      </c>
      <c r="F623">
        <v>8</v>
      </c>
      <c r="G623" s="28" t="s">
        <v>9590</v>
      </c>
    </row>
    <row r="624" spans="1:7" ht="28.8" x14ac:dyDescent="0.3">
      <c r="A624" t="s">
        <v>9582</v>
      </c>
      <c r="B624" t="s">
        <v>10055</v>
      </c>
      <c r="C624" s="20" t="s">
        <v>10056</v>
      </c>
      <c r="D624">
        <v>111</v>
      </c>
      <c r="E624" t="s">
        <v>9616</v>
      </c>
      <c r="F624">
        <v>8</v>
      </c>
      <c r="G624" s="28" t="s">
        <v>9590</v>
      </c>
    </row>
    <row r="625" spans="1:7" ht="28.8" x14ac:dyDescent="0.3">
      <c r="A625" t="s">
        <v>9582</v>
      </c>
      <c r="B625" t="s">
        <v>10055</v>
      </c>
      <c r="C625" s="20" t="s">
        <v>10056</v>
      </c>
      <c r="D625">
        <v>111</v>
      </c>
      <c r="E625" t="s">
        <v>9616</v>
      </c>
      <c r="F625">
        <v>8</v>
      </c>
      <c r="G625" s="28" t="s">
        <v>9590</v>
      </c>
    </row>
    <row r="626" spans="1:7" ht="115.2" x14ac:dyDescent="0.3">
      <c r="A626" t="s">
        <v>9582</v>
      </c>
      <c r="B626" t="s">
        <v>10057</v>
      </c>
      <c r="C626" s="20" t="s">
        <v>10058</v>
      </c>
      <c r="D626">
        <v>115</v>
      </c>
      <c r="E626" t="s">
        <v>9585</v>
      </c>
      <c r="F626">
        <v>5</v>
      </c>
      <c r="G626" s="28" t="s">
        <v>12481</v>
      </c>
    </row>
    <row r="627" spans="1:7" ht="115.2" x14ac:dyDescent="0.3">
      <c r="A627" t="s">
        <v>9582</v>
      </c>
      <c r="B627" t="s">
        <v>10057</v>
      </c>
      <c r="C627" s="20" t="s">
        <v>10058</v>
      </c>
      <c r="D627">
        <v>115</v>
      </c>
      <c r="E627" t="s">
        <v>9585</v>
      </c>
      <c r="F627">
        <v>5</v>
      </c>
      <c r="G627" s="28" t="s">
        <v>12481</v>
      </c>
    </row>
    <row r="628" spans="1:7" ht="115.2" x14ac:dyDescent="0.3">
      <c r="A628" t="s">
        <v>9582</v>
      </c>
      <c r="B628" t="s">
        <v>10057</v>
      </c>
      <c r="C628" s="20" t="s">
        <v>10058</v>
      </c>
      <c r="D628">
        <v>115</v>
      </c>
      <c r="E628" t="s">
        <v>9585</v>
      </c>
      <c r="F628">
        <v>5</v>
      </c>
      <c r="G628" s="28" t="s">
        <v>12481</v>
      </c>
    </row>
    <row r="629" spans="1:7" ht="115.2" x14ac:dyDescent="0.3">
      <c r="A629" t="s">
        <v>9582</v>
      </c>
      <c r="B629" t="s">
        <v>10059</v>
      </c>
      <c r="C629" s="20" t="s">
        <v>10060</v>
      </c>
      <c r="D629">
        <v>623</v>
      </c>
      <c r="E629" t="s">
        <v>9585</v>
      </c>
      <c r="F629">
        <v>5</v>
      </c>
      <c r="G629" s="28" t="s">
        <v>12482</v>
      </c>
    </row>
    <row r="630" spans="1:7" ht="57.6" x14ac:dyDescent="0.3">
      <c r="A630" t="s">
        <v>9582</v>
      </c>
      <c r="B630" t="s">
        <v>10061</v>
      </c>
      <c r="C630" s="20" t="s">
        <v>10062</v>
      </c>
      <c r="D630">
        <v>478</v>
      </c>
      <c r="E630" t="s">
        <v>9633</v>
      </c>
      <c r="F630">
        <v>1.2</v>
      </c>
      <c r="G630" s="28" t="s">
        <v>9590</v>
      </c>
    </row>
    <row r="631" spans="1:7" ht="28.8" x14ac:dyDescent="0.3">
      <c r="A631" t="s">
        <v>9582</v>
      </c>
      <c r="B631" t="s">
        <v>10063</v>
      </c>
      <c r="C631" s="20" t="s">
        <v>10064</v>
      </c>
      <c r="D631">
        <v>646</v>
      </c>
      <c r="E631" t="s">
        <v>9589</v>
      </c>
      <c r="F631">
        <v>35</v>
      </c>
      <c r="G631" s="28" t="s">
        <v>9590</v>
      </c>
    </row>
    <row r="632" spans="1:7" ht="28.8" x14ac:dyDescent="0.3">
      <c r="A632" t="s">
        <v>9582</v>
      </c>
      <c r="B632" t="s">
        <v>10065</v>
      </c>
      <c r="C632" s="20" t="s">
        <v>10066</v>
      </c>
      <c r="D632">
        <v>645</v>
      </c>
      <c r="E632" t="s">
        <v>9616</v>
      </c>
      <c r="F632">
        <v>8</v>
      </c>
      <c r="G632" s="28" t="s">
        <v>9590</v>
      </c>
    </row>
    <row r="633" spans="1:7" ht="28.8" x14ac:dyDescent="0.3">
      <c r="A633" t="s">
        <v>9582</v>
      </c>
      <c r="B633" t="s">
        <v>10067</v>
      </c>
      <c r="C633" s="20" t="s">
        <v>10068</v>
      </c>
      <c r="D633">
        <v>1020</v>
      </c>
      <c r="E633" t="s">
        <v>9633</v>
      </c>
      <c r="F633">
        <v>8.1999999999999993</v>
      </c>
      <c r="G633" s="28" t="s">
        <v>9590</v>
      </c>
    </row>
    <row r="634" spans="1:7" ht="172.8" x14ac:dyDescent="0.3">
      <c r="A634" t="s">
        <v>9582</v>
      </c>
      <c r="B634" t="s">
        <v>10069</v>
      </c>
      <c r="C634" s="20" t="s">
        <v>10070</v>
      </c>
      <c r="D634">
        <v>1013</v>
      </c>
      <c r="E634" t="s">
        <v>9585</v>
      </c>
      <c r="F634">
        <v>5</v>
      </c>
      <c r="G634" s="28" t="s">
        <v>12483</v>
      </c>
    </row>
    <row r="635" spans="1:7" ht="28.8" x14ac:dyDescent="0.3">
      <c r="A635" t="s">
        <v>9582</v>
      </c>
      <c r="B635" t="s">
        <v>10071</v>
      </c>
      <c r="C635" s="20" t="s">
        <v>10072</v>
      </c>
      <c r="D635">
        <v>530</v>
      </c>
      <c r="E635" t="s">
        <v>9633</v>
      </c>
      <c r="F635">
        <v>6.2</v>
      </c>
      <c r="G635" s="28" t="s">
        <v>9590</v>
      </c>
    </row>
    <row r="636" spans="1:7" ht="86.4" x14ac:dyDescent="0.3">
      <c r="A636" t="s">
        <v>9582</v>
      </c>
      <c r="B636" t="s">
        <v>10073</v>
      </c>
      <c r="C636" s="20" t="s">
        <v>10074</v>
      </c>
      <c r="D636">
        <v>529</v>
      </c>
      <c r="E636" t="s">
        <v>9589</v>
      </c>
      <c r="F636">
        <v>45</v>
      </c>
      <c r="G636" s="28" t="s">
        <v>9590</v>
      </c>
    </row>
    <row r="637" spans="1:7" ht="302.39999999999998" x14ac:dyDescent="0.3">
      <c r="A637" t="s">
        <v>9582</v>
      </c>
      <c r="B637" t="s">
        <v>10075</v>
      </c>
      <c r="C637" s="20" t="s">
        <v>10076</v>
      </c>
      <c r="D637">
        <v>1270</v>
      </c>
      <c r="E637" t="s">
        <v>9585</v>
      </c>
      <c r="F637">
        <v>5</v>
      </c>
      <c r="G637" s="28" t="s">
        <v>12484</v>
      </c>
    </row>
    <row r="638" spans="1:7" ht="28.8" x14ac:dyDescent="0.3">
      <c r="A638" t="s">
        <v>9582</v>
      </c>
      <c r="B638" t="s">
        <v>10077</v>
      </c>
      <c r="C638" s="20" t="s">
        <v>10078</v>
      </c>
      <c r="D638">
        <v>535</v>
      </c>
      <c r="E638" t="s">
        <v>9633</v>
      </c>
      <c r="F638">
        <v>6.2</v>
      </c>
      <c r="G638" s="28" t="s">
        <v>9590</v>
      </c>
    </row>
    <row r="639" spans="1:7" ht="43.2" x14ac:dyDescent="0.3">
      <c r="A639" t="s">
        <v>9582</v>
      </c>
      <c r="B639" t="s">
        <v>10079</v>
      </c>
      <c r="C639" s="20" t="s">
        <v>10080</v>
      </c>
      <c r="D639">
        <v>536</v>
      </c>
      <c r="E639" t="s">
        <v>9616</v>
      </c>
      <c r="F639">
        <v>8</v>
      </c>
      <c r="G639" s="28" t="s">
        <v>9590</v>
      </c>
    </row>
    <row r="640" spans="1:7" ht="28.8" x14ac:dyDescent="0.3">
      <c r="A640" t="s">
        <v>9582</v>
      </c>
      <c r="B640" t="s">
        <v>10081</v>
      </c>
      <c r="C640" s="20" t="s">
        <v>10082</v>
      </c>
      <c r="D640">
        <v>291</v>
      </c>
      <c r="E640" t="s">
        <v>9589</v>
      </c>
      <c r="F640">
        <v>60</v>
      </c>
      <c r="G640" s="28" t="s">
        <v>9590</v>
      </c>
    </row>
    <row r="641" spans="1:7" ht="28.8" x14ac:dyDescent="0.3">
      <c r="A641" t="s">
        <v>9582</v>
      </c>
      <c r="B641" t="s">
        <v>10081</v>
      </c>
      <c r="C641" s="20" t="s">
        <v>10082</v>
      </c>
      <c r="D641">
        <v>291</v>
      </c>
      <c r="E641" t="s">
        <v>9589</v>
      </c>
      <c r="F641">
        <v>60</v>
      </c>
      <c r="G641" s="28" t="s">
        <v>9590</v>
      </c>
    </row>
    <row r="642" spans="1:7" ht="28.8" x14ac:dyDescent="0.3">
      <c r="A642" t="s">
        <v>9582</v>
      </c>
      <c r="B642" t="s">
        <v>10081</v>
      </c>
      <c r="C642" s="20" t="s">
        <v>10082</v>
      </c>
      <c r="D642">
        <v>291</v>
      </c>
      <c r="E642" t="s">
        <v>9589</v>
      </c>
      <c r="F642">
        <v>60</v>
      </c>
      <c r="G642" s="28" t="s">
        <v>9590</v>
      </c>
    </row>
    <row r="643" spans="1:7" ht="28.8" x14ac:dyDescent="0.3">
      <c r="A643" t="s">
        <v>9582</v>
      </c>
      <c r="B643" t="s">
        <v>10081</v>
      </c>
      <c r="C643" s="20" t="s">
        <v>10082</v>
      </c>
      <c r="D643">
        <v>291</v>
      </c>
      <c r="E643" t="s">
        <v>9589</v>
      </c>
      <c r="F643">
        <v>60</v>
      </c>
      <c r="G643" s="28" t="s">
        <v>9590</v>
      </c>
    </row>
    <row r="644" spans="1:7" ht="28.8" x14ac:dyDescent="0.3">
      <c r="A644" t="s">
        <v>9582</v>
      </c>
      <c r="B644" t="s">
        <v>10083</v>
      </c>
      <c r="C644" s="20" t="s">
        <v>10084</v>
      </c>
      <c r="D644">
        <v>987</v>
      </c>
      <c r="E644" t="s">
        <v>9589</v>
      </c>
      <c r="F644">
        <v>80</v>
      </c>
      <c r="G644" s="28" t="s">
        <v>9590</v>
      </c>
    </row>
    <row r="645" spans="1:7" ht="201.6" x14ac:dyDescent="0.3">
      <c r="A645" t="s">
        <v>9582</v>
      </c>
      <c r="B645" t="s">
        <v>10085</v>
      </c>
      <c r="C645" s="20" t="s">
        <v>10086</v>
      </c>
      <c r="D645">
        <v>1223</v>
      </c>
      <c r="E645" t="s">
        <v>9585</v>
      </c>
      <c r="F645">
        <v>5</v>
      </c>
      <c r="G645" s="28" t="s">
        <v>12462</v>
      </c>
    </row>
    <row r="646" spans="1:7" ht="57.6" x14ac:dyDescent="0.3">
      <c r="A646" t="s">
        <v>9582</v>
      </c>
      <c r="B646" t="s">
        <v>10087</v>
      </c>
      <c r="C646" s="20" t="s">
        <v>10088</v>
      </c>
      <c r="D646">
        <v>1670</v>
      </c>
      <c r="E646" t="s">
        <v>9585</v>
      </c>
      <c r="F646">
        <v>5</v>
      </c>
      <c r="G646" s="28" t="s">
        <v>12485</v>
      </c>
    </row>
    <row r="647" spans="1:7" ht="43.2" x14ac:dyDescent="0.3">
      <c r="A647" t="s">
        <v>9582</v>
      </c>
      <c r="B647" t="s">
        <v>10089</v>
      </c>
      <c r="C647" s="20" t="s">
        <v>10090</v>
      </c>
      <c r="D647">
        <v>766</v>
      </c>
      <c r="E647" t="s">
        <v>9589</v>
      </c>
      <c r="F647">
        <v>60</v>
      </c>
      <c r="G647" s="28" t="s">
        <v>9590</v>
      </c>
    </row>
    <row r="648" spans="1:7" ht="28.8" x14ac:dyDescent="0.3">
      <c r="A648" t="s">
        <v>9582</v>
      </c>
      <c r="B648" t="s">
        <v>10091</v>
      </c>
      <c r="C648" s="20" t="s">
        <v>10092</v>
      </c>
      <c r="D648">
        <v>1174</v>
      </c>
      <c r="E648" t="s">
        <v>9589</v>
      </c>
      <c r="F648">
        <v>60</v>
      </c>
      <c r="G648" s="28" t="s">
        <v>9590</v>
      </c>
    </row>
    <row r="649" spans="1:7" ht="28.8" x14ac:dyDescent="0.3">
      <c r="A649" t="s">
        <v>9582</v>
      </c>
      <c r="B649" t="s">
        <v>10091</v>
      </c>
      <c r="C649" s="20" t="s">
        <v>10092</v>
      </c>
      <c r="D649">
        <v>1174</v>
      </c>
      <c r="E649" t="s">
        <v>9589</v>
      </c>
      <c r="F649">
        <v>60</v>
      </c>
      <c r="G649" s="28" t="s">
        <v>9590</v>
      </c>
    </row>
    <row r="650" spans="1:7" ht="72" x14ac:dyDescent="0.3">
      <c r="A650" t="s">
        <v>9582</v>
      </c>
      <c r="B650" t="s">
        <v>10093</v>
      </c>
      <c r="C650" s="20" t="s">
        <v>10094</v>
      </c>
      <c r="D650">
        <v>41</v>
      </c>
      <c r="E650" t="s">
        <v>9585</v>
      </c>
      <c r="F650">
        <v>5</v>
      </c>
      <c r="G650" s="28" t="s">
        <v>12486</v>
      </c>
    </row>
    <row r="651" spans="1:7" ht="57.6" x14ac:dyDescent="0.3">
      <c r="A651" t="s">
        <v>9582</v>
      </c>
      <c r="B651" t="s">
        <v>10095</v>
      </c>
      <c r="C651" s="20" t="s">
        <v>10096</v>
      </c>
      <c r="D651">
        <v>772</v>
      </c>
      <c r="E651" t="s">
        <v>9589</v>
      </c>
      <c r="F651">
        <v>35</v>
      </c>
      <c r="G651" s="28" t="s">
        <v>9590</v>
      </c>
    </row>
    <row r="652" spans="1:7" ht="129.6" x14ac:dyDescent="0.3">
      <c r="A652" t="s">
        <v>9582</v>
      </c>
      <c r="B652" t="s">
        <v>10097</v>
      </c>
      <c r="C652" s="20" t="s">
        <v>10098</v>
      </c>
      <c r="D652">
        <v>1226</v>
      </c>
      <c r="E652" t="s">
        <v>9585</v>
      </c>
      <c r="F652">
        <v>5</v>
      </c>
      <c r="G652" s="28" t="s">
        <v>12487</v>
      </c>
    </row>
    <row r="653" spans="1:7" ht="374.4" x14ac:dyDescent="0.3">
      <c r="A653" t="s">
        <v>9582</v>
      </c>
      <c r="B653" t="s">
        <v>10099</v>
      </c>
      <c r="C653" s="20" t="s">
        <v>10100</v>
      </c>
      <c r="D653">
        <v>650</v>
      </c>
      <c r="E653" t="s">
        <v>9585</v>
      </c>
      <c r="F653">
        <v>5</v>
      </c>
      <c r="G653" s="28" t="s">
        <v>12488</v>
      </c>
    </row>
    <row r="654" spans="1:7" ht="43.2" x14ac:dyDescent="0.3">
      <c r="A654" t="s">
        <v>9582</v>
      </c>
      <c r="B654" t="s">
        <v>10101</v>
      </c>
      <c r="C654" s="20" t="s">
        <v>10102</v>
      </c>
      <c r="D654">
        <v>1017</v>
      </c>
      <c r="E654" t="s">
        <v>9633</v>
      </c>
      <c r="F654">
        <v>2.2000000000000002</v>
      </c>
      <c r="G654" s="28" t="s">
        <v>9590</v>
      </c>
    </row>
    <row r="655" spans="1:7" ht="409.6" x14ac:dyDescent="0.3">
      <c r="A655" t="s">
        <v>9582</v>
      </c>
      <c r="B655" t="s">
        <v>10103</v>
      </c>
      <c r="C655" s="20" t="s">
        <v>10104</v>
      </c>
      <c r="D655">
        <v>747</v>
      </c>
      <c r="E655" t="s">
        <v>9585</v>
      </c>
      <c r="F655">
        <v>5</v>
      </c>
      <c r="G655" s="28" t="s">
        <v>12489</v>
      </c>
    </row>
    <row r="656" spans="1:7" ht="43.2" x14ac:dyDescent="0.3">
      <c r="A656" t="s">
        <v>9582</v>
      </c>
      <c r="B656" t="s">
        <v>10105</v>
      </c>
      <c r="C656" s="20" t="s">
        <v>10106</v>
      </c>
      <c r="D656">
        <v>723</v>
      </c>
      <c r="E656" t="s">
        <v>9589</v>
      </c>
      <c r="F656">
        <v>8</v>
      </c>
      <c r="G656" s="28" t="s">
        <v>9590</v>
      </c>
    </row>
    <row r="657" spans="1:7" ht="43.2" x14ac:dyDescent="0.3">
      <c r="A657" t="s">
        <v>9582</v>
      </c>
      <c r="B657" t="s">
        <v>10107</v>
      </c>
      <c r="C657" s="20" t="s">
        <v>10108</v>
      </c>
      <c r="D657">
        <v>1097</v>
      </c>
      <c r="E657" t="s">
        <v>9585</v>
      </c>
      <c r="F657">
        <v>5</v>
      </c>
      <c r="G657" s="28" t="s">
        <v>9586</v>
      </c>
    </row>
    <row r="658" spans="1:7" ht="187.2" x14ac:dyDescent="0.3">
      <c r="A658" t="s">
        <v>9582</v>
      </c>
      <c r="B658" t="s">
        <v>10109</v>
      </c>
      <c r="C658" s="20" t="s">
        <v>12361</v>
      </c>
      <c r="D658">
        <v>1298</v>
      </c>
      <c r="E658" t="s">
        <v>9585</v>
      </c>
      <c r="F658">
        <v>5</v>
      </c>
      <c r="G658" s="28" t="s">
        <v>12490</v>
      </c>
    </row>
    <row r="659" spans="1:7" ht="244.8" x14ac:dyDescent="0.3">
      <c r="A659" t="s">
        <v>9582</v>
      </c>
      <c r="B659" t="s">
        <v>10110</v>
      </c>
      <c r="C659" s="20" t="s">
        <v>10111</v>
      </c>
      <c r="D659">
        <v>600</v>
      </c>
      <c r="E659" t="s">
        <v>9585</v>
      </c>
      <c r="F659">
        <v>5</v>
      </c>
      <c r="G659" s="28" t="s">
        <v>12491</v>
      </c>
    </row>
    <row r="660" spans="1:7" ht="86.4" x14ac:dyDescent="0.3">
      <c r="A660" t="s">
        <v>9582</v>
      </c>
      <c r="B660" t="s">
        <v>10112</v>
      </c>
      <c r="C660" s="20" t="s">
        <v>10113</v>
      </c>
      <c r="D660">
        <v>601</v>
      </c>
      <c r="E660" t="s">
        <v>9585</v>
      </c>
      <c r="F660">
        <v>5</v>
      </c>
      <c r="G660" s="28" t="s">
        <v>12492</v>
      </c>
    </row>
    <row r="661" spans="1:7" ht="72" x14ac:dyDescent="0.3">
      <c r="A661" t="s">
        <v>9582</v>
      </c>
      <c r="B661" t="s">
        <v>10114</v>
      </c>
      <c r="C661" s="20" t="s">
        <v>10115</v>
      </c>
      <c r="D661">
        <v>803</v>
      </c>
      <c r="E661" t="s">
        <v>9589</v>
      </c>
      <c r="F661">
        <v>60</v>
      </c>
      <c r="G661" s="28" t="s">
        <v>12493</v>
      </c>
    </row>
    <row r="662" spans="1:7" ht="100.8" x14ac:dyDescent="0.3">
      <c r="A662" t="s">
        <v>9582</v>
      </c>
      <c r="B662" t="s">
        <v>10116</v>
      </c>
      <c r="C662" s="20" t="s">
        <v>10117</v>
      </c>
      <c r="D662">
        <v>801</v>
      </c>
      <c r="E662" t="s">
        <v>9585</v>
      </c>
      <c r="F662">
        <v>5</v>
      </c>
      <c r="G662" s="28" t="s">
        <v>12494</v>
      </c>
    </row>
    <row r="663" spans="1:7" ht="86.4" x14ac:dyDescent="0.3">
      <c r="A663" t="s">
        <v>9582</v>
      </c>
      <c r="B663" t="s">
        <v>10118</v>
      </c>
      <c r="C663" s="20" t="s">
        <v>10119</v>
      </c>
      <c r="D663">
        <v>802</v>
      </c>
      <c r="E663" t="s">
        <v>9585</v>
      </c>
      <c r="F663">
        <v>5</v>
      </c>
      <c r="G663" s="28" t="s">
        <v>12495</v>
      </c>
    </row>
    <row r="664" spans="1:7" ht="100.8" x14ac:dyDescent="0.3">
      <c r="A664" t="s">
        <v>9582</v>
      </c>
      <c r="B664" t="s">
        <v>10120</v>
      </c>
      <c r="C664" s="20" t="s">
        <v>10121</v>
      </c>
      <c r="D664">
        <v>805</v>
      </c>
      <c r="E664" t="s">
        <v>9585</v>
      </c>
      <c r="F664">
        <v>5</v>
      </c>
      <c r="G664" s="28" t="s">
        <v>12496</v>
      </c>
    </row>
    <row r="665" spans="1:7" ht="316.8" x14ac:dyDescent="0.3">
      <c r="A665" t="s">
        <v>9582</v>
      </c>
      <c r="B665" t="s">
        <v>10122</v>
      </c>
      <c r="C665" s="20" t="s">
        <v>10123</v>
      </c>
      <c r="D665">
        <v>804</v>
      </c>
      <c r="E665" t="s">
        <v>9585</v>
      </c>
      <c r="F665">
        <v>5</v>
      </c>
      <c r="G665" s="28" t="s">
        <v>12497</v>
      </c>
    </row>
    <row r="666" spans="1:7" ht="28.8" x14ac:dyDescent="0.3">
      <c r="A666" t="s">
        <v>9582</v>
      </c>
      <c r="B666" t="s">
        <v>10124</v>
      </c>
      <c r="C666" s="20" t="s">
        <v>10125</v>
      </c>
      <c r="D666">
        <v>1279</v>
      </c>
      <c r="E666" t="s">
        <v>9653</v>
      </c>
      <c r="F666">
        <v>6</v>
      </c>
      <c r="G666" s="28" t="s">
        <v>9590</v>
      </c>
    </row>
    <row r="667" spans="1:7" ht="302.39999999999998" x14ac:dyDescent="0.3">
      <c r="A667" t="s">
        <v>9582</v>
      </c>
      <c r="B667" t="s">
        <v>10126</v>
      </c>
      <c r="C667" s="20" t="s">
        <v>10127</v>
      </c>
      <c r="D667">
        <v>1272</v>
      </c>
      <c r="E667" t="s">
        <v>9585</v>
      </c>
      <c r="F667">
        <v>5</v>
      </c>
      <c r="G667" s="28" t="s">
        <v>12484</v>
      </c>
    </row>
    <row r="668" spans="1:7" ht="302.39999999999998" x14ac:dyDescent="0.3">
      <c r="A668" t="s">
        <v>9582</v>
      </c>
      <c r="B668" t="s">
        <v>10128</v>
      </c>
      <c r="C668" s="20" t="s">
        <v>10129</v>
      </c>
      <c r="D668">
        <v>1271</v>
      </c>
      <c r="E668" t="s">
        <v>9585</v>
      </c>
      <c r="F668">
        <v>5</v>
      </c>
      <c r="G668" s="28" t="s">
        <v>12484</v>
      </c>
    </row>
    <row r="669" spans="1:7" ht="43.2" x14ac:dyDescent="0.3">
      <c r="A669" t="s">
        <v>9582</v>
      </c>
      <c r="B669" t="s">
        <v>10130</v>
      </c>
      <c r="C669" s="20" t="s">
        <v>10131</v>
      </c>
      <c r="D669">
        <v>1231</v>
      </c>
      <c r="E669" t="s">
        <v>9589</v>
      </c>
      <c r="F669">
        <v>80</v>
      </c>
      <c r="G669" s="28" t="s">
        <v>9590</v>
      </c>
    </row>
    <row r="670" spans="1:7" ht="86.4" x14ac:dyDescent="0.3">
      <c r="A670" t="s">
        <v>9582</v>
      </c>
      <c r="B670" t="s">
        <v>10132</v>
      </c>
      <c r="C670" s="20" t="s">
        <v>10133</v>
      </c>
      <c r="D670">
        <v>1225</v>
      </c>
      <c r="E670" t="s">
        <v>9589</v>
      </c>
      <c r="F670">
        <v>60</v>
      </c>
      <c r="G670" s="28" t="s">
        <v>9590</v>
      </c>
    </row>
    <row r="671" spans="1:7" ht="86.4" x14ac:dyDescent="0.3">
      <c r="A671" t="s">
        <v>9582</v>
      </c>
      <c r="B671" t="s">
        <v>10132</v>
      </c>
      <c r="C671" s="20" t="s">
        <v>10133</v>
      </c>
      <c r="D671">
        <v>1225</v>
      </c>
      <c r="E671" t="s">
        <v>9589</v>
      </c>
      <c r="F671">
        <v>60</v>
      </c>
      <c r="G671" s="28" t="s">
        <v>9590</v>
      </c>
    </row>
    <row r="672" spans="1:7" ht="302.39999999999998" x14ac:dyDescent="0.3">
      <c r="A672" t="s">
        <v>9582</v>
      </c>
      <c r="B672" t="s">
        <v>10134</v>
      </c>
      <c r="C672" s="20" t="s">
        <v>10135</v>
      </c>
      <c r="D672">
        <v>1265</v>
      </c>
      <c r="E672" t="s">
        <v>9585</v>
      </c>
      <c r="F672">
        <v>5</v>
      </c>
      <c r="G672" s="28" t="s">
        <v>12484</v>
      </c>
    </row>
    <row r="673" spans="1:7" ht="244.8" x14ac:dyDescent="0.3">
      <c r="A673" t="s">
        <v>9582</v>
      </c>
      <c r="B673" t="s">
        <v>10136</v>
      </c>
      <c r="C673" s="20" t="s">
        <v>10137</v>
      </c>
      <c r="D673">
        <v>1269</v>
      </c>
      <c r="E673" t="s">
        <v>9585</v>
      </c>
      <c r="F673">
        <v>5</v>
      </c>
      <c r="G673" s="28" t="s">
        <v>12498</v>
      </c>
    </row>
    <row r="674" spans="1:7" ht="302.39999999999998" x14ac:dyDescent="0.3">
      <c r="A674" t="s">
        <v>9582</v>
      </c>
      <c r="B674" t="s">
        <v>10138</v>
      </c>
      <c r="C674" s="20" t="s">
        <v>10139</v>
      </c>
      <c r="D674">
        <v>1233</v>
      </c>
      <c r="E674" t="s">
        <v>9585</v>
      </c>
      <c r="F674">
        <v>5</v>
      </c>
      <c r="G674" s="28" t="s">
        <v>12484</v>
      </c>
    </row>
    <row r="675" spans="1:7" ht="302.39999999999998" x14ac:dyDescent="0.3">
      <c r="A675" t="s">
        <v>9582</v>
      </c>
      <c r="B675" t="s">
        <v>10138</v>
      </c>
      <c r="C675" s="20" t="s">
        <v>10139</v>
      </c>
      <c r="D675">
        <v>1233</v>
      </c>
      <c r="E675" t="s">
        <v>9585</v>
      </c>
      <c r="F675">
        <v>5</v>
      </c>
      <c r="G675" s="28" t="s">
        <v>12484</v>
      </c>
    </row>
    <row r="676" spans="1:7" ht="216" x14ac:dyDescent="0.3">
      <c r="A676" t="s">
        <v>9582</v>
      </c>
      <c r="B676" t="s">
        <v>10140</v>
      </c>
      <c r="C676" s="20" t="s">
        <v>10141</v>
      </c>
      <c r="D676">
        <v>1236</v>
      </c>
      <c r="E676" t="s">
        <v>9585</v>
      </c>
      <c r="F676">
        <v>5</v>
      </c>
      <c r="G676" s="28" t="s">
        <v>12499</v>
      </c>
    </row>
    <row r="677" spans="1:7" ht="43.2" x14ac:dyDescent="0.3">
      <c r="A677" t="s">
        <v>9582</v>
      </c>
      <c r="B677" t="s">
        <v>10142</v>
      </c>
      <c r="C677" s="20" t="s">
        <v>10143</v>
      </c>
      <c r="D677">
        <v>537</v>
      </c>
      <c r="E677" t="s">
        <v>9633</v>
      </c>
      <c r="F677">
        <v>6.2</v>
      </c>
      <c r="G677" s="28" t="s">
        <v>9590</v>
      </c>
    </row>
    <row r="678" spans="1:7" ht="43.2" x14ac:dyDescent="0.3">
      <c r="A678" t="s">
        <v>9582</v>
      </c>
      <c r="B678" t="s">
        <v>10144</v>
      </c>
      <c r="C678" s="20" t="s">
        <v>10145</v>
      </c>
      <c r="D678">
        <v>496</v>
      </c>
      <c r="E678" t="s">
        <v>9589</v>
      </c>
      <c r="F678">
        <v>60</v>
      </c>
      <c r="G678" s="28" t="s">
        <v>9590</v>
      </c>
    </row>
    <row r="679" spans="1:7" ht="316.8" x14ac:dyDescent="0.3">
      <c r="A679" t="s">
        <v>9582</v>
      </c>
      <c r="B679" t="s">
        <v>10146</v>
      </c>
      <c r="C679" s="20" t="s">
        <v>10147</v>
      </c>
      <c r="D679">
        <v>710</v>
      </c>
      <c r="E679" t="s">
        <v>9585</v>
      </c>
      <c r="F679">
        <v>5</v>
      </c>
      <c r="G679" s="28" t="s">
        <v>12500</v>
      </c>
    </row>
    <row r="680" spans="1:7" ht="244.8" x14ac:dyDescent="0.3">
      <c r="A680" t="s">
        <v>9582</v>
      </c>
      <c r="B680" t="s">
        <v>10148</v>
      </c>
      <c r="C680" s="20" t="s">
        <v>10149</v>
      </c>
      <c r="D680">
        <v>370</v>
      </c>
      <c r="E680" t="s">
        <v>9585</v>
      </c>
      <c r="F680">
        <v>5</v>
      </c>
      <c r="G680" s="28" t="s">
        <v>12501</v>
      </c>
    </row>
    <row r="681" spans="1:7" ht="86.4" x14ac:dyDescent="0.3">
      <c r="A681" t="s">
        <v>9582</v>
      </c>
      <c r="B681" t="s">
        <v>10150</v>
      </c>
      <c r="C681" s="20" t="s">
        <v>10151</v>
      </c>
      <c r="D681">
        <v>117</v>
      </c>
      <c r="E681" t="s">
        <v>9585</v>
      </c>
      <c r="F681">
        <v>5</v>
      </c>
      <c r="G681" s="28" t="s">
        <v>12502</v>
      </c>
    </row>
    <row r="682" spans="1:7" ht="86.4" x14ac:dyDescent="0.3">
      <c r="A682" t="s">
        <v>9582</v>
      </c>
      <c r="B682" t="s">
        <v>10150</v>
      </c>
      <c r="C682" s="20" t="s">
        <v>10151</v>
      </c>
      <c r="D682">
        <v>117</v>
      </c>
      <c r="E682" t="s">
        <v>9585</v>
      </c>
      <c r="F682">
        <v>5</v>
      </c>
      <c r="G682" s="28" t="s">
        <v>12502</v>
      </c>
    </row>
    <row r="683" spans="1:7" ht="86.4" x14ac:dyDescent="0.3">
      <c r="A683" t="s">
        <v>9582</v>
      </c>
      <c r="B683" t="s">
        <v>10150</v>
      </c>
      <c r="C683" s="20" t="s">
        <v>10151</v>
      </c>
      <c r="D683">
        <v>117</v>
      </c>
      <c r="E683" t="s">
        <v>9585</v>
      </c>
      <c r="F683">
        <v>5</v>
      </c>
      <c r="G683" s="28" t="s">
        <v>12502</v>
      </c>
    </row>
    <row r="684" spans="1:7" ht="144" x14ac:dyDescent="0.3">
      <c r="A684" t="s">
        <v>9582</v>
      </c>
      <c r="B684" t="s">
        <v>10152</v>
      </c>
      <c r="C684" s="20" t="s">
        <v>10153</v>
      </c>
      <c r="D684">
        <v>118</v>
      </c>
      <c r="E684" t="s">
        <v>9585</v>
      </c>
      <c r="F684">
        <v>5</v>
      </c>
      <c r="G684" s="28" t="s">
        <v>12503</v>
      </c>
    </row>
    <row r="685" spans="1:7" ht="144" x14ac:dyDescent="0.3">
      <c r="A685" t="s">
        <v>9582</v>
      </c>
      <c r="B685" t="s">
        <v>10152</v>
      </c>
      <c r="C685" s="20" t="s">
        <v>10153</v>
      </c>
      <c r="D685">
        <v>118</v>
      </c>
      <c r="E685" t="s">
        <v>9585</v>
      </c>
      <c r="F685">
        <v>5</v>
      </c>
      <c r="G685" s="28" t="s">
        <v>12503</v>
      </c>
    </row>
    <row r="686" spans="1:7" ht="144" x14ac:dyDescent="0.3">
      <c r="A686" t="s">
        <v>9582</v>
      </c>
      <c r="B686" t="s">
        <v>10152</v>
      </c>
      <c r="C686" s="20" t="s">
        <v>10153</v>
      </c>
      <c r="D686">
        <v>118</v>
      </c>
      <c r="E686" t="s">
        <v>9585</v>
      </c>
      <c r="F686">
        <v>5</v>
      </c>
      <c r="G686" s="28" t="s">
        <v>12503</v>
      </c>
    </row>
    <row r="687" spans="1:7" ht="57.6" x14ac:dyDescent="0.3">
      <c r="A687" t="s">
        <v>9582</v>
      </c>
      <c r="B687" t="s">
        <v>10154</v>
      </c>
      <c r="C687" s="20" t="s">
        <v>10155</v>
      </c>
      <c r="D687">
        <v>382</v>
      </c>
      <c r="E687" t="s">
        <v>9633</v>
      </c>
      <c r="F687">
        <v>4.0999999999999996</v>
      </c>
      <c r="G687" s="28" t="s">
        <v>9590</v>
      </c>
    </row>
    <row r="688" spans="1:7" ht="43.2" x14ac:dyDescent="0.3">
      <c r="A688" t="s">
        <v>9582</v>
      </c>
      <c r="B688" t="s">
        <v>10156</v>
      </c>
      <c r="C688" s="20" t="s">
        <v>10157</v>
      </c>
      <c r="D688">
        <v>1267</v>
      </c>
      <c r="E688" t="s">
        <v>9589</v>
      </c>
      <c r="F688">
        <v>60</v>
      </c>
      <c r="G688" s="28" t="s">
        <v>9590</v>
      </c>
    </row>
    <row r="689" spans="1:7" ht="57.6" x14ac:dyDescent="0.3">
      <c r="A689" t="s">
        <v>9582</v>
      </c>
      <c r="B689" t="s">
        <v>10158</v>
      </c>
      <c r="C689" s="20" t="s">
        <v>10159</v>
      </c>
      <c r="D689">
        <v>383</v>
      </c>
      <c r="E689" t="s">
        <v>9633</v>
      </c>
      <c r="F689">
        <v>4.0999999999999996</v>
      </c>
      <c r="G689" s="28" t="s">
        <v>9590</v>
      </c>
    </row>
    <row r="690" spans="1:7" ht="273.60000000000002" x14ac:dyDescent="0.3">
      <c r="A690" t="s">
        <v>9582</v>
      </c>
      <c r="B690" t="s">
        <v>10160</v>
      </c>
      <c r="C690" s="20" t="s">
        <v>10161</v>
      </c>
      <c r="D690">
        <v>378</v>
      </c>
      <c r="E690" t="s">
        <v>9585</v>
      </c>
      <c r="F690">
        <v>5</v>
      </c>
      <c r="G690" s="28" t="s">
        <v>12504</v>
      </c>
    </row>
    <row r="691" spans="1:7" ht="57.6" x14ac:dyDescent="0.3">
      <c r="A691" t="s">
        <v>9582</v>
      </c>
      <c r="B691" t="s">
        <v>10162</v>
      </c>
      <c r="C691" s="20" t="s">
        <v>10163</v>
      </c>
      <c r="D691">
        <v>381</v>
      </c>
      <c r="E691" t="s">
        <v>9653</v>
      </c>
      <c r="F691">
        <v>3</v>
      </c>
      <c r="G691" s="28" t="s">
        <v>9590</v>
      </c>
    </row>
    <row r="692" spans="1:7" ht="57.6" x14ac:dyDescent="0.3">
      <c r="A692" t="s">
        <v>9582</v>
      </c>
      <c r="B692" t="s">
        <v>10164</v>
      </c>
      <c r="C692" s="20" t="s">
        <v>10165</v>
      </c>
      <c r="D692">
        <v>380</v>
      </c>
      <c r="E692" t="s">
        <v>9653</v>
      </c>
      <c r="F692">
        <v>4</v>
      </c>
      <c r="G692" s="28" t="s">
        <v>9590</v>
      </c>
    </row>
    <row r="693" spans="1:7" ht="100.8" x14ac:dyDescent="0.3">
      <c r="A693" t="s">
        <v>9582</v>
      </c>
      <c r="B693" t="s">
        <v>10166</v>
      </c>
      <c r="C693" s="20" t="s">
        <v>10167</v>
      </c>
      <c r="D693">
        <v>379</v>
      </c>
      <c r="E693" t="s">
        <v>9589</v>
      </c>
      <c r="F693">
        <v>45</v>
      </c>
      <c r="G693" s="28" t="s">
        <v>9590</v>
      </c>
    </row>
    <row r="694" spans="1:7" ht="100.8" x14ac:dyDescent="0.3">
      <c r="A694" t="s">
        <v>9582</v>
      </c>
      <c r="B694" t="s">
        <v>10168</v>
      </c>
      <c r="C694" s="20" t="s">
        <v>10169</v>
      </c>
      <c r="D694">
        <v>384</v>
      </c>
      <c r="E694" t="s">
        <v>9589</v>
      </c>
      <c r="F694">
        <v>45</v>
      </c>
      <c r="G694" s="28" t="s">
        <v>9590</v>
      </c>
    </row>
    <row r="695" spans="1:7" ht="57.6" x14ac:dyDescent="0.3">
      <c r="A695" t="s">
        <v>9582</v>
      </c>
      <c r="B695" t="s">
        <v>10170</v>
      </c>
      <c r="C695" s="20" t="s">
        <v>10171</v>
      </c>
      <c r="D695">
        <v>1266</v>
      </c>
      <c r="E695" t="s">
        <v>9589</v>
      </c>
      <c r="F695">
        <v>30</v>
      </c>
      <c r="G695" s="28" t="s">
        <v>9590</v>
      </c>
    </row>
    <row r="696" spans="1:7" ht="100.8" x14ac:dyDescent="0.3">
      <c r="A696" t="s">
        <v>9582</v>
      </c>
      <c r="B696" t="s">
        <v>10172</v>
      </c>
      <c r="C696" s="20" t="s">
        <v>10173</v>
      </c>
      <c r="D696">
        <v>390</v>
      </c>
      <c r="E696" t="s">
        <v>9589</v>
      </c>
      <c r="F696">
        <v>60</v>
      </c>
      <c r="G696" s="28" t="s">
        <v>9590</v>
      </c>
    </row>
    <row r="697" spans="1:7" ht="100.8" x14ac:dyDescent="0.3">
      <c r="A697" t="s">
        <v>9582</v>
      </c>
      <c r="B697" t="s">
        <v>10174</v>
      </c>
      <c r="C697" s="20" t="s">
        <v>10175</v>
      </c>
      <c r="D697">
        <v>377</v>
      </c>
      <c r="E697" t="s">
        <v>9585</v>
      </c>
      <c r="F697">
        <v>5</v>
      </c>
      <c r="G697" s="28" t="s">
        <v>12505</v>
      </c>
    </row>
    <row r="698" spans="1:7" ht="100.8" x14ac:dyDescent="0.3">
      <c r="A698" t="s">
        <v>9582</v>
      </c>
      <c r="B698" t="s">
        <v>10176</v>
      </c>
      <c r="C698" s="20" t="s">
        <v>10177</v>
      </c>
      <c r="D698">
        <v>369</v>
      </c>
      <c r="E698" t="s">
        <v>9585</v>
      </c>
      <c r="F698">
        <v>5</v>
      </c>
      <c r="G698" s="28" t="s">
        <v>12506</v>
      </c>
    </row>
    <row r="699" spans="1:7" ht="115.2" x14ac:dyDescent="0.3">
      <c r="A699" t="s">
        <v>9582</v>
      </c>
      <c r="B699" t="s">
        <v>10178</v>
      </c>
      <c r="C699" s="20" t="s">
        <v>10179</v>
      </c>
      <c r="D699">
        <v>371</v>
      </c>
      <c r="E699" t="s">
        <v>9585</v>
      </c>
      <c r="F699">
        <v>5</v>
      </c>
      <c r="G699" s="28" t="s">
        <v>12507</v>
      </c>
    </row>
    <row r="700" spans="1:7" ht="100.8" x14ac:dyDescent="0.3">
      <c r="A700" t="s">
        <v>9582</v>
      </c>
      <c r="B700" t="s">
        <v>10180</v>
      </c>
      <c r="C700" s="20" t="s">
        <v>10181</v>
      </c>
      <c r="D700">
        <v>1268</v>
      </c>
      <c r="E700" t="s">
        <v>9585</v>
      </c>
      <c r="F700">
        <v>5</v>
      </c>
      <c r="G700" s="28" t="s">
        <v>12505</v>
      </c>
    </row>
    <row r="701" spans="1:7" ht="216" x14ac:dyDescent="0.3">
      <c r="A701" t="s">
        <v>9582</v>
      </c>
      <c r="B701" t="s">
        <v>10180</v>
      </c>
      <c r="C701" s="20" t="s">
        <v>10181</v>
      </c>
      <c r="D701">
        <v>1268</v>
      </c>
      <c r="E701" t="s">
        <v>9585</v>
      </c>
      <c r="F701">
        <v>5</v>
      </c>
      <c r="G701" s="28" t="s">
        <v>12508</v>
      </c>
    </row>
    <row r="702" spans="1:7" ht="43.2" x14ac:dyDescent="0.3">
      <c r="A702" t="s">
        <v>9582</v>
      </c>
      <c r="B702" t="s">
        <v>10182</v>
      </c>
      <c r="C702" s="20" t="s">
        <v>10183</v>
      </c>
      <c r="D702">
        <v>119</v>
      </c>
      <c r="E702" t="s">
        <v>9589</v>
      </c>
      <c r="F702">
        <v>45</v>
      </c>
      <c r="G702" s="28" t="s">
        <v>9590</v>
      </c>
    </row>
    <row r="703" spans="1:7" ht="43.2" x14ac:dyDescent="0.3">
      <c r="A703" t="s">
        <v>9582</v>
      </c>
      <c r="B703" t="s">
        <v>10182</v>
      </c>
      <c r="C703" s="20" t="s">
        <v>10183</v>
      </c>
      <c r="D703">
        <v>119</v>
      </c>
      <c r="E703" t="s">
        <v>9589</v>
      </c>
      <c r="F703">
        <v>45</v>
      </c>
      <c r="G703" s="28" t="s">
        <v>9590</v>
      </c>
    </row>
    <row r="704" spans="1:7" ht="43.2" x14ac:dyDescent="0.3">
      <c r="A704" t="s">
        <v>9582</v>
      </c>
      <c r="B704" t="s">
        <v>10182</v>
      </c>
      <c r="C704" s="20" t="s">
        <v>10183</v>
      </c>
      <c r="D704">
        <v>119</v>
      </c>
      <c r="E704" t="s">
        <v>9589</v>
      </c>
      <c r="F704">
        <v>45</v>
      </c>
      <c r="G704" s="28" t="s">
        <v>9590</v>
      </c>
    </row>
    <row r="705" spans="1:7" ht="57.6" x14ac:dyDescent="0.3">
      <c r="A705" t="s">
        <v>9582</v>
      </c>
      <c r="B705" t="s">
        <v>10184</v>
      </c>
      <c r="C705" s="20" t="s">
        <v>10185</v>
      </c>
      <c r="D705">
        <v>533</v>
      </c>
      <c r="E705" t="s">
        <v>9589</v>
      </c>
      <c r="F705">
        <v>20</v>
      </c>
      <c r="G705" s="28" t="s">
        <v>9590</v>
      </c>
    </row>
    <row r="706" spans="1:7" ht="43.2" x14ac:dyDescent="0.3">
      <c r="A706" t="s">
        <v>9582</v>
      </c>
      <c r="B706" t="s">
        <v>10186</v>
      </c>
      <c r="C706" s="20" t="s">
        <v>10187</v>
      </c>
      <c r="D706">
        <v>532</v>
      </c>
      <c r="E706" t="s">
        <v>9589</v>
      </c>
      <c r="F706">
        <v>20</v>
      </c>
      <c r="G706" s="28" t="s">
        <v>9590</v>
      </c>
    </row>
    <row r="707" spans="1:7" ht="72" x14ac:dyDescent="0.3">
      <c r="A707" t="s">
        <v>9582</v>
      </c>
      <c r="B707" t="s">
        <v>10188</v>
      </c>
      <c r="C707" s="20" t="s">
        <v>10189</v>
      </c>
      <c r="D707">
        <v>506</v>
      </c>
      <c r="E707" t="s">
        <v>9585</v>
      </c>
      <c r="F707">
        <v>5</v>
      </c>
      <c r="G707" s="28" t="s">
        <v>12509</v>
      </c>
    </row>
    <row r="708" spans="1:7" ht="302.39999999999998" x14ac:dyDescent="0.3">
      <c r="A708" t="s">
        <v>9582</v>
      </c>
      <c r="B708" t="s">
        <v>10190</v>
      </c>
      <c r="C708" s="20" t="s">
        <v>10191</v>
      </c>
      <c r="D708">
        <v>343</v>
      </c>
      <c r="E708" t="s">
        <v>9585</v>
      </c>
      <c r="F708">
        <v>5</v>
      </c>
      <c r="G708" s="28" t="s">
        <v>12510</v>
      </c>
    </row>
    <row r="709" spans="1:7" ht="302.39999999999998" x14ac:dyDescent="0.3">
      <c r="A709" t="s">
        <v>9582</v>
      </c>
      <c r="B709" t="s">
        <v>10190</v>
      </c>
      <c r="C709" s="20" t="s">
        <v>10191</v>
      </c>
      <c r="D709">
        <v>343</v>
      </c>
      <c r="E709" t="s">
        <v>9585</v>
      </c>
      <c r="F709">
        <v>5</v>
      </c>
      <c r="G709" s="28" t="s">
        <v>12510</v>
      </c>
    </row>
    <row r="710" spans="1:7" ht="72" x14ac:dyDescent="0.3">
      <c r="A710" t="s">
        <v>9582</v>
      </c>
      <c r="B710" t="s">
        <v>10192</v>
      </c>
      <c r="C710" s="20" t="s">
        <v>10193</v>
      </c>
      <c r="D710">
        <v>995</v>
      </c>
      <c r="E710" t="s">
        <v>9589</v>
      </c>
      <c r="F710">
        <v>80</v>
      </c>
      <c r="G710" s="28" t="s">
        <v>9590</v>
      </c>
    </row>
    <row r="711" spans="1:7" ht="57.6" x14ac:dyDescent="0.3">
      <c r="A711" t="s">
        <v>9582</v>
      </c>
      <c r="B711" t="s">
        <v>10194</v>
      </c>
      <c r="C711" s="20" t="s">
        <v>10195</v>
      </c>
      <c r="D711">
        <v>1031</v>
      </c>
      <c r="E711" t="s">
        <v>9633</v>
      </c>
      <c r="F711">
        <v>6.2</v>
      </c>
      <c r="G711" s="28" t="s">
        <v>9590</v>
      </c>
    </row>
    <row r="712" spans="1:7" ht="129.6" x14ac:dyDescent="0.3">
      <c r="A712" t="s">
        <v>9582</v>
      </c>
      <c r="B712" t="s">
        <v>10196</v>
      </c>
      <c r="C712" s="20" t="s">
        <v>10197</v>
      </c>
      <c r="D712">
        <v>614</v>
      </c>
      <c r="E712" t="s">
        <v>9585</v>
      </c>
      <c r="F712">
        <v>5</v>
      </c>
      <c r="G712" s="28" t="s">
        <v>12511</v>
      </c>
    </row>
    <row r="713" spans="1:7" ht="409.6" x14ac:dyDescent="0.3">
      <c r="A713" t="s">
        <v>9582</v>
      </c>
      <c r="B713" t="s">
        <v>10198</v>
      </c>
      <c r="C713" s="20" t="s">
        <v>10199</v>
      </c>
      <c r="D713">
        <v>326</v>
      </c>
      <c r="E713" t="s">
        <v>9585</v>
      </c>
      <c r="F713">
        <v>5</v>
      </c>
      <c r="G713" s="28" t="s">
        <v>12512</v>
      </c>
    </row>
    <row r="714" spans="1:7" ht="409.6" x14ac:dyDescent="0.3">
      <c r="A714" t="s">
        <v>9582</v>
      </c>
      <c r="B714" t="s">
        <v>10200</v>
      </c>
      <c r="C714" s="20" t="s">
        <v>10201</v>
      </c>
      <c r="D714">
        <v>2149</v>
      </c>
      <c r="E714" t="s">
        <v>9585</v>
      </c>
      <c r="F714">
        <v>5</v>
      </c>
      <c r="G714" s="28" t="s">
        <v>12513</v>
      </c>
    </row>
    <row r="715" spans="1:7" ht="43.2" x14ac:dyDescent="0.3">
      <c r="A715" t="s">
        <v>9582</v>
      </c>
      <c r="B715" t="s">
        <v>10202</v>
      </c>
      <c r="C715" s="20" t="s">
        <v>10203</v>
      </c>
      <c r="D715">
        <v>702</v>
      </c>
      <c r="E715" t="s">
        <v>9589</v>
      </c>
      <c r="F715">
        <v>60</v>
      </c>
      <c r="G715" s="28" t="s">
        <v>9590</v>
      </c>
    </row>
    <row r="716" spans="1:7" ht="43.2" x14ac:dyDescent="0.3">
      <c r="A716" t="s">
        <v>9582</v>
      </c>
      <c r="B716" t="s">
        <v>10204</v>
      </c>
      <c r="C716" s="20" t="s">
        <v>10205</v>
      </c>
      <c r="D716">
        <v>703</v>
      </c>
      <c r="E716" t="s">
        <v>9589</v>
      </c>
      <c r="F716">
        <v>60</v>
      </c>
      <c r="G716" s="28" t="s">
        <v>9590</v>
      </c>
    </row>
    <row r="717" spans="1:7" ht="28.8" x14ac:dyDescent="0.3">
      <c r="A717" t="s">
        <v>9582</v>
      </c>
      <c r="B717" t="s">
        <v>10206</v>
      </c>
      <c r="C717" s="20" t="s">
        <v>10207</v>
      </c>
      <c r="D717">
        <v>705</v>
      </c>
      <c r="E717" t="s">
        <v>9616</v>
      </c>
      <c r="F717">
        <v>8</v>
      </c>
      <c r="G717" s="28" t="s">
        <v>9590</v>
      </c>
    </row>
    <row r="718" spans="1:7" ht="43.2" x14ac:dyDescent="0.3">
      <c r="A718" t="s">
        <v>9582</v>
      </c>
      <c r="B718" t="s">
        <v>10208</v>
      </c>
      <c r="C718" s="20" t="s">
        <v>10209</v>
      </c>
      <c r="D718">
        <v>701</v>
      </c>
      <c r="E718" t="s">
        <v>9589</v>
      </c>
      <c r="F718">
        <v>20</v>
      </c>
      <c r="G718" s="28" t="s">
        <v>9590</v>
      </c>
    </row>
    <row r="719" spans="1:7" ht="28.8" x14ac:dyDescent="0.3">
      <c r="A719" t="s">
        <v>9582</v>
      </c>
      <c r="B719" t="s">
        <v>10210</v>
      </c>
      <c r="C719" s="20" t="s">
        <v>10211</v>
      </c>
      <c r="D719">
        <v>704</v>
      </c>
      <c r="E719" t="s">
        <v>9616</v>
      </c>
      <c r="F719">
        <v>8</v>
      </c>
      <c r="G719" s="28" t="s">
        <v>9590</v>
      </c>
    </row>
    <row r="720" spans="1:7" ht="144" x14ac:dyDescent="0.3">
      <c r="A720" t="s">
        <v>9582</v>
      </c>
      <c r="B720" t="s">
        <v>10212</v>
      </c>
      <c r="C720" s="20" t="s">
        <v>10213</v>
      </c>
      <c r="D720">
        <v>708</v>
      </c>
      <c r="E720" t="s">
        <v>9585</v>
      </c>
      <c r="F720">
        <v>5</v>
      </c>
      <c r="G720" s="28" t="s">
        <v>12514</v>
      </c>
    </row>
    <row r="721" spans="1:7" ht="57.6" x14ac:dyDescent="0.3">
      <c r="A721" t="s">
        <v>9582</v>
      </c>
      <c r="B721" t="s">
        <v>10214</v>
      </c>
      <c r="C721" s="20" t="s">
        <v>10215</v>
      </c>
      <c r="D721">
        <v>579</v>
      </c>
      <c r="E721" t="s">
        <v>9616</v>
      </c>
      <c r="F721">
        <v>8</v>
      </c>
      <c r="G721" s="28" t="s">
        <v>9590</v>
      </c>
    </row>
    <row r="722" spans="1:7" ht="57.6" x14ac:dyDescent="0.3">
      <c r="A722" t="s">
        <v>9582</v>
      </c>
      <c r="B722" t="s">
        <v>10216</v>
      </c>
      <c r="C722" s="20" t="s">
        <v>10217</v>
      </c>
      <c r="D722">
        <v>474</v>
      </c>
      <c r="E722" t="s">
        <v>9589</v>
      </c>
      <c r="F722">
        <v>16</v>
      </c>
      <c r="G722" s="28" t="s">
        <v>9590</v>
      </c>
    </row>
    <row r="723" spans="1:7" ht="43.2" x14ac:dyDescent="0.3">
      <c r="A723" t="s">
        <v>9582</v>
      </c>
      <c r="B723" t="s">
        <v>10218</v>
      </c>
      <c r="C723" s="20" t="s">
        <v>10219</v>
      </c>
      <c r="D723">
        <v>1468</v>
      </c>
      <c r="E723" t="s">
        <v>9616</v>
      </c>
      <c r="F723">
        <v>8</v>
      </c>
      <c r="G723" s="28" t="s">
        <v>9590</v>
      </c>
    </row>
    <row r="724" spans="1:7" ht="43.2" x14ac:dyDescent="0.3">
      <c r="A724" t="s">
        <v>9582</v>
      </c>
      <c r="B724" t="s">
        <v>10220</v>
      </c>
      <c r="C724" s="20" t="s">
        <v>10221</v>
      </c>
      <c r="D724">
        <v>1469</v>
      </c>
      <c r="E724" t="s">
        <v>9653</v>
      </c>
      <c r="F724">
        <v>5</v>
      </c>
      <c r="G724" s="28" t="s">
        <v>9590</v>
      </c>
    </row>
    <row r="725" spans="1:7" ht="28.8" x14ac:dyDescent="0.3">
      <c r="A725" t="s">
        <v>9582</v>
      </c>
      <c r="B725" t="s">
        <v>10222</v>
      </c>
      <c r="C725" s="20" t="s">
        <v>10223</v>
      </c>
      <c r="D725">
        <v>123</v>
      </c>
      <c r="E725" t="s">
        <v>9616</v>
      </c>
      <c r="F725">
        <v>8</v>
      </c>
      <c r="G725" s="28" t="s">
        <v>9590</v>
      </c>
    </row>
    <row r="726" spans="1:7" ht="28.8" x14ac:dyDescent="0.3">
      <c r="A726" t="s">
        <v>9582</v>
      </c>
      <c r="B726" t="s">
        <v>10222</v>
      </c>
      <c r="C726" s="20" t="s">
        <v>10223</v>
      </c>
      <c r="D726">
        <v>123</v>
      </c>
      <c r="E726" t="s">
        <v>9616</v>
      </c>
      <c r="F726">
        <v>8</v>
      </c>
      <c r="G726" s="28" t="s">
        <v>9590</v>
      </c>
    </row>
    <row r="727" spans="1:7" ht="28.8" x14ac:dyDescent="0.3">
      <c r="A727" t="s">
        <v>9582</v>
      </c>
      <c r="B727" t="s">
        <v>10222</v>
      </c>
      <c r="C727" s="20" t="s">
        <v>10223</v>
      </c>
      <c r="D727">
        <v>123</v>
      </c>
      <c r="E727" t="s">
        <v>9616</v>
      </c>
      <c r="F727">
        <v>8</v>
      </c>
      <c r="G727" s="28" t="s">
        <v>9590</v>
      </c>
    </row>
    <row r="728" spans="1:7" ht="187.2" x14ac:dyDescent="0.3">
      <c r="A728" t="s">
        <v>9582</v>
      </c>
      <c r="B728" t="s">
        <v>10224</v>
      </c>
      <c r="C728" s="20" t="s">
        <v>12362</v>
      </c>
      <c r="D728">
        <v>1170</v>
      </c>
      <c r="E728" t="s">
        <v>9585</v>
      </c>
      <c r="F728">
        <v>5</v>
      </c>
      <c r="G728" s="28" t="s">
        <v>12515</v>
      </c>
    </row>
    <row r="729" spans="1:7" ht="129.6" x14ac:dyDescent="0.3">
      <c r="A729" t="s">
        <v>9582</v>
      </c>
      <c r="B729" t="s">
        <v>10225</v>
      </c>
      <c r="C729" s="20" t="s">
        <v>10226</v>
      </c>
      <c r="D729">
        <v>585</v>
      </c>
      <c r="E729" t="s">
        <v>9585</v>
      </c>
      <c r="F729">
        <v>5</v>
      </c>
      <c r="G729" s="28" t="s">
        <v>12516</v>
      </c>
    </row>
    <row r="730" spans="1:7" ht="115.2" x14ac:dyDescent="0.3">
      <c r="A730" t="s">
        <v>9582</v>
      </c>
      <c r="B730" t="s">
        <v>10227</v>
      </c>
      <c r="C730" s="20" t="s">
        <v>10228</v>
      </c>
      <c r="D730">
        <v>126</v>
      </c>
      <c r="E730" t="s">
        <v>9653</v>
      </c>
      <c r="F730">
        <v>7</v>
      </c>
      <c r="G730" s="28" t="s">
        <v>9590</v>
      </c>
    </row>
    <row r="731" spans="1:7" ht="115.2" x14ac:dyDescent="0.3">
      <c r="A731" t="s">
        <v>9582</v>
      </c>
      <c r="B731" t="s">
        <v>10227</v>
      </c>
      <c r="C731" s="20" t="s">
        <v>10228</v>
      </c>
      <c r="D731">
        <v>126</v>
      </c>
      <c r="E731" t="s">
        <v>9653</v>
      </c>
      <c r="F731">
        <v>7</v>
      </c>
      <c r="G731" s="28" t="s">
        <v>9590</v>
      </c>
    </row>
    <row r="732" spans="1:7" ht="115.2" x14ac:dyDescent="0.3">
      <c r="A732" t="s">
        <v>9582</v>
      </c>
      <c r="B732" t="s">
        <v>10227</v>
      </c>
      <c r="C732" s="20" t="s">
        <v>10228</v>
      </c>
      <c r="D732">
        <v>126</v>
      </c>
      <c r="E732" t="s">
        <v>9653</v>
      </c>
      <c r="F732">
        <v>7</v>
      </c>
      <c r="G732" s="28" t="s">
        <v>9590</v>
      </c>
    </row>
    <row r="733" spans="1:7" ht="43.2" x14ac:dyDescent="0.3">
      <c r="A733" t="s">
        <v>9582</v>
      </c>
      <c r="B733" t="s">
        <v>10229</v>
      </c>
      <c r="C733" s="20" t="s">
        <v>10230</v>
      </c>
      <c r="D733">
        <v>1563</v>
      </c>
      <c r="E733" t="s">
        <v>9653</v>
      </c>
      <c r="F733">
        <v>7</v>
      </c>
      <c r="G733" s="28" t="s">
        <v>9590</v>
      </c>
    </row>
    <row r="734" spans="1:7" ht="43.2" x14ac:dyDescent="0.3">
      <c r="A734" t="s">
        <v>9582</v>
      </c>
      <c r="B734" t="s">
        <v>10229</v>
      </c>
      <c r="C734" s="20" t="s">
        <v>10230</v>
      </c>
      <c r="D734">
        <v>1563</v>
      </c>
      <c r="E734" t="s">
        <v>9653</v>
      </c>
      <c r="F734">
        <v>7</v>
      </c>
      <c r="G734" s="28" t="s">
        <v>9590</v>
      </c>
    </row>
    <row r="735" spans="1:7" ht="43.2" x14ac:dyDescent="0.3">
      <c r="A735" t="s">
        <v>9582</v>
      </c>
      <c r="B735" t="s">
        <v>10229</v>
      </c>
      <c r="C735" s="20" t="s">
        <v>10230</v>
      </c>
      <c r="D735">
        <v>1563</v>
      </c>
      <c r="E735" t="s">
        <v>9653</v>
      </c>
      <c r="F735">
        <v>7</v>
      </c>
      <c r="G735" s="28" t="s">
        <v>9590</v>
      </c>
    </row>
    <row r="736" spans="1:7" ht="28.8" x14ac:dyDescent="0.3">
      <c r="A736" t="s">
        <v>9582</v>
      </c>
      <c r="B736" t="s">
        <v>10231</v>
      </c>
      <c r="C736" s="20" t="s">
        <v>10232</v>
      </c>
      <c r="D736">
        <v>128</v>
      </c>
      <c r="E736" t="s">
        <v>9653</v>
      </c>
      <c r="F736">
        <v>4</v>
      </c>
      <c r="G736" s="28" t="s">
        <v>9590</v>
      </c>
    </row>
    <row r="737" spans="1:7" ht="28.8" x14ac:dyDescent="0.3">
      <c r="A737" t="s">
        <v>9582</v>
      </c>
      <c r="B737" t="s">
        <v>10231</v>
      </c>
      <c r="C737" s="20" t="s">
        <v>10232</v>
      </c>
      <c r="D737">
        <v>128</v>
      </c>
      <c r="E737" t="s">
        <v>9653</v>
      </c>
      <c r="F737">
        <v>4</v>
      </c>
      <c r="G737" s="28" t="s">
        <v>9590</v>
      </c>
    </row>
    <row r="738" spans="1:7" ht="28.8" x14ac:dyDescent="0.3">
      <c r="A738" t="s">
        <v>9582</v>
      </c>
      <c r="B738" t="s">
        <v>10231</v>
      </c>
      <c r="C738" s="20" t="s">
        <v>10232</v>
      </c>
      <c r="D738">
        <v>128</v>
      </c>
      <c r="E738" t="s">
        <v>9653</v>
      </c>
      <c r="F738">
        <v>4</v>
      </c>
      <c r="G738" s="28" t="s">
        <v>9590</v>
      </c>
    </row>
    <row r="739" spans="1:7" ht="43.2" x14ac:dyDescent="0.3">
      <c r="A739" t="s">
        <v>9582</v>
      </c>
      <c r="B739" t="s">
        <v>10233</v>
      </c>
      <c r="C739" s="20" t="s">
        <v>10234</v>
      </c>
      <c r="D739">
        <v>1565</v>
      </c>
      <c r="E739" t="s">
        <v>9653</v>
      </c>
      <c r="F739">
        <v>4</v>
      </c>
      <c r="G739" s="28" t="s">
        <v>9590</v>
      </c>
    </row>
    <row r="740" spans="1:7" ht="43.2" x14ac:dyDescent="0.3">
      <c r="A740" t="s">
        <v>9582</v>
      </c>
      <c r="B740" t="s">
        <v>10233</v>
      </c>
      <c r="C740" s="20" t="s">
        <v>10234</v>
      </c>
      <c r="D740">
        <v>1565</v>
      </c>
      <c r="E740" t="s">
        <v>9653</v>
      </c>
      <c r="F740">
        <v>4</v>
      </c>
      <c r="G740" s="28" t="s">
        <v>9590</v>
      </c>
    </row>
    <row r="741" spans="1:7" ht="43.2" x14ac:dyDescent="0.3">
      <c r="A741" t="s">
        <v>9582</v>
      </c>
      <c r="B741" t="s">
        <v>10233</v>
      </c>
      <c r="C741" s="20" t="s">
        <v>10234</v>
      </c>
      <c r="D741">
        <v>1565</v>
      </c>
      <c r="E741" t="s">
        <v>9653</v>
      </c>
      <c r="F741">
        <v>4</v>
      </c>
      <c r="G741" s="28" t="s">
        <v>9590</v>
      </c>
    </row>
    <row r="742" spans="1:7" ht="28.8" x14ac:dyDescent="0.3">
      <c r="A742" t="s">
        <v>9582</v>
      </c>
      <c r="B742" t="s">
        <v>10235</v>
      </c>
      <c r="C742" s="20" t="s">
        <v>10236</v>
      </c>
      <c r="D742">
        <v>1564</v>
      </c>
      <c r="E742" t="s">
        <v>10237</v>
      </c>
      <c r="F742">
        <v>4</v>
      </c>
      <c r="G742" s="28" t="s">
        <v>9590</v>
      </c>
    </row>
    <row r="743" spans="1:7" ht="28.8" x14ac:dyDescent="0.3">
      <c r="A743" t="s">
        <v>9582</v>
      </c>
      <c r="B743" t="s">
        <v>10235</v>
      </c>
      <c r="C743" s="20" t="s">
        <v>10236</v>
      </c>
      <c r="D743">
        <v>1564</v>
      </c>
      <c r="E743" t="s">
        <v>10237</v>
      </c>
      <c r="F743">
        <v>4</v>
      </c>
      <c r="G743" s="28" t="s">
        <v>9590</v>
      </c>
    </row>
    <row r="744" spans="1:7" ht="28.8" x14ac:dyDescent="0.3">
      <c r="A744" t="s">
        <v>9582</v>
      </c>
      <c r="B744" t="s">
        <v>10235</v>
      </c>
      <c r="C744" s="20" t="s">
        <v>10236</v>
      </c>
      <c r="D744">
        <v>1564</v>
      </c>
      <c r="E744" t="s">
        <v>10237</v>
      </c>
      <c r="F744">
        <v>4</v>
      </c>
      <c r="G744" s="28" t="s">
        <v>9590</v>
      </c>
    </row>
    <row r="745" spans="1:7" ht="28.8" x14ac:dyDescent="0.3">
      <c r="A745" t="s">
        <v>9582</v>
      </c>
      <c r="B745" t="s">
        <v>10238</v>
      </c>
      <c r="C745" s="20" t="s">
        <v>10239</v>
      </c>
      <c r="D745">
        <v>1342</v>
      </c>
      <c r="E745" t="s">
        <v>9589</v>
      </c>
      <c r="F745">
        <v>60</v>
      </c>
      <c r="G745" s="28" t="s">
        <v>9590</v>
      </c>
    </row>
    <row r="746" spans="1:7" ht="28.8" x14ac:dyDescent="0.3">
      <c r="A746" t="s">
        <v>9582</v>
      </c>
      <c r="B746" t="s">
        <v>10238</v>
      </c>
      <c r="C746" s="20" t="s">
        <v>10239</v>
      </c>
      <c r="D746">
        <v>1342</v>
      </c>
      <c r="E746" t="s">
        <v>9589</v>
      </c>
      <c r="F746">
        <v>60</v>
      </c>
      <c r="G746" s="28" t="s">
        <v>9590</v>
      </c>
    </row>
    <row r="747" spans="1:7" ht="28.8" x14ac:dyDescent="0.3">
      <c r="A747" t="s">
        <v>9582</v>
      </c>
      <c r="B747" t="s">
        <v>10238</v>
      </c>
      <c r="C747" s="20" t="s">
        <v>10239</v>
      </c>
      <c r="D747">
        <v>1342</v>
      </c>
      <c r="E747" t="s">
        <v>9589</v>
      </c>
      <c r="F747">
        <v>60</v>
      </c>
      <c r="G747" s="28" t="s">
        <v>9590</v>
      </c>
    </row>
    <row r="748" spans="1:7" ht="57.6" x14ac:dyDescent="0.3">
      <c r="A748" t="s">
        <v>9582</v>
      </c>
      <c r="B748" t="s">
        <v>10240</v>
      </c>
      <c r="C748" s="20" t="s">
        <v>10241</v>
      </c>
      <c r="D748">
        <v>1112</v>
      </c>
      <c r="E748" t="s">
        <v>9585</v>
      </c>
      <c r="F748">
        <v>5</v>
      </c>
      <c r="G748" s="28" t="s">
        <v>12517</v>
      </c>
    </row>
    <row r="749" spans="1:7" ht="57.6" x14ac:dyDescent="0.3">
      <c r="A749" t="s">
        <v>9582</v>
      </c>
      <c r="B749" t="s">
        <v>10240</v>
      </c>
      <c r="C749" s="20" t="s">
        <v>10241</v>
      </c>
      <c r="D749">
        <v>1112</v>
      </c>
      <c r="E749" t="s">
        <v>9585</v>
      </c>
      <c r="F749">
        <v>5</v>
      </c>
      <c r="G749" s="28" t="s">
        <v>12517</v>
      </c>
    </row>
    <row r="750" spans="1:7" ht="57.6" x14ac:dyDescent="0.3">
      <c r="A750" t="s">
        <v>9582</v>
      </c>
      <c r="B750" t="s">
        <v>10240</v>
      </c>
      <c r="C750" s="20" t="s">
        <v>10241</v>
      </c>
      <c r="D750">
        <v>1112</v>
      </c>
      <c r="E750" t="s">
        <v>9585</v>
      </c>
      <c r="F750">
        <v>5</v>
      </c>
      <c r="G750" s="28" t="s">
        <v>12517</v>
      </c>
    </row>
    <row r="751" spans="1:7" ht="28.8" x14ac:dyDescent="0.3">
      <c r="A751" t="s">
        <v>9582</v>
      </c>
      <c r="B751" t="s">
        <v>10242</v>
      </c>
      <c r="C751" s="20" t="s">
        <v>10243</v>
      </c>
      <c r="D751">
        <v>1341</v>
      </c>
      <c r="E751" t="s">
        <v>9589</v>
      </c>
      <c r="F751">
        <v>45</v>
      </c>
      <c r="G751" s="28" t="s">
        <v>9590</v>
      </c>
    </row>
    <row r="752" spans="1:7" ht="28.8" x14ac:dyDescent="0.3">
      <c r="A752" t="s">
        <v>9582</v>
      </c>
      <c r="B752" t="s">
        <v>10242</v>
      </c>
      <c r="C752" s="20" t="s">
        <v>10243</v>
      </c>
      <c r="D752">
        <v>1341</v>
      </c>
      <c r="E752" t="s">
        <v>9589</v>
      </c>
      <c r="F752">
        <v>45</v>
      </c>
      <c r="G752" s="28" t="s">
        <v>9590</v>
      </c>
    </row>
    <row r="753" spans="1:7" ht="28.8" x14ac:dyDescent="0.3">
      <c r="A753" t="s">
        <v>9582</v>
      </c>
      <c r="B753" t="s">
        <v>10242</v>
      </c>
      <c r="C753" s="20" t="s">
        <v>10243</v>
      </c>
      <c r="D753">
        <v>1341</v>
      </c>
      <c r="E753" t="s">
        <v>9589</v>
      </c>
      <c r="F753">
        <v>45</v>
      </c>
      <c r="G753" s="28" t="s">
        <v>9590</v>
      </c>
    </row>
    <row r="754" spans="1:7" ht="158.4" x14ac:dyDescent="0.3">
      <c r="A754" t="s">
        <v>9582</v>
      </c>
      <c r="B754" t="s">
        <v>10244</v>
      </c>
      <c r="C754" s="20" t="s">
        <v>10245</v>
      </c>
      <c r="D754">
        <v>1113</v>
      </c>
      <c r="E754" t="s">
        <v>9585</v>
      </c>
      <c r="F754">
        <v>5</v>
      </c>
      <c r="G754" s="28" t="s">
        <v>12518</v>
      </c>
    </row>
    <row r="755" spans="1:7" ht="158.4" x14ac:dyDescent="0.3">
      <c r="A755" t="s">
        <v>9582</v>
      </c>
      <c r="B755" t="s">
        <v>10244</v>
      </c>
      <c r="C755" s="20" t="s">
        <v>10245</v>
      </c>
      <c r="D755">
        <v>1113</v>
      </c>
      <c r="E755" t="s">
        <v>9585</v>
      </c>
      <c r="F755">
        <v>5</v>
      </c>
      <c r="G755" s="28" t="s">
        <v>12518</v>
      </c>
    </row>
    <row r="756" spans="1:7" ht="158.4" x14ac:dyDescent="0.3">
      <c r="A756" t="s">
        <v>9582</v>
      </c>
      <c r="B756" t="s">
        <v>10244</v>
      </c>
      <c r="C756" s="20" t="s">
        <v>10245</v>
      </c>
      <c r="D756">
        <v>1113</v>
      </c>
      <c r="E756" t="s">
        <v>9585</v>
      </c>
      <c r="F756">
        <v>5</v>
      </c>
      <c r="G756" s="28" t="s">
        <v>12518</v>
      </c>
    </row>
    <row r="757" spans="1:7" ht="115.2" x14ac:dyDescent="0.3">
      <c r="A757" t="s">
        <v>9582</v>
      </c>
      <c r="B757" t="s">
        <v>10246</v>
      </c>
      <c r="C757" s="20" t="s">
        <v>10247</v>
      </c>
      <c r="D757">
        <v>561</v>
      </c>
      <c r="E757" t="s">
        <v>9585</v>
      </c>
      <c r="F757">
        <v>5</v>
      </c>
      <c r="G757" s="28" t="s">
        <v>12519</v>
      </c>
    </row>
    <row r="758" spans="1:7" ht="57.6" x14ac:dyDescent="0.3">
      <c r="A758" t="s">
        <v>9582</v>
      </c>
      <c r="B758" t="s">
        <v>10248</v>
      </c>
      <c r="C758" s="20" t="s">
        <v>10249</v>
      </c>
      <c r="D758">
        <v>1222</v>
      </c>
      <c r="E758" t="s">
        <v>9585</v>
      </c>
      <c r="F758">
        <v>5</v>
      </c>
      <c r="G758" s="28" t="s">
        <v>12520</v>
      </c>
    </row>
    <row r="759" spans="1:7" ht="57.6" x14ac:dyDescent="0.3">
      <c r="A759" t="s">
        <v>9582</v>
      </c>
      <c r="B759" t="s">
        <v>10248</v>
      </c>
      <c r="C759" s="20" t="s">
        <v>10249</v>
      </c>
      <c r="D759">
        <v>1222</v>
      </c>
      <c r="E759" t="s">
        <v>9585</v>
      </c>
      <c r="F759">
        <v>5</v>
      </c>
      <c r="G759" s="28" t="s">
        <v>12520</v>
      </c>
    </row>
    <row r="760" spans="1:7" ht="28.8" x14ac:dyDescent="0.3">
      <c r="A760" t="s">
        <v>9582</v>
      </c>
      <c r="B760" t="s">
        <v>10250</v>
      </c>
      <c r="C760" s="20" t="s">
        <v>10251</v>
      </c>
      <c r="D760">
        <v>835</v>
      </c>
      <c r="E760" t="s">
        <v>9616</v>
      </c>
      <c r="F760">
        <v>8</v>
      </c>
      <c r="G760" s="28" t="s">
        <v>9590</v>
      </c>
    </row>
    <row r="761" spans="1:7" ht="28.8" x14ac:dyDescent="0.3">
      <c r="A761" t="s">
        <v>9582</v>
      </c>
      <c r="B761" t="s">
        <v>10250</v>
      </c>
      <c r="C761" s="20" t="s">
        <v>10251</v>
      </c>
      <c r="D761">
        <v>835</v>
      </c>
      <c r="E761" t="s">
        <v>9616</v>
      </c>
      <c r="F761">
        <v>8</v>
      </c>
      <c r="G761" s="28" t="s">
        <v>9590</v>
      </c>
    </row>
    <row r="762" spans="1:7" ht="72" x14ac:dyDescent="0.3">
      <c r="A762" t="s">
        <v>9582</v>
      </c>
      <c r="B762" t="s">
        <v>10252</v>
      </c>
      <c r="C762" s="20" t="s">
        <v>10253</v>
      </c>
      <c r="D762">
        <v>1212</v>
      </c>
      <c r="E762" t="s">
        <v>9616</v>
      </c>
      <c r="F762">
        <v>8</v>
      </c>
      <c r="G762" s="28" t="s">
        <v>9590</v>
      </c>
    </row>
    <row r="763" spans="1:7" ht="216" x14ac:dyDescent="0.3">
      <c r="A763" t="s">
        <v>9582</v>
      </c>
      <c r="B763" t="s">
        <v>10254</v>
      </c>
      <c r="C763" s="20" t="s">
        <v>10255</v>
      </c>
      <c r="D763">
        <v>1232</v>
      </c>
      <c r="E763" t="s">
        <v>9585</v>
      </c>
      <c r="F763">
        <v>5</v>
      </c>
      <c r="G763" s="28" t="s">
        <v>12499</v>
      </c>
    </row>
    <row r="764" spans="1:7" ht="43.2" x14ac:dyDescent="0.3">
      <c r="A764" t="s">
        <v>9582</v>
      </c>
      <c r="B764" t="s">
        <v>10256</v>
      </c>
      <c r="C764" s="20" t="s">
        <v>10257</v>
      </c>
      <c r="D764">
        <v>1210</v>
      </c>
      <c r="E764" t="s">
        <v>9616</v>
      </c>
      <c r="F764">
        <v>8</v>
      </c>
      <c r="G764" s="28" t="s">
        <v>9590</v>
      </c>
    </row>
    <row r="765" spans="1:7" ht="129.6" x14ac:dyDescent="0.3">
      <c r="A765" t="s">
        <v>9582</v>
      </c>
      <c r="B765" t="s">
        <v>10258</v>
      </c>
      <c r="C765" s="20" t="s">
        <v>10259</v>
      </c>
      <c r="D765">
        <v>834</v>
      </c>
      <c r="E765" t="s">
        <v>9585</v>
      </c>
      <c r="F765">
        <v>5</v>
      </c>
      <c r="G765" s="28" t="s">
        <v>12521</v>
      </c>
    </row>
    <row r="766" spans="1:7" ht="115.2" x14ac:dyDescent="0.3">
      <c r="A766" t="s">
        <v>9582</v>
      </c>
      <c r="B766" t="s">
        <v>10260</v>
      </c>
      <c r="C766" s="20" t="s">
        <v>10261</v>
      </c>
      <c r="D766">
        <v>833</v>
      </c>
      <c r="E766" t="s">
        <v>9585</v>
      </c>
      <c r="F766">
        <v>5</v>
      </c>
      <c r="G766" s="28" t="s">
        <v>12522</v>
      </c>
    </row>
    <row r="767" spans="1:7" ht="273.60000000000002" x14ac:dyDescent="0.3">
      <c r="A767" t="s">
        <v>9582</v>
      </c>
      <c r="B767" t="s">
        <v>10262</v>
      </c>
      <c r="C767" s="20" t="s">
        <v>10263</v>
      </c>
      <c r="D767">
        <v>836</v>
      </c>
      <c r="E767" t="s">
        <v>9585</v>
      </c>
      <c r="F767">
        <v>5</v>
      </c>
      <c r="G767" s="28" t="s">
        <v>12523</v>
      </c>
    </row>
    <row r="768" spans="1:7" ht="86.4" x14ac:dyDescent="0.3">
      <c r="A768" t="s">
        <v>9582</v>
      </c>
      <c r="B768" t="s">
        <v>10264</v>
      </c>
      <c r="C768" s="20" t="s">
        <v>10265</v>
      </c>
      <c r="D768">
        <v>754</v>
      </c>
      <c r="E768" t="s">
        <v>9585</v>
      </c>
      <c r="F768">
        <v>5</v>
      </c>
      <c r="G768" s="28" t="s">
        <v>12524</v>
      </c>
    </row>
    <row r="769" spans="1:7" ht="86.4" x14ac:dyDescent="0.3">
      <c r="A769" t="s">
        <v>9582</v>
      </c>
      <c r="B769" t="s">
        <v>10264</v>
      </c>
      <c r="C769" s="20" t="s">
        <v>10265</v>
      </c>
      <c r="D769">
        <v>754</v>
      </c>
      <c r="E769" t="s">
        <v>9585</v>
      </c>
      <c r="F769">
        <v>5</v>
      </c>
      <c r="G769" s="28" t="s">
        <v>12524</v>
      </c>
    </row>
    <row r="770" spans="1:7" ht="158.4" x14ac:dyDescent="0.3">
      <c r="A770" t="s">
        <v>9582</v>
      </c>
      <c r="B770" t="s">
        <v>10266</v>
      </c>
      <c r="C770" s="20" t="s">
        <v>10267</v>
      </c>
      <c r="D770">
        <v>696</v>
      </c>
      <c r="E770" t="s">
        <v>9585</v>
      </c>
      <c r="F770">
        <v>5</v>
      </c>
      <c r="G770" s="28" t="s">
        <v>12525</v>
      </c>
    </row>
    <row r="771" spans="1:7" ht="28.8" x14ac:dyDescent="0.3">
      <c r="A771" t="s">
        <v>9582</v>
      </c>
      <c r="B771" t="s">
        <v>10268</v>
      </c>
      <c r="C771" s="20" t="s">
        <v>10269</v>
      </c>
      <c r="D771">
        <v>648</v>
      </c>
      <c r="E771" t="s">
        <v>9589</v>
      </c>
      <c r="F771">
        <v>60</v>
      </c>
      <c r="G771" s="28" t="s">
        <v>9590</v>
      </c>
    </row>
    <row r="772" spans="1:7" ht="57.6" x14ac:dyDescent="0.3">
      <c r="A772" t="s">
        <v>9582</v>
      </c>
      <c r="B772" t="s">
        <v>10270</v>
      </c>
      <c r="C772" s="20" t="s">
        <v>10271</v>
      </c>
      <c r="D772">
        <v>649</v>
      </c>
      <c r="E772" t="s">
        <v>9616</v>
      </c>
      <c r="F772">
        <v>8</v>
      </c>
      <c r="G772" s="28" t="s">
        <v>9590</v>
      </c>
    </row>
    <row r="773" spans="1:7" ht="28.8" x14ac:dyDescent="0.3">
      <c r="A773" t="s">
        <v>9582</v>
      </c>
      <c r="B773" t="s">
        <v>10272</v>
      </c>
      <c r="C773" s="20" t="s">
        <v>12363</v>
      </c>
      <c r="D773">
        <v>1213</v>
      </c>
      <c r="E773" t="s">
        <v>9589</v>
      </c>
      <c r="F773">
        <v>60</v>
      </c>
      <c r="G773" s="28" t="s">
        <v>9590</v>
      </c>
    </row>
    <row r="774" spans="1:7" ht="172.8" x14ac:dyDescent="0.3">
      <c r="A774" t="s">
        <v>9582</v>
      </c>
      <c r="B774" t="s">
        <v>10273</v>
      </c>
      <c r="C774" s="20" t="s">
        <v>10274</v>
      </c>
      <c r="D774">
        <v>901</v>
      </c>
      <c r="E774" t="s">
        <v>9585</v>
      </c>
      <c r="F774">
        <v>5</v>
      </c>
      <c r="G774" s="28" t="s">
        <v>12526</v>
      </c>
    </row>
    <row r="775" spans="1:7" ht="144" x14ac:dyDescent="0.3">
      <c r="A775" t="s">
        <v>9582</v>
      </c>
      <c r="B775" t="s">
        <v>10275</v>
      </c>
      <c r="C775" s="20" t="s">
        <v>10276</v>
      </c>
      <c r="D775">
        <v>899</v>
      </c>
      <c r="E775" t="s">
        <v>9585</v>
      </c>
      <c r="F775">
        <v>5</v>
      </c>
      <c r="G775" s="28" t="s">
        <v>12527</v>
      </c>
    </row>
    <row r="776" spans="1:7" ht="144" x14ac:dyDescent="0.3">
      <c r="A776" t="s">
        <v>9582</v>
      </c>
      <c r="B776" t="s">
        <v>10277</v>
      </c>
      <c r="C776" s="20" t="s">
        <v>10278</v>
      </c>
      <c r="D776">
        <v>898</v>
      </c>
      <c r="E776" t="s">
        <v>9585</v>
      </c>
      <c r="F776">
        <v>5</v>
      </c>
      <c r="G776" s="28" t="s">
        <v>12528</v>
      </c>
    </row>
    <row r="777" spans="1:7" ht="201.6" x14ac:dyDescent="0.3">
      <c r="A777" t="s">
        <v>9582</v>
      </c>
      <c r="B777" t="s">
        <v>10279</v>
      </c>
      <c r="C777" s="20" t="s">
        <v>10280</v>
      </c>
      <c r="D777">
        <v>1006</v>
      </c>
      <c r="E777" t="s">
        <v>9585</v>
      </c>
      <c r="F777">
        <v>5</v>
      </c>
      <c r="G777" s="28" t="s">
        <v>12529</v>
      </c>
    </row>
    <row r="778" spans="1:7" ht="43.2" x14ac:dyDescent="0.3">
      <c r="A778" t="s">
        <v>9582</v>
      </c>
      <c r="B778" t="s">
        <v>10281</v>
      </c>
      <c r="C778" s="20" t="s">
        <v>10282</v>
      </c>
      <c r="D778">
        <v>1007</v>
      </c>
      <c r="E778" t="s">
        <v>9633</v>
      </c>
      <c r="F778">
        <v>8.1999999999999993</v>
      </c>
      <c r="G778" s="28" t="s">
        <v>9590</v>
      </c>
    </row>
    <row r="779" spans="1:7" ht="28.8" x14ac:dyDescent="0.3">
      <c r="A779" t="s">
        <v>9582</v>
      </c>
      <c r="B779" t="s">
        <v>10283</v>
      </c>
      <c r="C779" s="20" t="s">
        <v>10284</v>
      </c>
      <c r="D779">
        <v>1005</v>
      </c>
      <c r="E779" t="s">
        <v>9633</v>
      </c>
      <c r="F779">
        <v>8.1999999999999993</v>
      </c>
      <c r="G779" s="28" t="s">
        <v>9590</v>
      </c>
    </row>
    <row r="780" spans="1:7" ht="201.6" x14ac:dyDescent="0.3">
      <c r="A780" t="s">
        <v>9582</v>
      </c>
      <c r="B780" t="s">
        <v>10285</v>
      </c>
      <c r="C780" s="20" t="s">
        <v>10286</v>
      </c>
      <c r="D780">
        <v>1004</v>
      </c>
      <c r="E780" t="s">
        <v>9585</v>
      </c>
      <c r="F780">
        <v>5</v>
      </c>
      <c r="G780" s="28" t="s">
        <v>12530</v>
      </c>
    </row>
    <row r="781" spans="1:7" ht="28.8" x14ac:dyDescent="0.3">
      <c r="A781" t="s">
        <v>9582</v>
      </c>
      <c r="B781" t="s">
        <v>10287</v>
      </c>
      <c r="C781" s="20" t="s">
        <v>10288</v>
      </c>
      <c r="D781">
        <v>968</v>
      </c>
      <c r="E781" t="s">
        <v>9633</v>
      </c>
      <c r="F781">
        <v>8.1999999999999993</v>
      </c>
      <c r="G781" s="28" t="s">
        <v>9590</v>
      </c>
    </row>
    <row r="782" spans="1:7" ht="43.2" x14ac:dyDescent="0.3">
      <c r="A782" t="s">
        <v>9582</v>
      </c>
      <c r="B782" t="s">
        <v>10289</v>
      </c>
      <c r="C782" s="20" t="s">
        <v>10290</v>
      </c>
      <c r="D782">
        <v>2200</v>
      </c>
      <c r="E782" t="s">
        <v>9633</v>
      </c>
      <c r="F782">
        <v>6.2</v>
      </c>
      <c r="G782" s="17" t="s">
        <v>32</v>
      </c>
    </row>
    <row r="783" spans="1:7" ht="230.4" x14ac:dyDescent="0.3">
      <c r="A783" t="s">
        <v>9582</v>
      </c>
      <c r="B783" t="s">
        <v>10291</v>
      </c>
      <c r="C783" s="20" t="s">
        <v>10292</v>
      </c>
      <c r="D783">
        <v>129</v>
      </c>
      <c r="E783" t="s">
        <v>9585</v>
      </c>
      <c r="F783">
        <v>5</v>
      </c>
      <c r="G783" s="28" t="s">
        <v>12531</v>
      </c>
    </row>
    <row r="784" spans="1:7" ht="230.4" x14ac:dyDescent="0.3">
      <c r="A784" t="s">
        <v>9582</v>
      </c>
      <c r="B784" t="s">
        <v>10291</v>
      </c>
      <c r="C784" s="20" t="s">
        <v>10292</v>
      </c>
      <c r="D784">
        <v>129</v>
      </c>
      <c r="E784" t="s">
        <v>9585</v>
      </c>
      <c r="F784">
        <v>5</v>
      </c>
      <c r="G784" s="28" t="s">
        <v>12531</v>
      </c>
    </row>
    <row r="785" spans="1:7" ht="230.4" x14ac:dyDescent="0.3">
      <c r="A785" t="s">
        <v>9582</v>
      </c>
      <c r="B785" t="s">
        <v>10291</v>
      </c>
      <c r="C785" s="20" t="s">
        <v>10292</v>
      </c>
      <c r="D785">
        <v>129</v>
      </c>
      <c r="E785" t="s">
        <v>9585</v>
      </c>
      <c r="F785">
        <v>5</v>
      </c>
      <c r="G785" s="28" t="s">
        <v>12531</v>
      </c>
    </row>
    <row r="786" spans="1:7" ht="230.4" x14ac:dyDescent="0.3">
      <c r="A786" t="s">
        <v>9582</v>
      </c>
      <c r="B786" t="s">
        <v>10291</v>
      </c>
      <c r="C786" s="20" t="s">
        <v>10292</v>
      </c>
      <c r="D786">
        <v>129</v>
      </c>
      <c r="E786" t="s">
        <v>9585</v>
      </c>
      <c r="F786">
        <v>5</v>
      </c>
      <c r="G786" s="28" t="s">
        <v>12531</v>
      </c>
    </row>
    <row r="787" spans="1:7" ht="230.4" x14ac:dyDescent="0.3">
      <c r="A787" t="s">
        <v>9582</v>
      </c>
      <c r="B787" t="s">
        <v>10291</v>
      </c>
      <c r="C787" s="20" t="s">
        <v>10292</v>
      </c>
      <c r="D787">
        <v>129</v>
      </c>
      <c r="E787" t="s">
        <v>9585</v>
      </c>
      <c r="F787">
        <v>5</v>
      </c>
      <c r="G787" s="28" t="s">
        <v>12531</v>
      </c>
    </row>
    <row r="788" spans="1:7" ht="230.4" x14ac:dyDescent="0.3">
      <c r="A788" t="s">
        <v>9582</v>
      </c>
      <c r="B788" t="s">
        <v>10291</v>
      </c>
      <c r="C788" s="20" t="s">
        <v>10292</v>
      </c>
      <c r="D788">
        <v>129</v>
      </c>
      <c r="E788" t="s">
        <v>9585</v>
      </c>
      <c r="F788">
        <v>5</v>
      </c>
      <c r="G788" s="28" t="s">
        <v>12531</v>
      </c>
    </row>
    <row r="789" spans="1:7" ht="230.4" x14ac:dyDescent="0.3">
      <c r="A789" t="s">
        <v>9582</v>
      </c>
      <c r="B789" t="s">
        <v>10291</v>
      </c>
      <c r="C789" s="20" t="s">
        <v>10292</v>
      </c>
      <c r="D789">
        <v>129</v>
      </c>
      <c r="E789" t="s">
        <v>9585</v>
      </c>
      <c r="F789">
        <v>5</v>
      </c>
      <c r="G789" s="28" t="s">
        <v>12531</v>
      </c>
    </row>
    <row r="790" spans="1:7" ht="43.2" x14ac:dyDescent="0.3">
      <c r="A790" t="s">
        <v>9582</v>
      </c>
      <c r="B790" t="s">
        <v>10293</v>
      </c>
      <c r="C790" s="20" t="s">
        <v>10294</v>
      </c>
      <c r="D790">
        <v>2202</v>
      </c>
      <c r="E790" t="s">
        <v>9653</v>
      </c>
      <c r="F790">
        <v>3</v>
      </c>
      <c r="G790" s="17" t="s">
        <v>32</v>
      </c>
    </row>
    <row r="791" spans="1:7" ht="144" x14ac:dyDescent="0.3">
      <c r="A791" t="s">
        <v>9582</v>
      </c>
      <c r="B791" t="s">
        <v>10295</v>
      </c>
      <c r="C791" s="20" t="s">
        <v>10296</v>
      </c>
      <c r="D791">
        <v>485</v>
      </c>
      <c r="E791" t="s">
        <v>9585</v>
      </c>
      <c r="F791">
        <v>5</v>
      </c>
      <c r="G791" s="28" t="s">
        <v>12532</v>
      </c>
    </row>
    <row r="792" spans="1:7" ht="244.8" x14ac:dyDescent="0.3">
      <c r="A792" t="s">
        <v>9582</v>
      </c>
      <c r="B792" t="s">
        <v>10297</v>
      </c>
      <c r="C792" s="20" t="s">
        <v>10298</v>
      </c>
      <c r="D792">
        <v>604</v>
      </c>
      <c r="E792" t="s">
        <v>9585</v>
      </c>
      <c r="F792">
        <v>5</v>
      </c>
      <c r="G792" s="28" t="s">
        <v>12533</v>
      </c>
    </row>
    <row r="793" spans="1:7" ht="100.8" x14ac:dyDescent="0.3">
      <c r="A793" t="s">
        <v>9582</v>
      </c>
      <c r="B793" t="s">
        <v>10299</v>
      </c>
      <c r="C793" s="20" t="s">
        <v>10300</v>
      </c>
      <c r="D793">
        <v>1284</v>
      </c>
      <c r="E793" t="s">
        <v>9585</v>
      </c>
      <c r="F793">
        <v>5</v>
      </c>
      <c r="G793" s="28" t="s">
        <v>12534</v>
      </c>
    </row>
    <row r="794" spans="1:7" ht="100.8" x14ac:dyDescent="0.3">
      <c r="A794" t="s">
        <v>9582</v>
      </c>
      <c r="B794" t="s">
        <v>10299</v>
      </c>
      <c r="C794" s="20" t="s">
        <v>10300</v>
      </c>
      <c r="D794">
        <v>1284</v>
      </c>
      <c r="E794" t="s">
        <v>9585</v>
      </c>
      <c r="F794">
        <v>5</v>
      </c>
      <c r="G794" s="28" t="s">
        <v>12534</v>
      </c>
    </row>
    <row r="795" spans="1:7" ht="187.2" x14ac:dyDescent="0.3">
      <c r="A795" t="s">
        <v>9582</v>
      </c>
      <c r="B795" t="s">
        <v>10301</v>
      </c>
      <c r="C795" s="20" t="s">
        <v>10302</v>
      </c>
      <c r="D795">
        <v>1264</v>
      </c>
      <c r="E795" t="s">
        <v>9585</v>
      </c>
      <c r="F795">
        <v>5</v>
      </c>
      <c r="G795" s="28" t="s">
        <v>12535</v>
      </c>
    </row>
    <row r="796" spans="1:7" ht="28.8" x14ac:dyDescent="0.3">
      <c r="A796" t="s">
        <v>9582</v>
      </c>
      <c r="B796" t="s">
        <v>10303</v>
      </c>
      <c r="C796" s="20" t="s">
        <v>10304</v>
      </c>
      <c r="D796">
        <v>1247</v>
      </c>
      <c r="E796" t="s">
        <v>9589</v>
      </c>
      <c r="F796">
        <v>60</v>
      </c>
      <c r="G796" s="28" t="s">
        <v>9590</v>
      </c>
    </row>
    <row r="797" spans="1:7" ht="115.2" x14ac:dyDescent="0.3">
      <c r="A797" t="s">
        <v>9582</v>
      </c>
      <c r="B797" t="s">
        <v>10305</v>
      </c>
      <c r="C797" s="20" t="s">
        <v>10306</v>
      </c>
      <c r="D797">
        <v>608</v>
      </c>
      <c r="E797" t="s">
        <v>9585</v>
      </c>
      <c r="F797">
        <v>5</v>
      </c>
      <c r="G797" s="28" t="s">
        <v>12536</v>
      </c>
    </row>
    <row r="798" spans="1:7" ht="100.8" x14ac:dyDescent="0.3">
      <c r="A798" t="s">
        <v>9582</v>
      </c>
      <c r="B798" t="s">
        <v>10307</v>
      </c>
      <c r="C798" s="20" t="s">
        <v>10308</v>
      </c>
      <c r="D798">
        <v>1258</v>
      </c>
      <c r="E798" t="s">
        <v>9585</v>
      </c>
      <c r="F798">
        <v>5</v>
      </c>
      <c r="G798" s="28" t="s">
        <v>12537</v>
      </c>
    </row>
    <row r="799" spans="1:7" ht="100.8" x14ac:dyDescent="0.3">
      <c r="A799" t="s">
        <v>9582</v>
      </c>
      <c r="B799" t="s">
        <v>10309</v>
      </c>
      <c r="C799" s="20" t="s">
        <v>10310</v>
      </c>
      <c r="D799">
        <v>1263</v>
      </c>
      <c r="E799" t="s">
        <v>9585</v>
      </c>
      <c r="F799">
        <v>5</v>
      </c>
      <c r="G799" s="28" t="s">
        <v>12537</v>
      </c>
    </row>
    <row r="800" spans="1:7" ht="43.2" x14ac:dyDescent="0.3">
      <c r="A800" t="s">
        <v>9582</v>
      </c>
      <c r="B800" t="s">
        <v>10311</v>
      </c>
      <c r="C800" s="20" t="s">
        <v>10312</v>
      </c>
      <c r="D800">
        <v>853</v>
      </c>
      <c r="E800" t="s">
        <v>9633</v>
      </c>
      <c r="F800">
        <v>5.2</v>
      </c>
      <c r="G800" s="28" t="s">
        <v>9590</v>
      </c>
    </row>
    <row r="801" spans="1:7" ht="43.2" x14ac:dyDescent="0.3">
      <c r="A801" t="s">
        <v>9582</v>
      </c>
      <c r="B801" t="s">
        <v>10313</v>
      </c>
      <c r="C801" s="20" t="s">
        <v>10314</v>
      </c>
      <c r="D801">
        <v>424</v>
      </c>
      <c r="E801" t="s">
        <v>9616</v>
      </c>
      <c r="F801">
        <v>8</v>
      </c>
      <c r="G801" s="28" t="s">
        <v>9590</v>
      </c>
    </row>
    <row r="802" spans="1:7" ht="72" x14ac:dyDescent="0.3">
      <c r="A802" t="s">
        <v>9582</v>
      </c>
      <c r="B802" t="s">
        <v>10315</v>
      </c>
      <c r="C802" s="20" t="s">
        <v>10316</v>
      </c>
      <c r="D802">
        <v>423</v>
      </c>
      <c r="E802" t="s">
        <v>9585</v>
      </c>
      <c r="F802">
        <v>5</v>
      </c>
      <c r="G802" s="28" t="s">
        <v>12538</v>
      </c>
    </row>
    <row r="803" spans="1:7" ht="230.4" x14ac:dyDescent="0.3">
      <c r="A803" t="s">
        <v>9582</v>
      </c>
      <c r="B803" t="s">
        <v>10317</v>
      </c>
      <c r="C803" s="20" t="s">
        <v>10318</v>
      </c>
      <c r="D803">
        <v>626</v>
      </c>
      <c r="E803" t="s">
        <v>9585</v>
      </c>
      <c r="F803">
        <v>5</v>
      </c>
      <c r="G803" s="28" t="s">
        <v>12539</v>
      </c>
    </row>
    <row r="804" spans="1:7" ht="28.8" x14ac:dyDescent="0.3">
      <c r="A804" t="s">
        <v>9582</v>
      </c>
      <c r="B804" t="s">
        <v>10319</v>
      </c>
      <c r="C804" s="20" t="s">
        <v>10320</v>
      </c>
      <c r="D804">
        <v>1280</v>
      </c>
      <c r="E804" t="s">
        <v>9653</v>
      </c>
      <c r="F804">
        <v>5.2</v>
      </c>
      <c r="G804" s="28" t="s">
        <v>9590</v>
      </c>
    </row>
    <row r="805" spans="1:7" ht="28.8" x14ac:dyDescent="0.3">
      <c r="A805" t="s">
        <v>9582</v>
      </c>
      <c r="B805" t="s">
        <v>10319</v>
      </c>
      <c r="C805" s="20" t="s">
        <v>10320</v>
      </c>
      <c r="D805">
        <v>1280</v>
      </c>
      <c r="E805" t="s">
        <v>9653</v>
      </c>
      <c r="F805">
        <v>5.2</v>
      </c>
      <c r="G805" s="28" t="s">
        <v>9590</v>
      </c>
    </row>
    <row r="806" spans="1:7" ht="57.6" x14ac:dyDescent="0.3">
      <c r="A806" t="s">
        <v>9582</v>
      </c>
      <c r="B806" t="s">
        <v>10321</v>
      </c>
      <c r="C806" s="20" t="s">
        <v>10322</v>
      </c>
      <c r="D806">
        <v>2203</v>
      </c>
      <c r="E806" t="s">
        <v>9589</v>
      </c>
      <c r="G806" s="17" t="s">
        <v>32</v>
      </c>
    </row>
    <row r="807" spans="1:7" ht="86.4" x14ac:dyDescent="0.3">
      <c r="A807" t="s">
        <v>9582</v>
      </c>
      <c r="B807" t="s">
        <v>10323</v>
      </c>
      <c r="C807" s="20" t="s">
        <v>10324</v>
      </c>
      <c r="D807">
        <v>1018</v>
      </c>
      <c r="E807" t="s">
        <v>9585</v>
      </c>
      <c r="F807">
        <v>5</v>
      </c>
      <c r="G807" s="28" t="s">
        <v>12540</v>
      </c>
    </row>
    <row r="808" spans="1:7" ht="57.6" x14ac:dyDescent="0.3">
      <c r="A808" t="s">
        <v>9582</v>
      </c>
      <c r="B808" t="s">
        <v>10325</v>
      </c>
      <c r="C808" s="20" t="s">
        <v>10326</v>
      </c>
      <c r="D808">
        <v>634</v>
      </c>
      <c r="E808" t="s">
        <v>9633</v>
      </c>
      <c r="F808">
        <v>5.2</v>
      </c>
      <c r="G808" s="28" t="s">
        <v>9590</v>
      </c>
    </row>
    <row r="809" spans="1:7" ht="43.2" x14ac:dyDescent="0.3">
      <c r="A809" t="s">
        <v>9582</v>
      </c>
      <c r="B809" t="s">
        <v>10327</v>
      </c>
      <c r="C809" s="20" t="s">
        <v>10328</v>
      </c>
      <c r="D809">
        <v>632</v>
      </c>
      <c r="E809" t="s">
        <v>9589</v>
      </c>
      <c r="F809">
        <v>60</v>
      </c>
      <c r="G809" s="28" t="s">
        <v>9590</v>
      </c>
    </row>
    <row r="810" spans="1:7" ht="57.6" x14ac:dyDescent="0.3">
      <c r="A810" t="s">
        <v>9582</v>
      </c>
      <c r="B810" t="s">
        <v>10329</v>
      </c>
      <c r="C810" s="20" t="s">
        <v>10330</v>
      </c>
      <c r="D810">
        <v>630</v>
      </c>
      <c r="E810" t="s">
        <v>9585</v>
      </c>
      <c r="F810">
        <v>5</v>
      </c>
      <c r="G810" s="28" t="s">
        <v>12541</v>
      </c>
    </row>
    <row r="811" spans="1:7" ht="201.6" x14ac:dyDescent="0.3">
      <c r="A811" t="s">
        <v>9582</v>
      </c>
      <c r="B811" t="s">
        <v>10331</v>
      </c>
      <c r="C811" s="20" t="s">
        <v>10332</v>
      </c>
      <c r="D811">
        <v>633</v>
      </c>
      <c r="E811" t="s">
        <v>9585</v>
      </c>
      <c r="F811">
        <v>5</v>
      </c>
      <c r="G811" s="28" t="s">
        <v>12542</v>
      </c>
    </row>
    <row r="812" spans="1:7" ht="115.2" x14ac:dyDescent="0.3">
      <c r="A812" t="s">
        <v>9582</v>
      </c>
      <c r="B812" t="s">
        <v>10333</v>
      </c>
      <c r="C812" s="20" t="s">
        <v>10334</v>
      </c>
      <c r="D812">
        <v>631</v>
      </c>
      <c r="E812" t="s">
        <v>9585</v>
      </c>
      <c r="F812">
        <v>5</v>
      </c>
      <c r="G812" s="28" t="s">
        <v>12543</v>
      </c>
    </row>
    <row r="813" spans="1:7" ht="28.8" x14ac:dyDescent="0.3">
      <c r="A813" t="s">
        <v>9582</v>
      </c>
      <c r="B813" t="s">
        <v>10335</v>
      </c>
      <c r="C813" s="20" t="s">
        <v>10336</v>
      </c>
      <c r="D813">
        <v>1135</v>
      </c>
      <c r="E813" t="s">
        <v>9616</v>
      </c>
      <c r="F813">
        <v>8</v>
      </c>
      <c r="G813" s="28" t="s">
        <v>9590</v>
      </c>
    </row>
    <row r="814" spans="1:7" ht="43.2" x14ac:dyDescent="0.3">
      <c r="A814" t="s">
        <v>9582</v>
      </c>
      <c r="B814" t="s">
        <v>10337</v>
      </c>
      <c r="C814" s="20" t="s">
        <v>10338</v>
      </c>
      <c r="D814">
        <v>325</v>
      </c>
      <c r="E814" t="s">
        <v>9616</v>
      </c>
      <c r="F814">
        <v>8</v>
      </c>
      <c r="G814" s="28" t="s">
        <v>9590</v>
      </c>
    </row>
    <row r="815" spans="1:7" ht="43.2" x14ac:dyDescent="0.3">
      <c r="A815" t="s">
        <v>9582</v>
      </c>
      <c r="B815" t="s">
        <v>10337</v>
      </c>
      <c r="C815" s="20" t="s">
        <v>10338</v>
      </c>
      <c r="D815">
        <v>325</v>
      </c>
      <c r="E815" t="s">
        <v>9616</v>
      </c>
      <c r="F815">
        <v>8</v>
      </c>
      <c r="G815" s="28" t="s">
        <v>9590</v>
      </c>
    </row>
    <row r="816" spans="1:7" ht="43.2" x14ac:dyDescent="0.3">
      <c r="A816" t="s">
        <v>9582</v>
      </c>
      <c r="B816" t="s">
        <v>10339</v>
      </c>
      <c r="C816" s="20" t="s">
        <v>10340</v>
      </c>
      <c r="D816">
        <v>1534</v>
      </c>
      <c r="E816" t="s">
        <v>9589</v>
      </c>
      <c r="F816">
        <v>50</v>
      </c>
      <c r="G816" s="28" t="s">
        <v>9590</v>
      </c>
    </row>
    <row r="817" spans="1:7" ht="28.8" x14ac:dyDescent="0.3">
      <c r="A817" t="s">
        <v>9582</v>
      </c>
      <c r="B817" t="s">
        <v>10341</v>
      </c>
      <c r="C817" s="20" t="s">
        <v>10342</v>
      </c>
      <c r="D817">
        <v>1530</v>
      </c>
      <c r="E817" t="s">
        <v>9589</v>
      </c>
      <c r="F817">
        <v>50</v>
      </c>
      <c r="G817" s="28" t="s">
        <v>9590</v>
      </c>
    </row>
    <row r="818" spans="1:7" ht="28.8" x14ac:dyDescent="0.3">
      <c r="A818" t="s">
        <v>9582</v>
      </c>
      <c r="B818" t="s">
        <v>10343</v>
      </c>
      <c r="C818" s="20" t="s">
        <v>10344</v>
      </c>
      <c r="D818">
        <v>1528</v>
      </c>
      <c r="E818" t="s">
        <v>9589</v>
      </c>
      <c r="F818">
        <v>50</v>
      </c>
      <c r="G818" s="28" t="s">
        <v>9590</v>
      </c>
    </row>
    <row r="819" spans="1:7" ht="28.8" x14ac:dyDescent="0.3">
      <c r="A819" t="s">
        <v>9582</v>
      </c>
      <c r="B819" t="s">
        <v>10345</v>
      </c>
      <c r="C819" s="20" t="s">
        <v>10346</v>
      </c>
      <c r="D819">
        <v>1388</v>
      </c>
      <c r="E819" t="s">
        <v>9589</v>
      </c>
      <c r="F819">
        <v>50</v>
      </c>
      <c r="G819" s="28" t="s">
        <v>9590</v>
      </c>
    </row>
    <row r="820" spans="1:7" ht="28.8" x14ac:dyDescent="0.3">
      <c r="A820" t="s">
        <v>9582</v>
      </c>
      <c r="B820" t="s">
        <v>10345</v>
      </c>
      <c r="C820" s="20" t="s">
        <v>10346</v>
      </c>
      <c r="D820">
        <v>1388</v>
      </c>
      <c r="E820" t="s">
        <v>9589</v>
      </c>
      <c r="F820">
        <v>50</v>
      </c>
      <c r="G820" s="28" t="s">
        <v>9590</v>
      </c>
    </row>
    <row r="821" spans="1:7" ht="100.8" x14ac:dyDescent="0.3">
      <c r="A821" t="s">
        <v>9582</v>
      </c>
      <c r="B821" t="s">
        <v>10347</v>
      </c>
      <c r="C821" s="20" t="s">
        <v>10348</v>
      </c>
      <c r="D821">
        <v>1064</v>
      </c>
      <c r="E821" t="s">
        <v>9585</v>
      </c>
      <c r="F821">
        <v>5</v>
      </c>
      <c r="G821" s="28" t="s">
        <v>12451</v>
      </c>
    </row>
    <row r="822" spans="1:7" ht="28.8" x14ac:dyDescent="0.3">
      <c r="A822" t="s">
        <v>9582</v>
      </c>
      <c r="B822" t="s">
        <v>10349</v>
      </c>
      <c r="C822" s="20" t="s">
        <v>10350</v>
      </c>
      <c r="D822">
        <v>1063</v>
      </c>
      <c r="E822" t="s">
        <v>9589</v>
      </c>
      <c r="F822">
        <v>60</v>
      </c>
      <c r="G822" s="28" t="s">
        <v>9590</v>
      </c>
    </row>
    <row r="823" spans="1:7" ht="43.2" x14ac:dyDescent="0.3">
      <c r="A823" t="s">
        <v>9582</v>
      </c>
      <c r="B823" t="s">
        <v>10351</v>
      </c>
      <c r="C823" s="20" t="s">
        <v>10352</v>
      </c>
      <c r="D823">
        <v>539</v>
      </c>
      <c r="E823" t="s">
        <v>9616</v>
      </c>
      <c r="F823">
        <v>8</v>
      </c>
      <c r="G823" s="28" t="s">
        <v>9590</v>
      </c>
    </row>
    <row r="824" spans="1:7" ht="72" x14ac:dyDescent="0.3">
      <c r="A824" t="s">
        <v>9582</v>
      </c>
      <c r="B824" t="s">
        <v>10353</v>
      </c>
      <c r="C824" s="20" t="s">
        <v>10354</v>
      </c>
      <c r="D824">
        <v>538</v>
      </c>
      <c r="E824" t="s">
        <v>9585</v>
      </c>
      <c r="F824">
        <v>5</v>
      </c>
      <c r="G824" s="28" t="s">
        <v>12544</v>
      </c>
    </row>
    <row r="825" spans="1:7" ht="28.8" x14ac:dyDescent="0.3">
      <c r="A825" t="s">
        <v>9582</v>
      </c>
      <c r="B825" t="s">
        <v>10355</v>
      </c>
      <c r="C825" s="20" t="s">
        <v>10356</v>
      </c>
      <c r="D825">
        <v>132</v>
      </c>
      <c r="E825" t="s">
        <v>9589</v>
      </c>
      <c r="F825">
        <v>35</v>
      </c>
      <c r="G825" s="28" t="s">
        <v>9590</v>
      </c>
    </row>
    <row r="826" spans="1:7" ht="28.8" x14ac:dyDescent="0.3">
      <c r="A826" t="s">
        <v>9582</v>
      </c>
      <c r="B826" t="s">
        <v>10355</v>
      </c>
      <c r="C826" s="20" t="s">
        <v>10356</v>
      </c>
      <c r="D826">
        <v>132</v>
      </c>
      <c r="E826" t="s">
        <v>9589</v>
      </c>
      <c r="F826">
        <v>35</v>
      </c>
      <c r="G826" s="28" t="s">
        <v>9590</v>
      </c>
    </row>
    <row r="827" spans="1:7" ht="43.2" x14ac:dyDescent="0.3">
      <c r="A827" t="s">
        <v>9582</v>
      </c>
      <c r="B827" t="s">
        <v>10357</v>
      </c>
      <c r="C827" s="20" t="s">
        <v>10358</v>
      </c>
      <c r="D827">
        <v>313</v>
      </c>
      <c r="E827" t="s">
        <v>9589</v>
      </c>
      <c r="F827">
        <v>60</v>
      </c>
      <c r="G827" s="28" t="s">
        <v>9590</v>
      </c>
    </row>
    <row r="828" spans="1:7" ht="43.2" x14ac:dyDescent="0.3">
      <c r="A828" t="s">
        <v>9582</v>
      </c>
      <c r="B828" t="s">
        <v>10357</v>
      </c>
      <c r="C828" s="20" t="s">
        <v>10358</v>
      </c>
      <c r="D828">
        <v>313</v>
      </c>
      <c r="E828" t="s">
        <v>9589</v>
      </c>
      <c r="F828">
        <v>60</v>
      </c>
      <c r="G828" s="28" t="s">
        <v>9590</v>
      </c>
    </row>
    <row r="829" spans="1:7" ht="43.2" x14ac:dyDescent="0.3">
      <c r="A829" t="s">
        <v>9582</v>
      </c>
      <c r="B829" t="s">
        <v>10357</v>
      </c>
      <c r="C829" s="20" t="s">
        <v>10358</v>
      </c>
      <c r="D829">
        <v>313</v>
      </c>
      <c r="E829" t="s">
        <v>9589</v>
      </c>
      <c r="F829">
        <v>60</v>
      </c>
      <c r="G829" s="28" t="s">
        <v>9590</v>
      </c>
    </row>
    <row r="830" spans="1:7" ht="43.2" x14ac:dyDescent="0.3">
      <c r="A830" t="s">
        <v>9582</v>
      </c>
      <c r="B830" t="s">
        <v>10357</v>
      </c>
      <c r="C830" s="20" t="s">
        <v>10358</v>
      </c>
      <c r="D830">
        <v>313</v>
      </c>
      <c r="E830" t="s">
        <v>9589</v>
      </c>
      <c r="F830">
        <v>60</v>
      </c>
      <c r="G830" s="28" t="s">
        <v>9590</v>
      </c>
    </row>
    <row r="831" spans="1:7" ht="43.2" x14ac:dyDescent="0.3">
      <c r="A831" t="s">
        <v>9582</v>
      </c>
      <c r="B831" t="s">
        <v>10357</v>
      </c>
      <c r="C831" s="20" t="s">
        <v>10358</v>
      </c>
      <c r="D831">
        <v>313</v>
      </c>
      <c r="E831" t="s">
        <v>9589</v>
      </c>
      <c r="F831">
        <v>60</v>
      </c>
      <c r="G831" s="28" t="s">
        <v>9590</v>
      </c>
    </row>
    <row r="832" spans="1:7" ht="43.2" x14ac:dyDescent="0.3">
      <c r="A832" t="s">
        <v>9582</v>
      </c>
      <c r="B832" t="s">
        <v>10357</v>
      </c>
      <c r="C832" s="20" t="s">
        <v>10358</v>
      </c>
      <c r="D832">
        <v>313</v>
      </c>
      <c r="E832" t="s">
        <v>9589</v>
      </c>
      <c r="F832">
        <v>60</v>
      </c>
      <c r="G832" s="28" t="s">
        <v>9590</v>
      </c>
    </row>
    <row r="833" spans="1:7" ht="72" x14ac:dyDescent="0.3">
      <c r="A833" t="s">
        <v>9582</v>
      </c>
      <c r="B833" t="s">
        <v>10359</v>
      </c>
      <c r="C833" s="20" t="s">
        <v>10360</v>
      </c>
      <c r="D833">
        <v>1529</v>
      </c>
      <c r="E833" t="s">
        <v>9585</v>
      </c>
      <c r="F833">
        <v>5</v>
      </c>
      <c r="G833" s="28" t="s">
        <v>12545</v>
      </c>
    </row>
    <row r="834" spans="1:7" ht="100.8" x14ac:dyDescent="0.3">
      <c r="A834" t="s">
        <v>9582</v>
      </c>
      <c r="B834" t="s">
        <v>10361</v>
      </c>
      <c r="C834" s="20" t="s">
        <v>10362</v>
      </c>
      <c r="D834">
        <v>133</v>
      </c>
      <c r="E834" t="s">
        <v>9585</v>
      </c>
      <c r="F834">
        <v>5</v>
      </c>
      <c r="G834" s="28" t="s">
        <v>12546</v>
      </c>
    </row>
    <row r="835" spans="1:7" ht="100.8" x14ac:dyDescent="0.3">
      <c r="A835" t="s">
        <v>9582</v>
      </c>
      <c r="B835" t="s">
        <v>10361</v>
      </c>
      <c r="C835" s="20" t="s">
        <v>10362</v>
      </c>
      <c r="D835">
        <v>133</v>
      </c>
      <c r="E835" t="s">
        <v>9585</v>
      </c>
      <c r="F835">
        <v>5</v>
      </c>
      <c r="G835" s="28" t="s">
        <v>12546</v>
      </c>
    </row>
    <row r="836" spans="1:7" ht="100.8" x14ac:dyDescent="0.3">
      <c r="A836" t="s">
        <v>9582</v>
      </c>
      <c r="B836" t="s">
        <v>10361</v>
      </c>
      <c r="C836" s="20" t="s">
        <v>10362</v>
      </c>
      <c r="D836">
        <v>133</v>
      </c>
      <c r="E836" t="s">
        <v>9585</v>
      </c>
      <c r="F836">
        <v>5</v>
      </c>
      <c r="G836" s="28" t="s">
        <v>12546</v>
      </c>
    </row>
    <row r="837" spans="1:7" ht="409.6" x14ac:dyDescent="0.3">
      <c r="A837" t="s">
        <v>9582</v>
      </c>
      <c r="B837" t="s">
        <v>10363</v>
      </c>
      <c r="C837" s="20" t="s">
        <v>10364</v>
      </c>
      <c r="D837">
        <v>505</v>
      </c>
      <c r="E837" t="s">
        <v>9585</v>
      </c>
      <c r="F837">
        <v>5</v>
      </c>
      <c r="G837" s="28" t="s">
        <v>12547</v>
      </c>
    </row>
    <row r="838" spans="1:7" ht="43.2" x14ac:dyDescent="0.3">
      <c r="A838" t="s">
        <v>9582</v>
      </c>
      <c r="B838" t="s">
        <v>10365</v>
      </c>
      <c r="C838" s="20" t="s">
        <v>10366</v>
      </c>
      <c r="D838">
        <v>1392</v>
      </c>
      <c r="E838" t="s">
        <v>9589</v>
      </c>
      <c r="F838">
        <v>50</v>
      </c>
      <c r="G838" s="28" t="s">
        <v>9590</v>
      </c>
    </row>
    <row r="839" spans="1:7" ht="43.2" x14ac:dyDescent="0.3">
      <c r="A839" t="s">
        <v>9582</v>
      </c>
      <c r="B839" t="s">
        <v>10365</v>
      </c>
      <c r="C839" s="20" t="s">
        <v>10366</v>
      </c>
      <c r="D839">
        <v>1392</v>
      </c>
      <c r="E839" t="s">
        <v>9589</v>
      </c>
      <c r="F839">
        <v>50</v>
      </c>
      <c r="G839" s="28" t="s">
        <v>9590</v>
      </c>
    </row>
    <row r="840" spans="1:7" ht="43.2" x14ac:dyDescent="0.3">
      <c r="A840" t="s">
        <v>9582</v>
      </c>
      <c r="B840" t="s">
        <v>10365</v>
      </c>
      <c r="C840" s="20" t="s">
        <v>10366</v>
      </c>
      <c r="D840">
        <v>1392</v>
      </c>
      <c r="E840" t="s">
        <v>9589</v>
      </c>
      <c r="F840">
        <v>50</v>
      </c>
      <c r="G840" s="28" t="s">
        <v>9590</v>
      </c>
    </row>
    <row r="841" spans="1:7" ht="43.2" x14ac:dyDescent="0.3">
      <c r="A841" t="s">
        <v>9582</v>
      </c>
      <c r="B841" t="s">
        <v>10365</v>
      </c>
      <c r="C841" s="20" t="s">
        <v>10366</v>
      </c>
      <c r="D841">
        <v>1392</v>
      </c>
      <c r="E841" t="s">
        <v>9589</v>
      </c>
      <c r="F841">
        <v>50</v>
      </c>
      <c r="G841" s="28" t="s">
        <v>9590</v>
      </c>
    </row>
    <row r="842" spans="1:7" ht="43.2" x14ac:dyDescent="0.3">
      <c r="A842" t="s">
        <v>9582</v>
      </c>
      <c r="B842" t="s">
        <v>10367</v>
      </c>
      <c r="C842" s="20" t="s">
        <v>10368</v>
      </c>
      <c r="D842">
        <v>622</v>
      </c>
      <c r="E842" t="s">
        <v>9633</v>
      </c>
      <c r="F842">
        <v>1.2</v>
      </c>
      <c r="G842" s="28" t="s">
        <v>9590</v>
      </c>
    </row>
    <row r="843" spans="1:7" ht="43.2" x14ac:dyDescent="0.3">
      <c r="A843" t="s">
        <v>9582</v>
      </c>
      <c r="B843" t="s">
        <v>10367</v>
      </c>
      <c r="C843" s="20" t="s">
        <v>10368</v>
      </c>
      <c r="D843">
        <v>622</v>
      </c>
      <c r="E843" t="s">
        <v>9633</v>
      </c>
      <c r="F843">
        <v>1.2</v>
      </c>
      <c r="G843" s="28" t="s">
        <v>9590</v>
      </c>
    </row>
    <row r="844" spans="1:7" ht="72" x14ac:dyDescent="0.3">
      <c r="A844" t="s">
        <v>9582</v>
      </c>
      <c r="B844" t="s">
        <v>10369</v>
      </c>
      <c r="C844" s="20" t="s">
        <v>10370</v>
      </c>
      <c r="D844">
        <v>134</v>
      </c>
      <c r="E844" t="s">
        <v>9585</v>
      </c>
      <c r="F844">
        <v>5</v>
      </c>
      <c r="G844" s="28" t="s">
        <v>12548</v>
      </c>
    </row>
    <row r="845" spans="1:7" ht="72" x14ac:dyDescent="0.3">
      <c r="A845" t="s">
        <v>9582</v>
      </c>
      <c r="B845" t="s">
        <v>10369</v>
      </c>
      <c r="C845" s="20" t="s">
        <v>10370</v>
      </c>
      <c r="D845">
        <v>134</v>
      </c>
      <c r="E845" t="s">
        <v>9585</v>
      </c>
      <c r="F845">
        <v>5</v>
      </c>
      <c r="G845" s="28" t="s">
        <v>12548</v>
      </c>
    </row>
    <row r="846" spans="1:7" ht="72" x14ac:dyDescent="0.3">
      <c r="A846" t="s">
        <v>9582</v>
      </c>
      <c r="B846" t="s">
        <v>10369</v>
      </c>
      <c r="C846" s="20" t="s">
        <v>10370</v>
      </c>
      <c r="D846">
        <v>134</v>
      </c>
      <c r="E846" t="s">
        <v>9585</v>
      </c>
      <c r="F846">
        <v>5</v>
      </c>
      <c r="G846" s="28" t="s">
        <v>12548</v>
      </c>
    </row>
    <row r="847" spans="1:7" ht="115.2" x14ac:dyDescent="0.3">
      <c r="A847" t="s">
        <v>9582</v>
      </c>
      <c r="B847" t="s">
        <v>10371</v>
      </c>
      <c r="C847" s="20" t="s">
        <v>10372</v>
      </c>
      <c r="D847">
        <v>568</v>
      </c>
      <c r="E847" t="s">
        <v>9585</v>
      </c>
      <c r="F847">
        <v>5</v>
      </c>
      <c r="G847" s="28" t="s">
        <v>9590</v>
      </c>
    </row>
    <row r="848" spans="1:7" ht="115.2" x14ac:dyDescent="0.3">
      <c r="A848" t="s">
        <v>9582</v>
      </c>
      <c r="B848" t="s">
        <v>10371</v>
      </c>
      <c r="C848" s="20" t="s">
        <v>10372</v>
      </c>
      <c r="D848">
        <v>568</v>
      </c>
      <c r="E848" t="s">
        <v>9585</v>
      </c>
      <c r="F848">
        <v>5</v>
      </c>
      <c r="G848" s="28" t="s">
        <v>9590</v>
      </c>
    </row>
    <row r="849" spans="1:7" ht="86.4" x14ac:dyDescent="0.3">
      <c r="A849" t="s">
        <v>9582</v>
      </c>
      <c r="B849" t="s">
        <v>10373</v>
      </c>
      <c r="C849" s="20" t="s">
        <v>10374</v>
      </c>
      <c r="D849">
        <v>1519</v>
      </c>
      <c r="E849" t="s">
        <v>9633</v>
      </c>
      <c r="F849">
        <v>3.1</v>
      </c>
      <c r="G849" s="28" t="s">
        <v>9590</v>
      </c>
    </row>
    <row r="850" spans="1:7" ht="43.2" x14ac:dyDescent="0.3">
      <c r="A850" t="s">
        <v>9582</v>
      </c>
      <c r="B850" t="s">
        <v>10375</v>
      </c>
      <c r="C850" s="20" t="s">
        <v>10376</v>
      </c>
      <c r="D850">
        <v>1350</v>
      </c>
      <c r="E850" t="s">
        <v>9616</v>
      </c>
      <c r="F850">
        <v>8</v>
      </c>
      <c r="G850" s="28" t="s">
        <v>9590</v>
      </c>
    </row>
    <row r="851" spans="1:7" ht="72" x14ac:dyDescent="0.3">
      <c r="A851" t="s">
        <v>9582</v>
      </c>
      <c r="B851" t="s">
        <v>10377</v>
      </c>
      <c r="C851" s="20" t="s">
        <v>10378</v>
      </c>
      <c r="D851">
        <v>136</v>
      </c>
      <c r="E851" t="s">
        <v>9589</v>
      </c>
      <c r="F851">
        <v>80</v>
      </c>
      <c r="G851" s="28" t="s">
        <v>9590</v>
      </c>
    </row>
    <row r="852" spans="1:7" ht="72" x14ac:dyDescent="0.3">
      <c r="A852" t="s">
        <v>9582</v>
      </c>
      <c r="B852" t="s">
        <v>10377</v>
      </c>
      <c r="C852" s="20" t="s">
        <v>10378</v>
      </c>
      <c r="D852">
        <v>136</v>
      </c>
      <c r="E852" t="s">
        <v>9589</v>
      </c>
      <c r="F852">
        <v>80</v>
      </c>
      <c r="G852" s="28" t="s">
        <v>9590</v>
      </c>
    </row>
    <row r="853" spans="1:7" ht="72" x14ac:dyDescent="0.3">
      <c r="A853" t="s">
        <v>9582</v>
      </c>
      <c r="B853" t="s">
        <v>10377</v>
      </c>
      <c r="C853" s="20" t="s">
        <v>10378</v>
      </c>
      <c r="D853">
        <v>136</v>
      </c>
      <c r="E853" t="s">
        <v>9589</v>
      </c>
      <c r="F853">
        <v>80</v>
      </c>
      <c r="G853" s="28" t="s">
        <v>9590</v>
      </c>
    </row>
    <row r="854" spans="1:7" ht="28.8" x14ac:dyDescent="0.3">
      <c r="A854" t="s">
        <v>9582</v>
      </c>
      <c r="B854" t="s">
        <v>10379</v>
      </c>
      <c r="C854" s="20" t="s">
        <v>10380</v>
      </c>
      <c r="D854">
        <v>311</v>
      </c>
      <c r="E854" t="s">
        <v>9589</v>
      </c>
      <c r="F854">
        <v>60</v>
      </c>
      <c r="G854" s="28" t="s">
        <v>9590</v>
      </c>
    </row>
    <row r="855" spans="1:7" ht="28.8" x14ac:dyDescent="0.3">
      <c r="A855" t="s">
        <v>9582</v>
      </c>
      <c r="B855" t="s">
        <v>10379</v>
      </c>
      <c r="C855" s="20" t="s">
        <v>10380</v>
      </c>
      <c r="D855">
        <v>311</v>
      </c>
      <c r="E855" t="s">
        <v>9589</v>
      </c>
      <c r="F855">
        <v>60</v>
      </c>
      <c r="G855" s="28" t="s">
        <v>9590</v>
      </c>
    </row>
    <row r="856" spans="1:7" ht="28.8" x14ac:dyDescent="0.3">
      <c r="A856" t="s">
        <v>9582</v>
      </c>
      <c r="B856" t="s">
        <v>10379</v>
      </c>
      <c r="C856" s="20" t="s">
        <v>10380</v>
      </c>
      <c r="D856">
        <v>311</v>
      </c>
      <c r="E856" t="s">
        <v>9589</v>
      </c>
      <c r="F856">
        <v>60</v>
      </c>
      <c r="G856" s="28" t="s">
        <v>9590</v>
      </c>
    </row>
    <row r="857" spans="1:7" ht="100.8" x14ac:dyDescent="0.3">
      <c r="A857" t="s">
        <v>9582</v>
      </c>
      <c r="B857" t="s">
        <v>10381</v>
      </c>
      <c r="C857" s="20" t="s">
        <v>10382</v>
      </c>
      <c r="D857">
        <v>312</v>
      </c>
      <c r="E857" t="s">
        <v>9585</v>
      </c>
      <c r="F857">
        <v>5</v>
      </c>
      <c r="G857" s="28" t="s">
        <v>12549</v>
      </c>
    </row>
    <row r="858" spans="1:7" ht="100.8" x14ac:dyDescent="0.3">
      <c r="A858" t="s">
        <v>9582</v>
      </c>
      <c r="B858" t="s">
        <v>10381</v>
      </c>
      <c r="C858" s="20" t="s">
        <v>10382</v>
      </c>
      <c r="D858">
        <v>312</v>
      </c>
      <c r="E858" t="s">
        <v>9585</v>
      </c>
      <c r="F858">
        <v>5</v>
      </c>
      <c r="G858" s="28" t="s">
        <v>12549</v>
      </c>
    </row>
    <row r="859" spans="1:7" ht="100.8" x14ac:dyDescent="0.3">
      <c r="A859" t="s">
        <v>9582</v>
      </c>
      <c r="B859" t="s">
        <v>10381</v>
      </c>
      <c r="C859" s="20" t="s">
        <v>10382</v>
      </c>
      <c r="D859">
        <v>312</v>
      </c>
      <c r="E859" t="s">
        <v>9585</v>
      </c>
      <c r="F859">
        <v>5</v>
      </c>
      <c r="G859" s="28" t="s">
        <v>12549</v>
      </c>
    </row>
    <row r="860" spans="1:7" ht="28.8" x14ac:dyDescent="0.3">
      <c r="A860" t="s">
        <v>9582</v>
      </c>
      <c r="B860" t="s">
        <v>10383</v>
      </c>
      <c r="C860" s="20" t="s">
        <v>10384</v>
      </c>
      <c r="D860">
        <v>1414</v>
      </c>
      <c r="E860" t="s">
        <v>9589</v>
      </c>
      <c r="F860">
        <v>20</v>
      </c>
      <c r="G860" s="28" t="s">
        <v>9590</v>
      </c>
    </row>
    <row r="861" spans="1:7" ht="28.8" x14ac:dyDescent="0.3">
      <c r="A861" t="s">
        <v>9582</v>
      </c>
      <c r="B861" t="s">
        <v>10383</v>
      </c>
      <c r="C861" s="20" t="s">
        <v>10384</v>
      </c>
      <c r="D861">
        <v>1414</v>
      </c>
      <c r="E861" t="s">
        <v>9589</v>
      </c>
      <c r="F861">
        <v>20</v>
      </c>
      <c r="G861" s="28" t="s">
        <v>9590</v>
      </c>
    </row>
    <row r="862" spans="1:7" ht="28.8" x14ac:dyDescent="0.3">
      <c r="A862" t="s">
        <v>9582</v>
      </c>
      <c r="B862" t="s">
        <v>10383</v>
      </c>
      <c r="C862" s="20" t="s">
        <v>10384</v>
      </c>
      <c r="D862">
        <v>1414</v>
      </c>
      <c r="E862" t="s">
        <v>9589</v>
      </c>
      <c r="F862">
        <v>20</v>
      </c>
      <c r="G862" s="28" t="s">
        <v>9590</v>
      </c>
    </row>
    <row r="863" spans="1:7" ht="331.2" x14ac:dyDescent="0.3">
      <c r="A863" t="s">
        <v>9582</v>
      </c>
      <c r="B863" t="s">
        <v>10385</v>
      </c>
      <c r="C863" s="20" t="s">
        <v>10386</v>
      </c>
      <c r="D863">
        <v>140</v>
      </c>
      <c r="E863" t="s">
        <v>9585</v>
      </c>
      <c r="F863">
        <v>5</v>
      </c>
      <c r="G863" s="28" t="s">
        <v>12430</v>
      </c>
    </row>
    <row r="864" spans="1:7" ht="86.4" x14ac:dyDescent="0.3">
      <c r="A864" t="s">
        <v>9582</v>
      </c>
      <c r="B864" t="s">
        <v>12364</v>
      </c>
      <c r="C864" s="20" t="s">
        <v>10387</v>
      </c>
      <c r="D864">
        <v>671</v>
      </c>
      <c r="E864" t="s">
        <v>9633</v>
      </c>
      <c r="F864">
        <v>1.4</v>
      </c>
      <c r="G864" s="28" t="s">
        <v>9590</v>
      </c>
    </row>
    <row r="865" spans="1:7" ht="100.8" x14ac:dyDescent="0.3">
      <c r="A865" t="s">
        <v>9582</v>
      </c>
      <c r="B865" t="s">
        <v>10388</v>
      </c>
      <c r="C865" s="20" t="s">
        <v>10389</v>
      </c>
      <c r="D865">
        <v>669</v>
      </c>
      <c r="E865" t="s">
        <v>9633</v>
      </c>
      <c r="F865">
        <v>1.4</v>
      </c>
      <c r="G865" s="28" t="s">
        <v>9590</v>
      </c>
    </row>
    <row r="866" spans="1:7" ht="57.6" x14ac:dyDescent="0.3">
      <c r="A866" t="s">
        <v>9582</v>
      </c>
      <c r="B866" t="s">
        <v>10390</v>
      </c>
      <c r="C866" s="20" t="s">
        <v>10391</v>
      </c>
      <c r="D866">
        <v>665</v>
      </c>
      <c r="E866" t="s">
        <v>9633</v>
      </c>
      <c r="F866">
        <v>2.2000000000000002</v>
      </c>
      <c r="G866" s="28" t="s">
        <v>9590</v>
      </c>
    </row>
    <row r="867" spans="1:7" ht="57.6" x14ac:dyDescent="0.3">
      <c r="A867" t="s">
        <v>9582</v>
      </c>
      <c r="B867" t="s">
        <v>10392</v>
      </c>
      <c r="C867" s="20" t="s">
        <v>10393</v>
      </c>
      <c r="D867">
        <v>667</v>
      </c>
      <c r="E867" t="s">
        <v>9633</v>
      </c>
      <c r="F867">
        <v>2.2000000000000002</v>
      </c>
      <c r="G867" s="28" t="s">
        <v>9590</v>
      </c>
    </row>
    <row r="868" spans="1:7" ht="57.6" x14ac:dyDescent="0.3">
      <c r="A868" t="s">
        <v>9582</v>
      </c>
      <c r="B868" t="s">
        <v>10394</v>
      </c>
      <c r="C868" s="20" t="s">
        <v>10395</v>
      </c>
      <c r="D868">
        <v>666</v>
      </c>
      <c r="E868" t="s">
        <v>9633</v>
      </c>
      <c r="F868">
        <v>2.2000000000000002</v>
      </c>
      <c r="G868" s="28" t="s">
        <v>9590</v>
      </c>
    </row>
    <row r="869" spans="1:7" ht="28.8" x14ac:dyDescent="0.3">
      <c r="A869" t="s">
        <v>9582</v>
      </c>
      <c r="B869" t="s">
        <v>10396</v>
      </c>
      <c r="C869" s="20" t="s">
        <v>10397</v>
      </c>
      <c r="D869">
        <v>143</v>
      </c>
      <c r="E869" t="s">
        <v>9616</v>
      </c>
      <c r="F869">
        <v>8</v>
      </c>
      <c r="G869" s="28" t="s">
        <v>9590</v>
      </c>
    </row>
    <row r="870" spans="1:7" ht="28.8" x14ac:dyDescent="0.3">
      <c r="A870" t="s">
        <v>9582</v>
      </c>
      <c r="B870" t="s">
        <v>10398</v>
      </c>
      <c r="C870" s="20" t="s">
        <v>10399</v>
      </c>
      <c r="D870">
        <v>144</v>
      </c>
      <c r="E870" t="s">
        <v>9616</v>
      </c>
      <c r="F870">
        <v>8</v>
      </c>
      <c r="G870" s="28" t="s">
        <v>9590</v>
      </c>
    </row>
    <row r="871" spans="1:7" ht="86.4" x14ac:dyDescent="0.3">
      <c r="A871" t="s">
        <v>9582</v>
      </c>
      <c r="B871" t="s">
        <v>10400</v>
      </c>
      <c r="C871" s="20" t="s">
        <v>10401</v>
      </c>
      <c r="D871">
        <v>1434</v>
      </c>
      <c r="E871" t="s">
        <v>9585</v>
      </c>
      <c r="F871">
        <v>5</v>
      </c>
      <c r="G871" s="28" t="s">
        <v>12550</v>
      </c>
    </row>
    <row r="872" spans="1:7" ht="28.8" x14ac:dyDescent="0.3">
      <c r="A872" t="s">
        <v>9582</v>
      </c>
      <c r="B872" t="s">
        <v>10402</v>
      </c>
      <c r="C872" s="20" t="s">
        <v>10403</v>
      </c>
      <c r="D872">
        <v>554</v>
      </c>
      <c r="E872" t="s">
        <v>9589</v>
      </c>
      <c r="F872">
        <v>80</v>
      </c>
      <c r="G872" s="28" t="s">
        <v>9590</v>
      </c>
    </row>
    <row r="873" spans="1:7" ht="28.8" x14ac:dyDescent="0.3">
      <c r="A873" t="s">
        <v>9582</v>
      </c>
      <c r="B873" t="s">
        <v>10404</v>
      </c>
      <c r="C873" s="20" t="s">
        <v>10405</v>
      </c>
      <c r="D873">
        <v>553</v>
      </c>
      <c r="E873" t="s">
        <v>9616</v>
      </c>
      <c r="F873">
        <v>8</v>
      </c>
      <c r="G873" s="28" t="s">
        <v>9590</v>
      </c>
    </row>
    <row r="874" spans="1:7" ht="43.2" x14ac:dyDescent="0.3">
      <c r="A874" t="s">
        <v>9582</v>
      </c>
      <c r="B874" t="s">
        <v>10406</v>
      </c>
      <c r="C874" s="20" t="s">
        <v>10407</v>
      </c>
      <c r="D874">
        <v>552</v>
      </c>
      <c r="E874" t="s">
        <v>9589</v>
      </c>
      <c r="F874">
        <v>80</v>
      </c>
      <c r="G874" s="28" t="s">
        <v>9590</v>
      </c>
    </row>
    <row r="875" spans="1:7" ht="43.2" x14ac:dyDescent="0.3">
      <c r="A875" t="s">
        <v>9582</v>
      </c>
      <c r="B875" t="s">
        <v>10408</v>
      </c>
      <c r="C875" s="20" t="s">
        <v>10409</v>
      </c>
      <c r="D875">
        <v>556</v>
      </c>
      <c r="E875" t="s">
        <v>9589</v>
      </c>
      <c r="F875">
        <v>80</v>
      </c>
      <c r="G875" s="28" t="s">
        <v>9590</v>
      </c>
    </row>
    <row r="876" spans="1:7" ht="28.8" x14ac:dyDescent="0.3">
      <c r="A876" t="s">
        <v>9582</v>
      </c>
      <c r="B876" t="s">
        <v>10410</v>
      </c>
      <c r="C876" s="20" t="s">
        <v>10411</v>
      </c>
      <c r="D876">
        <v>555</v>
      </c>
      <c r="E876" t="s">
        <v>9616</v>
      </c>
      <c r="F876">
        <v>8</v>
      </c>
      <c r="G876" s="28" t="s">
        <v>9590</v>
      </c>
    </row>
    <row r="877" spans="1:7" ht="43.2" x14ac:dyDescent="0.3">
      <c r="A877" t="s">
        <v>9582</v>
      </c>
      <c r="B877" t="s">
        <v>10412</v>
      </c>
      <c r="C877" s="20" t="s">
        <v>10413</v>
      </c>
      <c r="D877">
        <v>523</v>
      </c>
      <c r="E877" t="s">
        <v>9633</v>
      </c>
      <c r="F877">
        <v>6.2</v>
      </c>
      <c r="G877" s="28" t="s">
        <v>9590</v>
      </c>
    </row>
    <row r="878" spans="1:7" ht="72" x14ac:dyDescent="0.3">
      <c r="A878" t="s">
        <v>9582</v>
      </c>
      <c r="B878" t="s">
        <v>10414</v>
      </c>
      <c r="C878" s="20" t="s">
        <v>12365</v>
      </c>
      <c r="D878">
        <v>1299</v>
      </c>
      <c r="E878" t="s">
        <v>9585</v>
      </c>
      <c r="F878">
        <v>5</v>
      </c>
      <c r="G878" s="28" t="s">
        <v>12551</v>
      </c>
    </row>
    <row r="879" spans="1:7" ht="43.2" x14ac:dyDescent="0.3">
      <c r="A879" t="s">
        <v>9582</v>
      </c>
      <c r="B879" t="s">
        <v>10415</v>
      </c>
      <c r="C879" s="20" t="s">
        <v>10416</v>
      </c>
      <c r="D879">
        <v>1878</v>
      </c>
      <c r="E879" t="s">
        <v>9589</v>
      </c>
      <c r="F879">
        <v>50</v>
      </c>
      <c r="G879" s="28" t="s">
        <v>9590</v>
      </c>
    </row>
    <row r="880" spans="1:7" ht="187.2" x14ac:dyDescent="0.3">
      <c r="A880" t="s">
        <v>9582</v>
      </c>
      <c r="B880" t="s">
        <v>10417</v>
      </c>
      <c r="C880" s="20" t="s">
        <v>10418</v>
      </c>
      <c r="D880">
        <v>602</v>
      </c>
      <c r="E880" t="s">
        <v>9585</v>
      </c>
      <c r="F880">
        <v>5</v>
      </c>
      <c r="G880" s="28" t="s">
        <v>12552</v>
      </c>
    </row>
    <row r="881" spans="1:7" ht="28.8" x14ac:dyDescent="0.3">
      <c r="A881" t="s">
        <v>9582</v>
      </c>
      <c r="B881" t="s">
        <v>10419</v>
      </c>
      <c r="C881" s="20" t="s">
        <v>10420</v>
      </c>
      <c r="D881">
        <v>364</v>
      </c>
      <c r="E881" t="s">
        <v>9589</v>
      </c>
      <c r="F881">
        <v>60</v>
      </c>
      <c r="G881" s="28" t="s">
        <v>9590</v>
      </c>
    </row>
    <row r="882" spans="1:7" ht="57.6" x14ac:dyDescent="0.3">
      <c r="A882" t="s">
        <v>9582</v>
      </c>
      <c r="B882" t="s">
        <v>10421</v>
      </c>
      <c r="C882" s="20" t="s">
        <v>10422</v>
      </c>
      <c r="D882">
        <v>753</v>
      </c>
      <c r="E882" t="s">
        <v>9616</v>
      </c>
      <c r="F882">
        <v>8</v>
      </c>
      <c r="G882" s="28" t="s">
        <v>9590</v>
      </c>
    </row>
    <row r="883" spans="1:7" ht="28.8" x14ac:dyDescent="0.3">
      <c r="A883" t="s">
        <v>9582</v>
      </c>
      <c r="B883" t="s">
        <v>10423</v>
      </c>
      <c r="C883" s="20" t="s">
        <v>10424</v>
      </c>
      <c r="D883">
        <v>348</v>
      </c>
      <c r="E883" t="s">
        <v>9589</v>
      </c>
      <c r="F883">
        <v>35</v>
      </c>
      <c r="G883" s="28" t="s">
        <v>9590</v>
      </c>
    </row>
    <row r="884" spans="1:7" ht="28.8" x14ac:dyDescent="0.3">
      <c r="A884" t="s">
        <v>9582</v>
      </c>
      <c r="B884" t="s">
        <v>10423</v>
      </c>
      <c r="C884" s="20" t="s">
        <v>10424</v>
      </c>
      <c r="D884">
        <v>348</v>
      </c>
      <c r="E884" t="s">
        <v>9589</v>
      </c>
      <c r="F884">
        <v>35</v>
      </c>
      <c r="G884" s="28" t="s">
        <v>9590</v>
      </c>
    </row>
    <row r="885" spans="1:7" ht="43.2" x14ac:dyDescent="0.3">
      <c r="A885" t="s">
        <v>9582</v>
      </c>
      <c r="B885" t="s">
        <v>10425</v>
      </c>
      <c r="C885" s="20" t="s">
        <v>10426</v>
      </c>
      <c r="D885">
        <v>752</v>
      </c>
      <c r="E885" t="s">
        <v>9589</v>
      </c>
      <c r="F885">
        <v>80</v>
      </c>
      <c r="G885" s="28" t="s">
        <v>9590</v>
      </c>
    </row>
    <row r="886" spans="1:7" ht="57.6" x14ac:dyDescent="0.3">
      <c r="A886" t="s">
        <v>9582</v>
      </c>
      <c r="B886" t="s">
        <v>10427</v>
      </c>
      <c r="C886" s="20" t="s">
        <v>10428</v>
      </c>
      <c r="D886">
        <v>799</v>
      </c>
      <c r="E886" t="s">
        <v>9585</v>
      </c>
      <c r="F886">
        <v>5</v>
      </c>
      <c r="G886" s="28" t="s">
        <v>12553</v>
      </c>
    </row>
    <row r="887" spans="1:7" ht="57.6" x14ac:dyDescent="0.3">
      <c r="A887" t="s">
        <v>9582</v>
      </c>
      <c r="B887" t="s">
        <v>10429</v>
      </c>
      <c r="C887" s="20" t="s">
        <v>10430</v>
      </c>
      <c r="D887">
        <v>1140</v>
      </c>
      <c r="E887" t="s">
        <v>9585</v>
      </c>
      <c r="F887">
        <v>5</v>
      </c>
      <c r="G887" s="28" t="s">
        <v>9586</v>
      </c>
    </row>
    <row r="888" spans="1:7" ht="57.6" x14ac:dyDescent="0.3">
      <c r="A888" t="s">
        <v>9582</v>
      </c>
      <c r="B888" t="s">
        <v>10431</v>
      </c>
      <c r="C888" s="20" t="s">
        <v>10432</v>
      </c>
      <c r="D888">
        <v>389</v>
      </c>
      <c r="E888" t="s">
        <v>9589</v>
      </c>
      <c r="F888">
        <v>45</v>
      </c>
      <c r="G888" s="28" t="s">
        <v>9590</v>
      </c>
    </row>
    <row r="889" spans="1:7" ht="28.8" x14ac:dyDescent="0.3">
      <c r="A889" t="s">
        <v>9582</v>
      </c>
      <c r="B889" t="s">
        <v>10433</v>
      </c>
      <c r="C889" s="20" t="s">
        <v>10434</v>
      </c>
      <c r="D889">
        <v>1423</v>
      </c>
      <c r="E889" t="s">
        <v>9589</v>
      </c>
      <c r="F889">
        <v>35</v>
      </c>
      <c r="G889" s="28" t="s">
        <v>9590</v>
      </c>
    </row>
    <row r="890" spans="1:7" ht="72" x14ac:dyDescent="0.3">
      <c r="A890" t="s">
        <v>9582</v>
      </c>
      <c r="B890" t="s">
        <v>10435</v>
      </c>
      <c r="C890" s="20" t="s">
        <v>10436</v>
      </c>
      <c r="D890">
        <v>349</v>
      </c>
      <c r="E890" t="s">
        <v>9589</v>
      </c>
      <c r="F890">
        <v>35</v>
      </c>
      <c r="G890" s="28" t="s">
        <v>9590</v>
      </c>
    </row>
    <row r="891" spans="1:7" ht="72" x14ac:dyDescent="0.3">
      <c r="A891" t="s">
        <v>9582</v>
      </c>
      <c r="B891" t="s">
        <v>10435</v>
      </c>
      <c r="C891" s="20" t="s">
        <v>10436</v>
      </c>
      <c r="D891">
        <v>349</v>
      </c>
      <c r="E891" t="s">
        <v>9589</v>
      </c>
      <c r="F891">
        <v>35</v>
      </c>
      <c r="G891" s="28" t="s">
        <v>9590</v>
      </c>
    </row>
    <row r="892" spans="1:7" ht="28.8" x14ac:dyDescent="0.3">
      <c r="A892" t="s">
        <v>9582</v>
      </c>
      <c r="B892" t="s">
        <v>10437</v>
      </c>
      <c r="C892" s="20" t="s">
        <v>10438</v>
      </c>
      <c r="D892">
        <v>548</v>
      </c>
      <c r="E892" t="s">
        <v>9633</v>
      </c>
      <c r="F892">
        <v>4.2</v>
      </c>
      <c r="G892" s="28" t="s">
        <v>9590</v>
      </c>
    </row>
    <row r="893" spans="1:7" ht="57.6" x14ac:dyDescent="0.3">
      <c r="A893" t="s">
        <v>9582</v>
      </c>
      <c r="B893" t="s">
        <v>10439</v>
      </c>
      <c r="C893" s="20" t="s">
        <v>10440</v>
      </c>
      <c r="D893">
        <v>477</v>
      </c>
      <c r="E893" t="s">
        <v>9633</v>
      </c>
      <c r="F893">
        <v>2.2000000000000002</v>
      </c>
      <c r="G893" s="28" t="s">
        <v>9590</v>
      </c>
    </row>
    <row r="894" spans="1:7" ht="57.6" x14ac:dyDescent="0.3">
      <c r="A894" t="s">
        <v>9582</v>
      </c>
      <c r="B894" t="s">
        <v>10441</v>
      </c>
      <c r="C894" s="20" t="s">
        <v>10442</v>
      </c>
      <c r="D894">
        <v>479</v>
      </c>
      <c r="E894" t="s">
        <v>9633</v>
      </c>
      <c r="F894">
        <v>2.2000000000000002</v>
      </c>
      <c r="G894" s="28" t="s">
        <v>9590</v>
      </c>
    </row>
    <row r="895" spans="1:7" ht="43.2" x14ac:dyDescent="0.3">
      <c r="A895" t="s">
        <v>9582</v>
      </c>
      <c r="B895" t="s">
        <v>10443</v>
      </c>
      <c r="C895" s="20" t="s">
        <v>10444</v>
      </c>
      <c r="D895">
        <v>309</v>
      </c>
      <c r="E895" t="s">
        <v>9616</v>
      </c>
      <c r="F895">
        <v>8</v>
      </c>
      <c r="G895" s="28" t="s">
        <v>9590</v>
      </c>
    </row>
    <row r="896" spans="1:7" ht="144" x14ac:dyDescent="0.3">
      <c r="A896" t="s">
        <v>9582</v>
      </c>
      <c r="B896" t="s">
        <v>10445</v>
      </c>
      <c r="C896" s="20" t="s">
        <v>10446</v>
      </c>
      <c r="D896">
        <v>792</v>
      </c>
      <c r="E896" t="s">
        <v>9585</v>
      </c>
      <c r="F896">
        <v>5</v>
      </c>
      <c r="G896" s="28" t="s">
        <v>12554</v>
      </c>
    </row>
    <row r="897" spans="1:7" ht="43.2" x14ac:dyDescent="0.3">
      <c r="A897" t="s">
        <v>9582</v>
      </c>
      <c r="B897" t="s">
        <v>10447</v>
      </c>
      <c r="C897" s="20" t="s">
        <v>10448</v>
      </c>
      <c r="D897">
        <v>793</v>
      </c>
      <c r="E897" t="s">
        <v>9589</v>
      </c>
      <c r="F897">
        <v>35</v>
      </c>
      <c r="G897" s="28" t="s">
        <v>9590</v>
      </c>
    </row>
    <row r="898" spans="1:7" ht="72" x14ac:dyDescent="0.3">
      <c r="A898" t="s">
        <v>9582</v>
      </c>
      <c r="B898" t="s">
        <v>10449</v>
      </c>
      <c r="C898" s="20" t="s">
        <v>10450</v>
      </c>
      <c r="D898">
        <v>1245</v>
      </c>
      <c r="E898" t="s">
        <v>9585</v>
      </c>
      <c r="F898">
        <v>5</v>
      </c>
      <c r="G898" s="28" t="s">
        <v>12555</v>
      </c>
    </row>
    <row r="899" spans="1:7" ht="72" x14ac:dyDescent="0.3">
      <c r="A899" t="s">
        <v>9582</v>
      </c>
      <c r="B899" t="s">
        <v>10451</v>
      </c>
      <c r="C899" s="20" t="s">
        <v>10452</v>
      </c>
      <c r="D899">
        <v>1234</v>
      </c>
      <c r="E899" t="s">
        <v>9585</v>
      </c>
      <c r="F899">
        <v>5</v>
      </c>
      <c r="G899" s="28" t="s">
        <v>12486</v>
      </c>
    </row>
    <row r="900" spans="1:7" ht="72" x14ac:dyDescent="0.3">
      <c r="A900" t="s">
        <v>9582</v>
      </c>
      <c r="B900" t="s">
        <v>10451</v>
      </c>
      <c r="C900" s="20" t="s">
        <v>10452</v>
      </c>
      <c r="D900">
        <v>1234</v>
      </c>
      <c r="E900" t="s">
        <v>9585</v>
      </c>
      <c r="F900">
        <v>5</v>
      </c>
      <c r="G900" s="28" t="s">
        <v>12486</v>
      </c>
    </row>
    <row r="901" spans="1:7" ht="72" x14ac:dyDescent="0.3">
      <c r="A901" t="s">
        <v>9582</v>
      </c>
      <c r="B901" t="s">
        <v>10451</v>
      </c>
      <c r="C901" s="20" t="s">
        <v>10452</v>
      </c>
      <c r="D901">
        <v>1234</v>
      </c>
      <c r="E901" t="s">
        <v>9585</v>
      </c>
      <c r="F901">
        <v>5</v>
      </c>
      <c r="G901" s="28" t="s">
        <v>12486</v>
      </c>
    </row>
    <row r="902" spans="1:7" ht="409.6" x14ac:dyDescent="0.3">
      <c r="A902" t="s">
        <v>9582</v>
      </c>
      <c r="B902" t="s">
        <v>10453</v>
      </c>
      <c r="C902" s="20" t="s">
        <v>10454</v>
      </c>
      <c r="D902">
        <v>647</v>
      </c>
      <c r="E902" t="s">
        <v>9585</v>
      </c>
      <c r="F902">
        <v>5</v>
      </c>
      <c r="G902" s="28" t="s">
        <v>12489</v>
      </c>
    </row>
    <row r="903" spans="1:7" ht="230.4" x14ac:dyDescent="0.3">
      <c r="A903" t="s">
        <v>9582</v>
      </c>
      <c r="B903" t="s">
        <v>10455</v>
      </c>
      <c r="C903" s="20" t="s">
        <v>10456</v>
      </c>
      <c r="D903">
        <v>355</v>
      </c>
      <c r="E903" t="s">
        <v>9585</v>
      </c>
      <c r="F903">
        <v>5</v>
      </c>
      <c r="G903" s="28" t="s">
        <v>12556</v>
      </c>
    </row>
    <row r="904" spans="1:7" ht="230.4" x14ac:dyDescent="0.3">
      <c r="A904" t="s">
        <v>9582</v>
      </c>
      <c r="B904" t="s">
        <v>10455</v>
      </c>
      <c r="C904" s="20" t="s">
        <v>10456</v>
      </c>
      <c r="D904">
        <v>355</v>
      </c>
      <c r="E904" t="s">
        <v>9585</v>
      </c>
      <c r="F904">
        <v>5</v>
      </c>
      <c r="G904" s="28" t="s">
        <v>12556</v>
      </c>
    </row>
    <row r="905" spans="1:7" ht="144" x14ac:dyDescent="0.3">
      <c r="A905" t="s">
        <v>9582</v>
      </c>
      <c r="B905" t="s">
        <v>10457</v>
      </c>
      <c r="C905" s="20" t="s">
        <v>10458</v>
      </c>
      <c r="D905">
        <v>353</v>
      </c>
      <c r="E905" t="s">
        <v>9585</v>
      </c>
      <c r="F905">
        <v>5</v>
      </c>
      <c r="G905" s="28" t="s">
        <v>12557</v>
      </c>
    </row>
    <row r="906" spans="1:7" ht="144" x14ac:dyDescent="0.3">
      <c r="A906" t="s">
        <v>9582</v>
      </c>
      <c r="B906" t="s">
        <v>10457</v>
      </c>
      <c r="C906" s="20" t="s">
        <v>10458</v>
      </c>
      <c r="D906">
        <v>353</v>
      </c>
      <c r="E906" t="s">
        <v>9585</v>
      </c>
      <c r="F906">
        <v>5</v>
      </c>
      <c r="G906" s="28" t="s">
        <v>12557</v>
      </c>
    </row>
    <row r="907" spans="1:7" ht="43.2" x14ac:dyDescent="0.3">
      <c r="A907" t="s">
        <v>9582</v>
      </c>
      <c r="B907" t="s">
        <v>10459</v>
      </c>
      <c r="C907" s="20" t="s">
        <v>10460</v>
      </c>
      <c r="D907">
        <v>1248</v>
      </c>
      <c r="E907" t="s">
        <v>9589</v>
      </c>
      <c r="F907">
        <v>80</v>
      </c>
      <c r="G907" s="28" t="s">
        <v>9590</v>
      </c>
    </row>
    <row r="908" spans="1:7" ht="43.2" x14ac:dyDescent="0.3">
      <c r="A908" t="s">
        <v>9582</v>
      </c>
      <c r="B908" t="s">
        <v>10461</v>
      </c>
      <c r="C908" s="20" t="s">
        <v>10462</v>
      </c>
      <c r="D908">
        <v>1381</v>
      </c>
      <c r="E908" t="s">
        <v>9589</v>
      </c>
      <c r="F908">
        <v>50</v>
      </c>
      <c r="G908" s="28" t="s">
        <v>9590</v>
      </c>
    </row>
    <row r="909" spans="1:7" ht="43.2" x14ac:dyDescent="0.3">
      <c r="A909" t="s">
        <v>9582</v>
      </c>
      <c r="B909" t="s">
        <v>10461</v>
      </c>
      <c r="C909" s="20" t="s">
        <v>10462</v>
      </c>
      <c r="D909">
        <v>1381</v>
      </c>
      <c r="E909" t="s">
        <v>9589</v>
      </c>
      <c r="F909">
        <v>50</v>
      </c>
      <c r="G909" s="28" t="s">
        <v>9590</v>
      </c>
    </row>
    <row r="910" spans="1:7" ht="86.4" x14ac:dyDescent="0.3">
      <c r="A910" t="s">
        <v>9582</v>
      </c>
      <c r="B910" t="s">
        <v>10463</v>
      </c>
      <c r="C910" s="20" t="s">
        <v>12366</v>
      </c>
      <c r="D910">
        <v>1385</v>
      </c>
      <c r="E910" t="s">
        <v>9589</v>
      </c>
      <c r="F910">
        <v>50</v>
      </c>
      <c r="G910" s="28" t="s">
        <v>9590</v>
      </c>
    </row>
    <row r="911" spans="1:7" ht="86.4" x14ac:dyDescent="0.3">
      <c r="A911" t="s">
        <v>9582</v>
      </c>
      <c r="B911" t="s">
        <v>10463</v>
      </c>
      <c r="C911" s="20" t="s">
        <v>12366</v>
      </c>
      <c r="D911">
        <v>1385</v>
      </c>
      <c r="E911" t="s">
        <v>9589</v>
      </c>
      <c r="F911">
        <v>50</v>
      </c>
      <c r="G911" s="28" t="s">
        <v>9590</v>
      </c>
    </row>
    <row r="912" spans="1:7" ht="28.8" x14ac:dyDescent="0.3">
      <c r="A912" t="s">
        <v>9582</v>
      </c>
      <c r="B912" t="s">
        <v>10464</v>
      </c>
      <c r="C912" s="20" t="s">
        <v>10465</v>
      </c>
      <c r="D912">
        <v>1382</v>
      </c>
      <c r="E912" t="s">
        <v>9589</v>
      </c>
      <c r="F912">
        <v>50</v>
      </c>
      <c r="G912" s="28" t="s">
        <v>9590</v>
      </c>
    </row>
    <row r="913" spans="1:7" ht="28.8" x14ac:dyDescent="0.3">
      <c r="A913" t="s">
        <v>9582</v>
      </c>
      <c r="B913" t="s">
        <v>10464</v>
      </c>
      <c r="C913" s="20" t="s">
        <v>10465</v>
      </c>
      <c r="D913">
        <v>1382</v>
      </c>
      <c r="E913" t="s">
        <v>9589</v>
      </c>
      <c r="F913">
        <v>50</v>
      </c>
      <c r="G913" s="28" t="s">
        <v>9590</v>
      </c>
    </row>
    <row r="914" spans="1:7" ht="43.2" x14ac:dyDescent="0.3">
      <c r="A914" t="s">
        <v>9582</v>
      </c>
      <c r="B914" t="s">
        <v>10466</v>
      </c>
      <c r="C914" s="20" t="s">
        <v>10467</v>
      </c>
      <c r="D914">
        <v>1383</v>
      </c>
      <c r="E914" t="s">
        <v>9589</v>
      </c>
      <c r="F914">
        <v>50</v>
      </c>
      <c r="G914" s="28" t="s">
        <v>9590</v>
      </c>
    </row>
    <row r="915" spans="1:7" ht="43.2" x14ac:dyDescent="0.3">
      <c r="A915" t="s">
        <v>9582</v>
      </c>
      <c r="B915" t="s">
        <v>10466</v>
      </c>
      <c r="C915" s="20" t="s">
        <v>10467</v>
      </c>
      <c r="D915">
        <v>1383</v>
      </c>
      <c r="E915" t="s">
        <v>9589</v>
      </c>
      <c r="F915">
        <v>50</v>
      </c>
      <c r="G915" s="28" t="s">
        <v>9590</v>
      </c>
    </row>
    <row r="916" spans="1:7" ht="43.2" x14ac:dyDescent="0.3">
      <c r="A916" t="s">
        <v>9582</v>
      </c>
      <c r="B916" t="s">
        <v>10468</v>
      </c>
      <c r="C916" s="20" t="s">
        <v>10469</v>
      </c>
      <c r="D916">
        <v>1380</v>
      </c>
      <c r="E916" t="s">
        <v>9589</v>
      </c>
      <c r="F916">
        <v>50</v>
      </c>
      <c r="G916" s="28" t="s">
        <v>9590</v>
      </c>
    </row>
    <row r="917" spans="1:7" ht="43.2" x14ac:dyDescent="0.3">
      <c r="A917" t="s">
        <v>9582</v>
      </c>
      <c r="B917" t="s">
        <v>10468</v>
      </c>
      <c r="C917" s="20" t="s">
        <v>10469</v>
      </c>
      <c r="D917">
        <v>1380</v>
      </c>
      <c r="E917" t="s">
        <v>9589</v>
      </c>
      <c r="F917">
        <v>50</v>
      </c>
      <c r="G917" s="28" t="s">
        <v>9590</v>
      </c>
    </row>
    <row r="918" spans="1:7" ht="28.8" x14ac:dyDescent="0.3">
      <c r="A918" t="s">
        <v>9582</v>
      </c>
      <c r="B918" t="s">
        <v>10470</v>
      </c>
      <c r="C918" s="20" t="s">
        <v>10471</v>
      </c>
      <c r="D918">
        <v>1384</v>
      </c>
      <c r="E918" t="s">
        <v>9589</v>
      </c>
      <c r="F918">
        <v>50</v>
      </c>
      <c r="G918" s="28" t="s">
        <v>9590</v>
      </c>
    </row>
    <row r="919" spans="1:7" ht="28.8" x14ac:dyDescent="0.3">
      <c r="A919" t="s">
        <v>9582</v>
      </c>
      <c r="B919" t="s">
        <v>10470</v>
      </c>
      <c r="C919" s="20" t="s">
        <v>10471</v>
      </c>
      <c r="D919">
        <v>1384</v>
      </c>
      <c r="E919" t="s">
        <v>9589</v>
      </c>
      <c r="F919">
        <v>50</v>
      </c>
      <c r="G919" s="28" t="s">
        <v>9590</v>
      </c>
    </row>
    <row r="920" spans="1:7" ht="144" x14ac:dyDescent="0.3">
      <c r="A920" t="s">
        <v>9582</v>
      </c>
      <c r="B920" t="s">
        <v>10472</v>
      </c>
      <c r="C920" s="20" t="s">
        <v>10473</v>
      </c>
      <c r="D920">
        <v>1300</v>
      </c>
      <c r="E920" t="s">
        <v>9585</v>
      </c>
      <c r="F920">
        <v>5</v>
      </c>
      <c r="G920" s="28" t="s">
        <v>12558</v>
      </c>
    </row>
    <row r="921" spans="1:7" ht="57.6" x14ac:dyDescent="0.3">
      <c r="A921" t="s">
        <v>9582</v>
      </c>
      <c r="B921" t="s">
        <v>10474</v>
      </c>
      <c r="C921" s="20" t="s">
        <v>10475</v>
      </c>
      <c r="D921">
        <v>1126</v>
      </c>
      <c r="E921" t="s">
        <v>9589</v>
      </c>
      <c r="F921">
        <v>30</v>
      </c>
      <c r="G921" s="28" t="s">
        <v>9590</v>
      </c>
    </row>
    <row r="922" spans="1:7" ht="43.2" x14ac:dyDescent="0.3">
      <c r="A922" t="s">
        <v>9582</v>
      </c>
      <c r="B922" t="s">
        <v>10476</v>
      </c>
      <c r="C922" s="20" t="s">
        <v>10477</v>
      </c>
      <c r="D922">
        <v>404</v>
      </c>
      <c r="E922" t="s">
        <v>9589</v>
      </c>
      <c r="F922">
        <v>35</v>
      </c>
      <c r="G922" s="28" t="s">
        <v>9590</v>
      </c>
    </row>
    <row r="923" spans="1:7" ht="43.2" x14ac:dyDescent="0.3">
      <c r="A923" t="s">
        <v>9582</v>
      </c>
      <c r="B923" t="s">
        <v>10478</v>
      </c>
      <c r="C923" s="20" t="s">
        <v>10479</v>
      </c>
      <c r="D923">
        <v>507</v>
      </c>
      <c r="E923" t="s">
        <v>9589</v>
      </c>
      <c r="F923">
        <v>60</v>
      </c>
      <c r="G923" s="28" t="s">
        <v>9590</v>
      </c>
    </row>
    <row r="924" spans="1:7" ht="28.8" x14ac:dyDescent="0.3">
      <c r="A924" t="s">
        <v>9582</v>
      </c>
      <c r="B924" t="s">
        <v>10480</v>
      </c>
      <c r="C924" s="20" t="s">
        <v>10481</v>
      </c>
      <c r="D924">
        <v>653</v>
      </c>
      <c r="E924" t="s">
        <v>9589</v>
      </c>
      <c r="F924">
        <v>45</v>
      </c>
      <c r="G924" s="28" t="s">
        <v>9590</v>
      </c>
    </row>
    <row r="925" spans="1:7" ht="302.39999999999998" x14ac:dyDescent="0.3">
      <c r="A925" t="s">
        <v>9582</v>
      </c>
      <c r="B925" t="s">
        <v>10482</v>
      </c>
      <c r="C925" s="20" t="s">
        <v>10483</v>
      </c>
      <c r="D925">
        <v>400</v>
      </c>
      <c r="E925" t="s">
        <v>9585</v>
      </c>
      <c r="F925">
        <v>5</v>
      </c>
      <c r="G925" s="28" t="s">
        <v>12559</v>
      </c>
    </row>
    <row r="926" spans="1:7" ht="57.6" x14ac:dyDescent="0.3">
      <c r="A926" t="s">
        <v>9582</v>
      </c>
      <c r="B926" t="s">
        <v>10484</v>
      </c>
      <c r="C926" s="20" t="s">
        <v>10485</v>
      </c>
      <c r="D926">
        <v>357</v>
      </c>
      <c r="E926" t="s">
        <v>9589</v>
      </c>
      <c r="F926">
        <v>60</v>
      </c>
      <c r="G926" s="28" t="s">
        <v>9590</v>
      </c>
    </row>
    <row r="927" spans="1:7" ht="57.6" x14ac:dyDescent="0.3">
      <c r="A927" t="s">
        <v>9582</v>
      </c>
      <c r="B927" t="s">
        <v>10484</v>
      </c>
      <c r="C927" s="20" t="s">
        <v>10485</v>
      </c>
      <c r="D927">
        <v>357</v>
      </c>
      <c r="E927" t="s">
        <v>9589</v>
      </c>
      <c r="F927">
        <v>60</v>
      </c>
      <c r="G927" s="28" t="s">
        <v>9590</v>
      </c>
    </row>
    <row r="928" spans="1:7" ht="43.2" x14ac:dyDescent="0.3">
      <c r="A928" t="s">
        <v>9582</v>
      </c>
      <c r="B928" t="s">
        <v>10486</v>
      </c>
      <c r="C928" s="20" t="s">
        <v>10487</v>
      </c>
      <c r="D928">
        <v>356</v>
      </c>
      <c r="E928" t="s">
        <v>9589</v>
      </c>
      <c r="F928">
        <v>80</v>
      </c>
      <c r="G928" s="28" t="s">
        <v>9590</v>
      </c>
    </row>
    <row r="929" spans="1:7" ht="43.2" x14ac:dyDescent="0.3">
      <c r="A929" t="s">
        <v>9582</v>
      </c>
      <c r="B929" t="s">
        <v>10486</v>
      </c>
      <c r="C929" s="20" t="s">
        <v>10487</v>
      </c>
      <c r="D929">
        <v>356</v>
      </c>
      <c r="E929" t="s">
        <v>9589</v>
      </c>
      <c r="F929">
        <v>80</v>
      </c>
      <c r="G929" s="28" t="s">
        <v>9590</v>
      </c>
    </row>
    <row r="930" spans="1:7" ht="28.8" x14ac:dyDescent="0.3">
      <c r="A930" t="s">
        <v>9582</v>
      </c>
      <c r="B930" t="s">
        <v>10488</v>
      </c>
      <c r="C930" s="20" t="s">
        <v>10489</v>
      </c>
      <c r="D930">
        <v>358</v>
      </c>
      <c r="E930" t="s">
        <v>9616</v>
      </c>
      <c r="F930">
        <v>8</v>
      </c>
      <c r="G930" s="28" t="s">
        <v>9590</v>
      </c>
    </row>
    <row r="931" spans="1:7" ht="72" x14ac:dyDescent="0.3">
      <c r="A931" t="s">
        <v>9582</v>
      </c>
      <c r="B931" t="s">
        <v>10490</v>
      </c>
      <c r="C931" s="20" t="s">
        <v>10491</v>
      </c>
      <c r="D931">
        <v>359</v>
      </c>
      <c r="E931" t="s">
        <v>9585</v>
      </c>
      <c r="F931">
        <v>5</v>
      </c>
      <c r="G931" s="28" t="s">
        <v>12560</v>
      </c>
    </row>
    <row r="932" spans="1:7" ht="28.8" x14ac:dyDescent="0.3">
      <c r="A932" t="s">
        <v>9582</v>
      </c>
      <c r="B932" t="s">
        <v>10492</v>
      </c>
      <c r="C932" s="20" t="s">
        <v>10493</v>
      </c>
      <c r="D932">
        <v>1463</v>
      </c>
      <c r="E932" t="s">
        <v>9653</v>
      </c>
      <c r="F932">
        <v>5</v>
      </c>
      <c r="G932" s="28" t="s">
        <v>9590</v>
      </c>
    </row>
    <row r="933" spans="1:7" ht="43.2" x14ac:dyDescent="0.3">
      <c r="A933" t="s">
        <v>9582</v>
      </c>
      <c r="B933" t="s">
        <v>10494</v>
      </c>
      <c r="C933" s="20" t="s">
        <v>10495</v>
      </c>
      <c r="D933">
        <v>1259</v>
      </c>
      <c r="E933" t="s">
        <v>9589</v>
      </c>
      <c r="F933">
        <v>30</v>
      </c>
      <c r="G933" s="28" t="s">
        <v>9590</v>
      </c>
    </row>
    <row r="934" spans="1:7" ht="43.2" x14ac:dyDescent="0.3">
      <c r="A934" t="s">
        <v>9582</v>
      </c>
      <c r="B934" t="s">
        <v>10496</v>
      </c>
      <c r="C934" s="20" t="s">
        <v>10497</v>
      </c>
      <c r="D934">
        <v>1441</v>
      </c>
      <c r="E934" t="s">
        <v>9616</v>
      </c>
      <c r="F934">
        <v>8</v>
      </c>
      <c r="G934" s="28" t="s">
        <v>9590</v>
      </c>
    </row>
    <row r="935" spans="1:7" ht="273.60000000000002" x14ac:dyDescent="0.3">
      <c r="A935" t="s">
        <v>9582</v>
      </c>
      <c r="B935" t="s">
        <v>10498</v>
      </c>
      <c r="C935" s="20" t="s">
        <v>10499</v>
      </c>
      <c r="D935">
        <v>1533</v>
      </c>
      <c r="E935" t="s">
        <v>9585</v>
      </c>
      <c r="F935">
        <v>5</v>
      </c>
      <c r="G935" s="28" t="s">
        <v>12561</v>
      </c>
    </row>
    <row r="936" spans="1:7" ht="28.8" x14ac:dyDescent="0.3">
      <c r="A936" t="s">
        <v>9582</v>
      </c>
      <c r="B936" t="s">
        <v>10500</v>
      </c>
      <c r="C936" s="20" t="s">
        <v>10501</v>
      </c>
      <c r="D936">
        <v>1535</v>
      </c>
      <c r="E936" t="s">
        <v>9589</v>
      </c>
      <c r="F936">
        <v>50</v>
      </c>
      <c r="G936" s="28" t="s">
        <v>9590</v>
      </c>
    </row>
    <row r="937" spans="1:7" ht="273.60000000000002" x14ac:dyDescent="0.3">
      <c r="A937" t="s">
        <v>9582</v>
      </c>
      <c r="B937" t="s">
        <v>10502</v>
      </c>
      <c r="C937" s="20" t="s">
        <v>10503</v>
      </c>
      <c r="D937">
        <v>902</v>
      </c>
      <c r="E937" t="s">
        <v>9585</v>
      </c>
      <c r="F937">
        <v>5</v>
      </c>
      <c r="G937" s="28" t="s">
        <v>12561</v>
      </c>
    </row>
    <row r="938" spans="1:7" ht="158.4" x14ac:dyDescent="0.3">
      <c r="A938" t="s">
        <v>9582</v>
      </c>
      <c r="B938" t="s">
        <v>10504</v>
      </c>
      <c r="C938" s="20" t="s">
        <v>10505</v>
      </c>
      <c r="D938">
        <v>1537</v>
      </c>
      <c r="E938" t="s">
        <v>9585</v>
      </c>
      <c r="F938">
        <v>5</v>
      </c>
      <c r="G938" s="28" t="s">
        <v>12562</v>
      </c>
    </row>
    <row r="939" spans="1:7" ht="158.4" x14ac:dyDescent="0.3">
      <c r="A939" t="s">
        <v>9582</v>
      </c>
      <c r="B939" t="s">
        <v>10506</v>
      </c>
      <c r="C939" s="20" t="s">
        <v>10507</v>
      </c>
      <c r="D939">
        <v>1538</v>
      </c>
      <c r="E939" t="s">
        <v>9585</v>
      </c>
      <c r="F939">
        <v>5</v>
      </c>
      <c r="G939" s="28" t="s">
        <v>12563</v>
      </c>
    </row>
    <row r="940" spans="1:7" ht="28.8" x14ac:dyDescent="0.3">
      <c r="A940" t="s">
        <v>9582</v>
      </c>
      <c r="B940" t="s">
        <v>10508</v>
      </c>
      <c r="C940" s="20" t="s">
        <v>10509</v>
      </c>
      <c r="D940">
        <v>151</v>
      </c>
      <c r="E940" t="s">
        <v>9653</v>
      </c>
      <c r="F940">
        <v>3</v>
      </c>
      <c r="G940" s="28" t="s">
        <v>9590</v>
      </c>
    </row>
    <row r="941" spans="1:7" ht="28.8" x14ac:dyDescent="0.3">
      <c r="A941" t="s">
        <v>9582</v>
      </c>
      <c r="B941" t="s">
        <v>10508</v>
      </c>
      <c r="C941" s="20" t="s">
        <v>10509</v>
      </c>
      <c r="D941">
        <v>151</v>
      </c>
      <c r="E941" t="s">
        <v>9653</v>
      </c>
      <c r="F941">
        <v>3</v>
      </c>
      <c r="G941" s="28" t="s">
        <v>9590</v>
      </c>
    </row>
    <row r="942" spans="1:7" ht="28.8" x14ac:dyDescent="0.3">
      <c r="A942" t="s">
        <v>9582</v>
      </c>
      <c r="B942" t="s">
        <v>10508</v>
      </c>
      <c r="C942" s="20" t="s">
        <v>10509</v>
      </c>
      <c r="D942">
        <v>151</v>
      </c>
      <c r="E942" t="s">
        <v>9653</v>
      </c>
      <c r="F942">
        <v>3</v>
      </c>
      <c r="G942" s="28" t="s">
        <v>9590</v>
      </c>
    </row>
    <row r="943" spans="1:7" ht="28.8" x14ac:dyDescent="0.3">
      <c r="A943" t="s">
        <v>9582</v>
      </c>
      <c r="B943" t="s">
        <v>10508</v>
      </c>
      <c r="C943" s="20" t="s">
        <v>10509</v>
      </c>
      <c r="D943">
        <v>151</v>
      </c>
      <c r="E943" t="s">
        <v>9653</v>
      </c>
      <c r="F943">
        <v>3</v>
      </c>
      <c r="G943" s="28" t="s">
        <v>9590</v>
      </c>
    </row>
    <row r="944" spans="1:7" ht="28.8" x14ac:dyDescent="0.3">
      <c r="A944" t="s">
        <v>9582</v>
      </c>
      <c r="B944" t="s">
        <v>10508</v>
      </c>
      <c r="C944" s="20" t="s">
        <v>10509</v>
      </c>
      <c r="D944">
        <v>151</v>
      </c>
      <c r="E944" t="s">
        <v>9653</v>
      </c>
      <c r="F944">
        <v>3</v>
      </c>
      <c r="G944" s="28" t="s">
        <v>9590</v>
      </c>
    </row>
    <row r="945" spans="1:7" ht="28.8" x14ac:dyDescent="0.3">
      <c r="A945" t="s">
        <v>9582</v>
      </c>
      <c r="B945" t="s">
        <v>10508</v>
      </c>
      <c r="C945" s="20" t="s">
        <v>10509</v>
      </c>
      <c r="D945">
        <v>151</v>
      </c>
      <c r="E945" t="s">
        <v>9653</v>
      </c>
      <c r="F945">
        <v>3</v>
      </c>
      <c r="G945" s="28" t="s">
        <v>9590</v>
      </c>
    </row>
    <row r="946" spans="1:7" ht="28.8" x14ac:dyDescent="0.3">
      <c r="A946" t="s">
        <v>9582</v>
      </c>
      <c r="B946" t="s">
        <v>10508</v>
      </c>
      <c r="C946" s="20" t="s">
        <v>10509</v>
      </c>
      <c r="D946">
        <v>151</v>
      </c>
      <c r="E946" t="s">
        <v>9653</v>
      </c>
      <c r="F946">
        <v>3</v>
      </c>
      <c r="G946" s="28" t="s">
        <v>9590</v>
      </c>
    </row>
    <row r="947" spans="1:7" ht="28.8" x14ac:dyDescent="0.3">
      <c r="A947" t="s">
        <v>9582</v>
      </c>
      <c r="B947" t="s">
        <v>10508</v>
      </c>
      <c r="C947" s="20" t="s">
        <v>10509</v>
      </c>
      <c r="D947">
        <v>151</v>
      </c>
      <c r="E947" t="s">
        <v>9653</v>
      </c>
      <c r="F947">
        <v>3</v>
      </c>
      <c r="G947" s="28" t="s">
        <v>9590</v>
      </c>
    </row>
    <row r="948" spans="1:7" ht="28.8" x14ac:dyDescent="0.3">
      <c r="A948" t="s">
        <v>9582</v>
      </c>
      <c r="B948" t="s">
        <v>10508</v>
      </c>
      <c r="C948" s="20" t="s">
        <v>10509</v>
      </c>
      <c r="D948">
        <v>151</v>
      </c>
      <c r="E948" t="s">
        <v>9653</v>
      </c>
      <c r="F948">
        <v>3</v>
      </c>
      <c r="G948" s="28" t="s">
        <v>9590</v>
      </c>
    </row>
    <row r="949" spans="1:7" ht="28.8" x14ac:dyDescent="0.3">
      <c r="A949" t="s">
        <v>9582</v>
      </c>
      <c r="B949" t="s">
        <v>10508</v>
      </c>
      <c r="C949" s="20" t="s">
        <v>10509</v>
      </c>
      <c r="D949">
        <v>151</v>
      </c>
      <c r="E949" t="s">
        <v>9653</v>
      </c>
      <c r="F949">
        <v>3</v>
      </c>
      <c r="G949" s="28" t="s">
        <v>9590</v>
      </c>
    </row>
    <row r="950" spans="1:7" ht="158.4" x14ac:dyDescent="0.3">
      <c r="A950" t="s">
        <v>9582</v>
      </c>
      <c r="B950" t="s">
        <v>10510</v>
      </c>
      <c r="C950" s="20" t="s">
        <v>10511</v>
      </c>
      <c r="D950">
        <v>1132</v>
      </c>
      <c r="E950" t="s">
        <v>9585</v>
      </c>
      <c r="F950">
        <v>5</v>
      </c>
      <c r="G950" s="28" t="s">
        <v>12564</v>
      </c>
    </row>
    <row r="951" spans="1:7" ht="158.4" x14ac:dyDescent="0.3">
      <c r="A951" t="s">
        <v>9582</v>
      </c>
      <c r="B951" t="s">
        <v>10510</v>
      </c>
      <c r="C951" s="20" t="s">
        <v>10511</v>
      </c>
      <c r="D951">
        <v>1132</v>
      </c>
      <c r="E951" t="s">
        <v>9585</v>
      </c>
      <c r="F951">
        <v>5</v>
      </c>
      <c r="G951" s="28" t="s">
        <v>12564</v>
      </c>
    </row>
    <row r="952" spans="1:7" ht="43.2" x14ac:dyDescent="0.3">
      <c r="A952" t="s">
        <v>9582</v>
      </c>
      <c r="B952" t="s">
        <v>10512</v>
      </c>
      <c r="C952" s="20" t="s">
        <v>10513</v>
      </c>
      <c r="D952">
        <v>443</v>
      </c>
      <c r="E952" t="s">
        <v>9616</v>
      </c>
      <c r="F952">
        <v>8</v>
      </c>
      <c r="G952" s="28" t="s">
        <v>9590</v>
      </c>
    </row>
    <row r="953" spans="1:7" ht="57.6" x14ac:dyDescent="0.3">
      <c r="A953" t="s">
        <v>9582</v>
      </c>
      <c r="B953" t="s">
        <v>10514</v>
      </c>
      <c r="C953" s="20" t="s">
        <v>10515</v>
      </c>
      <c r="D953">
        <v>442</v>
      </c>
      <c r="E953" t="s">
        <v>9589</v>
      </c>
      <c r="F953">
        <v>60</v>
      </c>
      <c r="G953" s="28" t="s">
        <v>9590</v>
      </c>
    </row>
    <row r="954" spans="1:7" ht="43.2" x14ac:dyDescent="0.3">
      <c r="A954" t="s">
        <v>9582</v>
      </c>
      <c r="B954" t="s">
        <v>10516</v>
      </c>
      <c r="C954" s="20" t="s">
        <v>10517</v>
      </c>
      <c r="D954">
        <v>444</v>
      </c>
      <c r="E954" t="s">
        <v>9616</v>
      </c>
      <c r="F954">
        <v>8</v>
      </c>
      <c r="G954" s="28" t="s">
        <v>9590</v>
      </c>
    </row>
    <row r="955" spans="1:7" ht="57.6" x14ac:dyDescent="0.3">
      <c r="A955" t="s">
        <v>9582</v>
      </c>
      <c r="B955" t="s">
        <v>10518</v>
      </c>
      <c r="C955" s="20" t="s">
        <v>10519</v>
      </c>
      <c r="D955">
        <v>445</v>
      </c>
      <c r="E955" t="s">
        <v>9589</v>
      </c>
      <c r="F955">
        <v>60</v>
      </c>
      <c r="G955" s="28" t="s">
        <v>9590</v>
      </c>
    </row>
    <row r="956" spans="1:7" ht="72" x14ac:dyDescent="0.3">
      <c r="A956" t="s">
        <v>9582</v>
      </c>
      <c r="B956" t="s">
        <v>10520</v>
      </c>
      <c r="C956" s="20" t="s">
        <v>10521</v>
      </c>
      <c r="D956">
        <v>1390</v>
      </c>
      <c r="E956" t="s">
        <v>9589</v>
      </c>
      <c r="F956">
        <v>50</v>
      </c>
      <c r="G956" s="28" t="s">
        <v>9590</v>
      </c>
    </row>
    <row r="957" spans="1:7" ht="72" x14ac:dyDescent="0.3">
      <c r="A957" t="s">
        <v>9582</v>
      </c>
      <c r="B957" t="s">
        <v>10520</v>
      </c>
      <c r="C957" s="20" t="s">
        <v>10521</v>
      </c>
      <c r="D957">
        <v>1390</v>
      </c>
      <c r="E957" t="s">
        <v>9589</v>
      </c>
      <c r="F957">
        <v>50</v>
      </c>
      <c r="G957" s="28" t="s">
        <v>9590</v>
      </c>
    </row>
    <row r="958" spans="1:7" ht="72" x14ac:dyDescent="0.3">
      <c r="A958" t="s">
        <v>9582</v>
      </c>
      <c r="B958" t="s">
        <v>10520</v>
      </c>
      <c r="C958" s="20" t="s">
        <v>10521</v>
      </c>
      <c r="D958">
        <v>1390</v>
      </c>
      <c r="E958" t="s">
        <v>9589</v>
      </c>
      <c r="F958">
        <v>50</v>
      </c>
      <c r="G958" s="28" t="s">
        <v>9590</v>
      </c>
    </row>
    <row r="959" spans="1:7" ht="72" x14ac:dyDescent="0.3">
      <c r="A959" t="s">
        <v>9582</v>
      </c>
      <c r="B959" t="s">
        <v>10520</v>
      </c>
      <c r="C959" s="20" t="s">
        <v>10521</v>
      </c>
      <c r="D959">
        <v>1390</v>
      </c>
      <c r="E959" t="s">
        <v>9589</v>
      </c>
      <c r="F959">
        <v>50</v>
      </c>
      <c r="G959" s="28" t="s">
        <v>9590</v>
      </c>
    </row>
    <row r="960" spans="1:7" ht="72" x14ac:dyDescent="0.3">
      <c r="A960" t="s">
        <v>9582</v>
      </c>
      <c r="B960" t="s">
        <v>10520</v>
      </c>
      <c r="C960" s="20" t="s">
        <v>10521</v>
      </c>
      <c r="D960">
        <v>1390</v>
      </c>
      <c r="E960" t="s">
        <v>9589</v>
      </c>
      <c r="F960">
        <v>50</v>
      </c>
      <c r="G960" s="28" t="s">
        <v>9590</v>
      </c>
    </row>
    <row r="961" spans="1:7" ht="72" x14ac:dyDescent="0.3">
      <c r="A961" t="s">
        <v>9582</v>
      </c>
      <c r="B961" t="s">
        <v>10520</v>
      </c>
      <c r="C961" s="20" t="s">
        <v>10521</v>
      </c>
      <c r="D961">
        <v>1390</v>
      </c>
      <c r="E961" t="s">
        <v>9589</v>
      </c>
      <c r="F961">
        <v>50</v>
      </c>
      <c r="G961" s="28" t="s">
        <v>9590</v>
      </c>
    </row>
    <row r="962" spans="1:7" ht="144" x14ac:dyDescent="0.3">
      <c r="A962" t="s">
        <v>9582</v>
      </c>
      <c r="B962" t="s">
        <v>10522</v>
      </c>
      <c r="C962" s="20" t="s">
        <v>10523</v>
      </c>
      <c r="D962">
        <v>1354</v>
      </c>
      <c r="E962" t="s">
        <v>9585</v>
      </c>
      <c r="F962">
        <v>5</v>
      </c>
      <c r="G962" s="28" t="s">
        <v>12565</v>
      </c>
    </row>
    <row r="963" spans="1:7" ht="28.8" x14ac:dyDescent="0.3">
      <c r="A963" t="s">
        <v>9582</v>
      </c>
      <c r="B963" t="s">
        <v>10524</v>
      </c>
      <c r="C963" s="20" t="s">
        <v>10525</v>
      </c>
      <c r="D963">
        <v>1479</v>
      </c>
      <c r="E963" t="s">
        <v>9589</v>
      </c>
      <c r="F963">
        <v>80</v>
      </c>
      <c r="G963" s="28" t="s">
        <v>9590</v>
      </c>
    </row>
    <row r="964" spans="1:7" ht="28.8" x14ac:dyDescent="0.3">
      <c r="A964" t="s">
        <v>9582</v>
      </c>
      <c r="B964" t="s">
        <v>10526</v>
      </c>
      <c r="C964" s="20" t="s">
        <v>10527</v>
      </c>
      <c r="D964">
        <v>1480</v>
      </c>
      <c r="E964" t="s">
        <v>9653</v>
      </c>
      <c r="F964">
        <v>5</v>
      </c>
      <c r="G964" s="28" t="s">
        <v>9590</v>
      </c>
    </row>
    <row r="965" spans="1:7" ht="28.8" x14ac:dyDescent="0.3">
      <c r="A965" t="s">
        <v>9582</v>
      </c>
      <c r="B965" t="s">
        <v>10528</v>
      </c>
      <c r="C965" s="20" t="s">
        <v>10529</v>
      </c>
      <c r="D965">
        <v>1476</v>
      </c>
      <c r="E965" t="s">
        <v>9589</v>
      </c>
      <c r="F965">
        <v>80</v>
      </c>
      <c r="G965" s="28" t="s">
        <v>9590</v>
      </c>
    </row>
    <row r="966" spans="1:7" ht="187.2" x14ac:dyDescent="0.3">
      <c r="A966" t="s">
        <v>9582</v>
      </c>
      <c r="B966" t="s">
        <v>10530</v>
      </c>
      <c r="C966" s="20" t="s">
        <v>10531</v>
      </c>
      <c r="D966">
        <v>557</v>
      </c>
      <c r="E966" t="s">
        <v>9585</v>
      </c>
      <c r="F966">
        <v>5</v>
      </c>
      <c r="G966" s="28" t="s">
        <v>12566</v>
      </c>
    </row>
    <row r="967" spans="1:7" ht="187.2" x14ac:dyDescent="0.3">
      <c r="A967" t="s">
        <v>9582</v>
      </c>
      <c r="B967" t="s">
        <v>10530</v>
      </c>
      <c r="C967" s="20" t="s">
        <v>10531</v>
      </c>
      <c r="D967">
        <v>557</v>
      </c>
      <c r="E967" t="s">
        <v>9585</v>
      </c>
      <c r="F967">
        <v>5</v>
      </c>
      <c r="G967" s="28" t="s">
        <v>12566</v>
      </c>
    </row>
    <row r="968" spans="1:7" ht="259.2" x14ac:dyDescent="0.3">
      <c r="A968" t="s">
        <v>9582</v>
      </c>
      <c r="B968" t="s">
        <v>10532</v>
      </c>
      <c r="C968" s="20" t="s">
        <v>10533</v>
      </c>
      <c r="D968">
        <v>988</v>
      </c>
      <c r="E968" t="s">
        <v>9585</v>
      </c>
      <c r="F968">
        <v>5</v>
      </c>
      <c r="G968" s="28" t="s">
        <v>12567</v>
      </c>
    </row>
    <row r="969" spans="1:7" ht="86.4" x14ac:dyDescent="0.3">
      <c r="A969" t="s">
        <v>9582</v>
      </c>
      <c r="B969" t="s">
        <v>10534</v>
      </c>
      <c r="C969" s="20" t="s">
        <v>10535</v>
      </c>
      <c r="D969">
        <v>1294</v>
      </c>
      <c r="E969" t="s">
        <v>9585</v>
      </c>
      <c r="F969">
        <v>5</v>
      </c>
      <c r="G969" s="28" t="s">
        <v>12568</v>
      </c>
    </row>
    <row r="970" spans="1:7" ht="144" x14ac:dyDescent="0.3">
      <c r="A970" t="s">
        <v>9582</v>
      </c>
      <c r="B970" t="s">
        <v>10536</v>
      </c>
      <c r="C970" s="20" t="s">
        <v>12367</v>
      </c>
      <c r="D970">
        <v>1166</v>
      </c>
      <c r="E970" t="s">
        <v>9585</v>
      </c>
      <c r="F970">
        <v>5</v>
      </c>
      <c r="G970" s="28" t="s">
        <v>12569</v>
      </c>
    </row>
    <row r="971" spans="1:7" ht="144" x14ac:dyDescent="0.3">
      <c r="A971" t="s">
        <v>9582</v>
      </c>
      <c r="B971" t="s">
        <v>10536</v>
      </c>
      <c r="C971" s="20" t="s">
        <v>12367</v>
      </c>
      <c r="D971">
        <v>1166</v>
      </c>
      <c r="E971" t="s">
        <v>9585</v>
      </c>
      <c r="F971">
        <v>5</v>
      </c>
      <c r="G971" s="28" t="s">
        <v>12569</v>
      </c>
    </row>
    <row r="972" spans="1:7" ht="100.8" x14ac:dyDescent="0.3">
      <c r="A972" t="s">
        <v>9582</v>
      </c>
      <c r="B972" t="s">
        <v>10537</v>
      </c>
      <c r="C972" s="20" t="s">
        <v>10538</v>
      </c>
      <c r="D972">
        <v>1089</v>
      </c>
      <c r="E972" t="s">
        <v>9585</v>
      </c>
      <c r="F972">
        <v>5</v>
      </c>
      <c r="G972" s="28" t="s">
        <v>12570</v>
      </c>
    </row>
    <row r="973" spans="1:7" ht="100.8" x14ac:dyDescent="0.3">
      <c r="A973" t="s">
        <v>9582</v>
      </c>
      <c r="B973" t="s">
        <v>10537</v>
      </c>
      <c r="C973" s="20" t="s">
        <v>10538</v>
      </c>
      <c r="D973">
        <v>1089</v>
      </c>
      <c r="E973" t="s">
        <v>9585</v>
      </c>
      <c r="F973">
        <v>5</v>
      </c>
      <c r="G973" s="28" t="s">
        <v>12570</v>
      </c>
    </row>
    <row r="974" spans="1:7" ht="28.8" x14ac:dyDescent="0.3">
      <c r="A974" t="s">
        <v>9582</v>
      </c>
      <c r="B974" t="s">
        <v>10539</v>
      </c>
      <c r="C974" s="20" t="s">
        <v>10540</v>
      </c>
      <c r="D974">
        <v>586</v>
      </c>
      <c r="E974" t="s">
        <v>9585</v>
      </c>
      <c r="F974">
        <v>5</v>
      </c>
      <c r="G974" s="28" t="s">
        <v>9586</v>
      </c>
    </row>
    <row r="975" spans="1:7" ht="43.2" x14ac:dyDescent="0.3">
      <c r="A975" t="s">
        <v>9582</v>
      </c>
      <c r="B975" t="s">
        <v>10541</v>
      </c>
      <c r="C975" s="20" t="s">
        <v>10542</v>
      </c>
      <c r="D975">
        <v>157</v>
      </c>
      <c r="E975" t="s">
        <v>9589</v>
      </c>
      <c r="F975">
        <v>20</v>
      </c>
      <c r="G975" s="28" t="s">
        <v>9590</v>
      </c>
    </row>
    <row r="976" spans="1:7" ht="43.2" x14ac:dyDescent="0.3">
      <c r="A976" t="s">
        <v>9582</v>
      </c>
      <c r="B976" t="s">
        <v>10541</v>
      </c>
      <c r="C976" s="20" t="s">
        <v>10542</v>
      </c>
      <c r="D976">
        <v>157</v>
      </c>
      <c r="E976" t="s">
        <v>9589</v>
      </c>
      <c r="F976">
        <v>20</v>
      </c>
      <c r="G976" s="28" t="s">
        <v>9590</v>
      </c>
    </row>
    <row r="977" spans="1:7" ht="43.2" x14ac:dyDescent="0.3">
      <c r="A977" t="s">
        <v>9582</v>
      </c>
      <c r="B977" t="s">
        <v>10543</v>
      </c>
      <c r="C977" s="20" t="s">
        <v>10544</v>
      </c>
      <c r="D977">
        <v>1505</v>
      </c>
      <c r="E977" t="s">
        <v>9589</v>
      </c>
      <c r="F977">
        <v>80</v>
      </c>
      <c r="G977" s="28" t="s">
        <v>9590</v>
      </c>
    </row>
    <row r="978" spans="1:7" ht="43.2" x14ac:dyDescent="0.3">
      <c r="A978" t="s">
        <v>9582</v>
      </c>
      <c r="B978" t="s">
        <v>10543</v>
      </c>
      <c r="C978" s="20" t="s">
        <v>10544</v>
      </c>
      <c r="D978">
        <v>1505</v>
      </c>
      <c r="E978" t="s">
        <v>9589</v>
      </c>
      <c r="F978">
        <v>80</v>
      </c>
      <c r="G978" s="28" t="s">
        <v>9590</v>
      </c>
    </row>
    <row r="979" spans="1:7" ht="43.2" x14ac:dyDescent="0.3">
      <c r="A979" t="s">
        <v>9582</v>
      </c>
      <c r="B979" t="s">
        <v>10543</v>
      </c>
      <c r="C979" s="20" t="s">
        <v>10544</v>
      </c>
      <c r="D979">
        <v>1505</v>
      </c>
      <c r="E979" t="s">
        <v>9589</v>
      </c>
      <c r="F979">
        <v>80</v>
      </c>
      <c r="G979" s="28" t="s">
        <v>9590</v>
      </c>
    </row>
    <row r="980" spans="1:7" ht="43.2" x14ac:dyDescent="0.3">
      <c r="A980" t="s">
        <v>9582</v>
      </c>
      <c r="B980" t="s">
        <v>10543</v>
      </c>
      <c r="C980" s="20" t="s">
        <v>10544</v>
      </c>
      <c r="D980">
        <v>1505</v>
      </c>
      <c r="E980" t="s">
        <v>9589</v>
      </c>
      <c r="F980">
        <v>80</v>
      </c>
      <c r="G980" s="28" t="s">
        <v>9590</v>
      </c>
    </row>
    <row r="981" spans="1:7" ht="28.8" x14ac:dyDescent="0.3">
      <c r="A981" t="s">
        <v>9582</v>
      </c>
      <c r="B981" t="s">
        <v>10545</v>
      </c>
      <c r="C981" s="20" t="s">
        <v>10546</v>
      </c>
      <c r="D981">
        <v>1496</v>
      </c>
      <c r="E981" t="s">
        <v>9589</v>
      </c>
      <c r="F981">
        <v>60</v>
      </c>
      <c r="G981" s="28" t="s">
        <v>9590</v>
      </c>
    </row>
    <row r="982" spans="1:7" ht="28.8" x14ac:dyDescent="0.3">
      <c r="A982" t="s">
        <v>9582</v>
      </c>
      <c r="B982" t="s">
        <v>10545</v>
      </c>
      <c r="C982" s="20" t="s">
        <v>10546</v>
      </c>
      <c r="D982">
        <v>1496</v>
      </c>
      <c r="E982" t="s">
        <v>9589</v>
      </c>
      <c r="F982">
        <v>60</v>
      </c>
      <c r="G982" s="28" t="s">
        <v>9590</v>
      </c>
    </row>
    <row r="983" spans="1:7" ht="28.8" x14ac:dyDescent="0.3">
      <c r="A983" t="s">
        <v>9582</v>
      </c>
      <c r="B983" t="s">
        <v>10545</v>
      </c>
      <c r="C983" s="20" t="s">
        <v>10546</v>
      </c>
      <c r="D983">
        <v>1496</v>
      </c>
      <c r="E983" t="s">
        <v>9589</v>
      </c>
      <c r="F983">
        <v>60</v>
      </c>
      <c r="G983" s="28" t="s">
        <v>9590</v>
      </c>
    </row>
    <row r="984" spans="1:7" ht="28.8" x14ac:dyDescent="0.3">
      <c r="A984" t="s">
        <v>9582</v>
      </c>
      <c r="B984" t="s">
        <v>10545</v>
      </c>
      <c r="C984" s="20" t="s">
        <v>10546</v>
      </c>
      <c r="D984">
        <v>1496</v>
      </c>
      <c r="E984" t="s">
        <v>9589</v>
      </c>
      <c r="F984">
        <v>60</v>
      </c>
      <c r="G984" s="28" t="s">
        <v>9590</v>
      </c>
    </row>
    <row r="985" spans="1:7" ht="129.6" x14ac:dyDescent="0.3">
      <c r="A985" t="s">
        <v>9582</v>
      </c>
      <c r="B985" t="s">
        <v>10547</v>
      </c>
      <c r="C985" s="20" t="s">
        <v>10548</v>
      </c>
      <c r="D985">
        <v>1495</v>
      </c>
      <c r="E985" t="s">
        <v>9585</v>
      </c>
      <c r="F985">
        <v>5</v>
      </c>
      <c r="G985" s="28" t="s">
        <v>12571</v>
      </c>
    </row>
    <row r="986" spans="1:7" ht="129.6" x14ac:dyDescent="0.3">
      <c r="A986" t="s">
        <v>9582</v>
      </c>
      <c r="B986" t="s">
        <v>10547</v>
      </c>
      <c r="C986" s="20" t="s">
        <v>10548</v>
      </c>
      <c r="D986">
        <v>1495</v>
      </c>
      <c r="E986" t="s">
        <v>9585</v>
      </c>
      <c r="F986">
        <v>5</v>
      </c>
      <c r="G986" s="28" t="s">
        <v>12571</v>
      </c>
    </row>
    <row r="987" spans="1:7" ht="28.8" x14ac:dyDescent="0.3">
      <c r="A987" t="s">
        <v>9582</v>
      </c>
      <c r="B987" t="s">
        <v>10549</v>
      </c>
      <c r="C987" s="20" t="s">
        <v>10550</v>
      </c>
      <c r="D987">
        <v>1735</v>
      </c>
      <c r="E987" t="s">
        <v>9589</v>
      </c>
      <c r="F987">
        <v>100</v>
      </c>
      <c r="G987" s="28" t="s">
        <v>9590</v>
      </c>
    </row>
    <row r="988" spans="1:7" ht="28.8" x14ac:dyDescent="0.3">
      <c r="A988" t="s">
        <v>9582</v>
      </c>
      <c r="B988" t="s">
        <v>10551</v>
      </c>
      <c r="C988" s="20" t="s">
        <v>10552</v>
      </c>
      <c r="D988">
        <v>1504</v>
      </c>
      <c r="E988" t="s">
        <v>9589</v>
      </c>
      <c r="F988">
        <v>30</v>
      </c>
      <c r="G988" s="28" t="s">
        <v>9590</v>
      </c>
    </row>
    <row r="989" spans="1:7" ht="28.8" x14ac:dyDescent="0.3">
      <c r="A989" t="s">
        <v>9582</v>
      </c>
      <c r="B989" t="s">
        <v>10551</v>
      </c>
      <c r="C989" s="20" t="s">
        <v>10552</v>
      </c>
      <c r="D989">
        <v>1504</v>
      </c>
      <c r="E989" t="s">
        <v>9589</v>
      </c>
      <c r="F989">
        <v>30</v>
      </c>
      <c r="G989" s="28" t="s">
        <v>9590</v>
      </c>
    </row>
    <row r="990" spans="1:7" ht="28.8" x14ac:dyDescent="0.3">
      <c r="A990" t="s">
        <v>9582</v>
      </c>
      <c r="B990" t="s">
        <v>10551</v>
      </c>
      <c r="C990" s="20" t="s">
        <v>10552</v>
      </c>
      <c r="D990">
        <v>1504</v>
      </c>
      <c r="E990" t="s">
        <v>9589</v>
      </c>
      <c r="F990">
        <v>30</v>
      </c>
      <c r="G990" s="28" t="s">
        <v>9590</v>
      </c>
    </row>
    <row r="991" spans="1:7" ht="28.8" x14ac:dyDescent="0.3">
      <c r="A991" t="s">
        <v>9582</v>
      </c>
      <c r="B991" t="s">
        <v>10551</v>
      </c>
      <c r="C991" s="20" t="s">
        <v>10552</v>
      </c>
      <c r="D991">
        <v>1504</v>
      </c>
      <c r="E991" t="s">
        <v>9589</v>
      </c>
      <c r="F991">
        <v>30</v>
      </c>
      <c r="G991" s="28" t="s">
        <v>9590</v>
      </c>
    </row>
    <row r="992" spans="1:7" ht="28.8" x14ac:dyDescent="0.3">
      <c r="A992" t="s">
        <v>9582</v>
      </c>
      <c r="B992" t="s">
        <v>10553</v>
      </c>
      <c r="C992" s="20" t="s">
        <v>10554</v>
      </c>
      <c r="D992">
        <v>1499</v>
      </c>
      <c r="E992" t="s">
        <v>9616</v>
      </c>
      <c r="F992">
        <v>8</v>
      </c>
      <c r="G992" s="28" t="s">
        <v>9590</v>
      </c>
    </row>
    <row r="993" spans="1:7" ht="28.8" x14ac:dyDescent="0.3">
      <c r="A993" t="s">
        <v>9582</v>
      </c>
      <c r="B993" t="s">
        <v>10553</v>
      </c>
      <c r="C993" s="20" t="s">
        <v>10554</v>
      </c>
      <c r="D993">
        <v>1499</v>
      </c>
      <c r="E993" t="s">
        <v>9616</v>
      </c>
      <c r="F993">
        <v>8</v>
      </c>
      <c r="G993" s="28" t="s">
        <v>9590</v>
      </c>
    </row>
    <row r="994" spans="1:7" ht="28.8" x14ac:dyDescent="0.3">
      <c r="A994" t="s">
        <v>9582</v>
      </c>
      <c r="B994" t="s">
        <v>10553</v>
      </c>
      <c r="C994" s="20" t="s">
        <v>10554</v>
      </c>
      <c r="D994">
        <v>1499</v>
      </c>
      <c r="E994" t="s">
        <v>9616</v>
      </c>
      <c r="F994">
        <v>8</v>
      </c>
      <c r="G994" s="28" t="s">
        <v>9590</v>
      </c>
    </row>
    <row r="995" spans="1:7" ht="28.8" x14ac:dyDescent="0.3">
      <c r="A995" t="s">
        <v>9582</v>
      </c>
      <c r="B995" t="s">
        <v>10553</v>
      </c>
      <c r="C995" s="20" t="s">
        <v>10554</v>
      </c>
      <c r="D995">
        <v>1499</v>
      </c>
      <c r="E995" t="s">
        <v>9616</v>
      </c>
      <c r="F995">
        <v>8</v>
      </c>
      <c r="G995" s="28" t="s">
        <v>9590</v>
      </c>
    </row>
    <row r="996" spans="1:7" ht="86.4" x14ac:dyDescent="0.3">
      <c r="A996" t="s">
        <v>9582</v>
      </c>
      <c r="B996" t="s">
        <v>10555</v>
      </c>
      <c r="C996" s="20" t="s">
        <v>10556</v>
      </c>
      <c r="D996">
        <v>1036</v>
      </c>
      <c r="E996" t="s">
        <v>9585</v>
      </c>
      <c r="F996">
        <v>5</v>
      </c>
      <c r="G996" s="28" t="s">
        <v>12572</v>
      </c>
    </row>
    <row r="997" spans="1:7" ht="28.8" x14ac:dyDescent="0.3">
      <c r="A997" t="s">
        <v>9582</v>
      </c>
      <c r="B997" t="s">
        <v>10557</v>
      </c>
      <c r="C997" s="20" t="s">
        <v>10558</v>
      </c>
      <c r="D997">
        <v>547</v>
      </c>
      <c r="E997" t="s">
        <v>9633</v>
      </c>
      <c r="F997">
        <v>4.2</v>
      </c>
      <c r="G997" s="28" t="s">
        <v>9590</v>
      </c>
    </row>
    <row r="998" spans="1:7" ht="28.8" x14ac:dyDescent="0.3">
      <c r="A998" t="s">
        <v>9582</v>
      </c>
      <c r="B998" t="s">
        <v>10559</v>
      </c>
      <c r="C998" s="20" t="s">
        <v>10560</v>
      </c>
      <c r="D998">
        <v>551</v>
      </c>
      <c r="E998" t="s">
        <v>9633</v>
      </c>
      <c r="F998">
        <v>4.2</v>
      </c>
      <c r="G998" s="28" t="s">
        <v>9590</v>
      </c>
    </row>
    <row r="999" spans="1:7" ht="28.8" x14ac:dyDescent="0.3">
      <c r="A999" t="s">
        <v>9582</v>
      </c>
      <c r="B999" t="s">
        <v>10561</v>
      </c>
      <c r="C999" s="20" t="s">
        <v>10562</v>
      </c>
      <c r="D999">
        <v>549</v>
      </c>
      <c r="E999" t="s">
        <v>9616</v>
      </c>
      <c r="F999">
        <v>8</v>
      </c>
      <c r="G999" s="28" t="s">
        <v>9590</v>
      </c>
    </row>
    <row r="1000" spans="1:7" ht="28.8" x14ac:dyDescent="0.3">
      <c r="A1000" t="s">
        <v>9582</v>
      </c>
      <c r="B1000" t="s">
        <v>10563</v>
      </c>
      <c r="C1000" s="20" t="s">
        <v>10564</v>
      </c>
      <c r="D1000">
        <v>550</v>
      </c>
      <c r="E1000" t="s">
        <v>9616</v>
      </c>
      <c r="F1000">
        <v>8</v>
      </c>
      <c r="G1000" s="28" t="s">
        <v>9590</v>
      </c>
    </row>
    <row r="1001" spans="1:7" ht="57.6" x14ac:dyDescent="0.3">
      <c r="A1001" t="s">
        <v>9582</v>
      </c>
      <c r="B1001" t="s">
        <v>10565</v>
      </c>
      <c r="C1001" s="20" t="s">
        <v>10566</v>
      </c>
      <c r="D1001">
        <v>545</v>
      </c>
      <c r="E1001" t="s">
        <v>9585</v>
      </c>
      <c r="F1001">
        <v>5</v>
      </c>
      <c r="G1001" s="28" t="s">
        <v>12573</v>
      </c>
    </row>
    <row r="1002" spans="1:7" ht="100.8" x14ac:dyDescent="0.3">
      <c r="A1002" t="s">
        <v>9582</v>
      </c>
      <c r="B1002" t="s">
        <v>10567</v>
      </c>
      <c r="C1002" s="20" t="s">
        <v>10568</v>
      </c>
      <c r="D1002">
        <v>544</v>
      </c>
      <c r="E1002" t="s">
        <v>9585</v>
      </c>
      <c r="F1002">
        <v>5</v>
      </c>
      <c r="G1002" s="28" t="s">
        <v>12574</v>
      </c>
    </row>
    <row r="1003" spans="1:7" ht="57.6" x14ac:dyDescent="0.3">
      <c r="A1003" t="s">
        <v>9582</v>
      </c>
      <c r="B1003" t="s">
        <v>10569</v>
      </c>
      <c r="C1003" s="20" t="s">
        <v>10570</v>
      </c>
      <c r="D1003">
        <v>725</v>
      </c>
      <c r="E1003" t="s">
        <v>9589</v>
      </c>
      <c r="F1003">
        <v>8</v>
      </c>
      <c r="G1003" s="28" t="s">
        <v>9590</v>
      </c>
    </row>
    <row r="1004" spans="1:7" ht="28.8" x14ac:dyDescent="0.3">
      <c r="A1004" t="s">
        <v>9582</v>
      </c>
      <c r="B1004" t="s">
        <v>10571</v>
      </c>
      <c r="C1004" s="20" t="s">
        <v>10572</v>
      </c>
      <c r="D1004">
        <v>160</v>
      </c>
      <c r="E1004" t="s">
        <v>9616</v>
      </c>
      <c r="F1004">
        <v>8</v>
      </c>
      <c r="G1004" s="28" t="s">
        <v>9590</v>
      </c>
    </row>
    <row r="1005" spans="1:7" ht="28.8" x14ac:dyDescent="0.3">
      <c r="A1005" t="s">
        <v>9582</v>
      </c>
      <c r="B1005" t="s">
        <v>10571</v>
      </c>
      <c r="C1005" s="20" t="s">
        <v>10572</v>
      </c>
      <c r="D1005">
        <v>160</v>
      </c>
      <c r="E1005" t="s">
        <v>9616</v>
      </c>
      <c r="F1005">
        <v>8</v>
      </c>
      <c r="G1005" s="28" t="s">
        <v>9590</v>
      </c>
    </row>
    <row r="1006" spans="1:7" ht="28.8" x14ac:dyDescent="0.3">
      <c r="A1006" t="s">
        <v>9582</v>
      </c>
      <c r="B1006" t="s">
        <v>10573</v>
      </c>
      <c r="C1006" s="20" t="s">
        <v>10574</v>
      </c>
      <c r="D1006">
        <v>161</v>
      </c>
      <c r="E1006" t="s">
        <v>9589</v>
      </c>
      <c r="F1006">
        <v>80</v>
      </c>
      <c r="G1006" s="28" t="s">
        <v>9590</v>
      </c>
    </row>
    <row r="1007" spans="1:7" ht="28.8" x14ac:dyDescent="0.3">
      <c r="A1007" t="s">
        <v>9582</v>
      </c>
      <c r="B1007" t="s">
        <v>10573</v>
      </c>
      <c r="C1007" s="20" t="s">
        <v>10574</v>
      </c>
      <c r="D1007">
        <v>161</v>
      </c>
      <c r="E1007" t="s">
        <v>9589</v>
      </c>
      <c r="F1007">
        <v>80</v>
      </c>
      <c r="G1007" s="28" t="s">
        <v>9590</v>
      </c>
    </row>
    <row r="1008" spans="1:7" ht="28.8" x14ac:dyDescent="0.3">
      <c r="A1008" t="s">
        <v>9582</v>
      </c>
      <c r="B1008" t="s">
        <v>10575</v>
      </c>
      <c r="C1008" s="20" t="s">
        <v>10576</v>
      </c>
      <c r="D1008">
        <v>162</v>
      </c>
      <c r="E1008" t="s">
        <v>9589</v>
      </c>
      <c r="F1008">
        <v>10</v>
      </c>
      <c r="G1008" s="28" t="s">
        <v>9590</v>
      </c>
    </row>
    <row r="1009" spans="1:7" ht="28.8" x14ac:dyDescent="0.3">
      <c r="A1009" t="s">
        <v>9582</v>
      </c>
      <c r="B1009" t="s">
        <v>10575</v>
      </c>
      <c r="C1009" s="20" t="s">
        <v>10576</v>
      </c>
      <c r="D1009">
        <v>162</v>
      </c>
      <c r="E1009" t="s">
        <v>9589</v>
      </c>
      <c r="F1009">
        <v>10</v>
      </c>
      <c r="G1009" s="28" t="s">
        <v>9590</v>
      </c>
    </row>
    <row r="1010" spans="1:7" ht="28.8" x14ac:dyDescent="0.3">
      <c r="A1010" t="s">
        <v>9582</v>
      </c>
      <c r="B1010" t="s">
        <v>10577</v>
      </c>
      <c r="C1010" s="20" t="s">
        <v>10578</v>
      </c>
      <c r="D1010">
        <v>163</v>
      </c>
      <c r="E1010" t="s">
        <v>9616</v>
      </c>
      <c r="F1010">
        <v>8</v>
      </c>
      <c r="G1010" s="28" t="s">
        <v>9590</v>
      </c>
    </row>
    <row r="1011" spans="1:7" ht="28.8" x14ac:dyDescent="0.3">
      <c r="A1011" t="s">
        <v>9582</v>
      </c>
      <c r="B1011" t="s">
        <v>10577</v>
      </c>
      <c r="C1011" s="20" t="s">
        <v>10578</v>
      </c>
      <c r="D1011">
        <v>163</v>
      </c>
      <c r="E1011" t="s">
        <v>9616</v>
      </c>
      <c r="F1011">
        <v>8</v>
      </c>
      <c r="G1011" s="28" t="s">
        <v>9590</v>
      </c>
    </row>
    <row r="1012" spans="1:7" ht="28.8" x14ac:dyDescent="0.3">
      <c r="A1012" t="s">
        <v>9582</v>
      </c>
      <c r="B1012" t="s">
        <v>10579</v>
      </c>
      <c r="C1012" s="20" t="s">
        <v>10580</v>
      </c>
      <c r="D1012">
        <v>164</v>
      </c>
      <c r="E1012" t="s">
        <v>9589</v>
      </c>
      <c r="F1012">
        <v>45</v>
      </c>
      <c r="G1012" s="28" t="s">
        <v>9590</v>
      </c>
    </row>
    <row r="1013" spans="1:7" ht="28.8" x14ac:dyDescent="0.3">
      <c r="A1013" t="s">
        <v>9582</v>
      </c>
      <c r="B1013" t="s">
        <v>10579</v>
      </c>
      <c r="C1013" s="20" t="s">
        <v>10580</v>
      </c>
      <c r="D1013">
        <v>164</v>
      </c>
      <c r="E1013" t="s">
        <v>9589</v>
      </c>
      <c r="F1013">
        <v>45</v>
      </c>
      <c r="G1013" s="28" t="s">
        <v>9590</v>
      </c>
    </row>
    <row r="1014" spans="1:7" ht="28.8" x14ac:dyDescent="0.3">
      <c r="A1014" t="s">
        <v>9582</v>
      </c>
      <c r="B1014" t="s">
        <v>10581</v>
      </c>
      <c r="C1014" s="20" t="s">
        <v>10582</v>
      </c>
      <c r="D1014">
        <v>165</v>
      </c>
      <c r="E1014" t="s">
        <v>9589</v>
      </c>
      <c r="F1014">
        <v>80</v>
      </c>
      <c r="G1014" s="28" t="s">
        <v>9590</v>
      </c>
    </row>
    <row r="1015" spans="1:7" ht="28.8" x14ac:dyDescent="0.3">
      <c r="A1015" t="s">
        <v>9582</v>
      </c>
      <c r="B1015" t="s">
        <v>10581</v>
      </c>
      <c r="C1015" s="20" t="s">
        <v>10582</v>
      </c>
      <c r="D1015">
        <v>165</v>
      </c>
      <c r="E1015" t="s">
        <v>9589</v>
      </c>
      <c r="F1015">
        <v>80</v>
      </c>
      <c r="G1015" s="28" t="s">
        <v>9590</v>
      </c>
    </row>
    <row r="1016" spans="1:7" ht="28.8" x14ac:dyDescent="0.3">
      <c r="A1016" t="s">
        <v>9582</v>
      </c>
      <c r="B1016" t="s">
        <v>10583</v>
      </c>
      <c r="C1016" s="20" t="s">
        <v>10576</v>
      </c>
      <c r="D1016">
        <v>166</v>
      </c>
      <c r="E1016" t="s">
        <v>9589</v>
      </c>
      <c r="F1016">
        <v>10</v>
      </c>
      <c r="G1016" s="28" t="s">
        <v>9590</v>
      </c>
    </row>
    <row r="1017" spans="1:7" ht="28.8" x14ac:dyDescent="0.3">
      <c r="A1017" t="s">
        <v>9582</v>
      </c>
      <c r="B1017" t="s">
        <v>10583</v>
      </c>
      <c r="C1017" s="20" t="s">
        <v>10576</v>
      </c>
      <c r="D1017">
        <v>166</v>
      </c>
      <c r="E1017" t="s">
        <v>9589</v>
      </c>
      <c r="F1017">
        <v>10</v>
      </c>
      <c r="G1017" s="28" t="s">
        <v>9590</v>
      </c>
    </row>
    <row r="1018" spans="1:7" ht="28.8" x14ac:dyDescent="0.3">
      <c r="A1018" t="s">
        <v>9582</v>
      </c>
      <c r="B1018" t="s">
        <v>10584</v>
      </c>
      <c r="C1018" s="20" t="s">
        <v>10585</v>
      </c>
      <c r="D1018">
        <v>167</v>
      </c>
      <c r="E1018" t="s">
        <v>9589</v>
      </c>
      <c r="F1018">
        <v>45</v>
      </c>
      <c r="G1018" s="28" t="s">
        <v>9590</v>
      </c>
    </row>
    <row r="1019" spans="1:7" ht="28.8" x14ac:dyDescent="0.3">
      <c r="A1019" t="s">
        <v>9582</v>
      </c>
      <c r="B1019" t="s">
        <v>10584</v>
      </c>
      <c r="C1019" s="20" t="s">
        <v>10585</v>
      </c>
      <c r="D1019">
        <v>167</v>
      </c>
      <c r="E1019" t="s">
        <v>9589</v>
      </c>
      <c r="F1019">
        <v>45</v>
      </c>
      <c r="G1019" s="28" t="s">
        <v>9590</v>
      </c>
    </row>
    <row r="1020" spans="1:7" ht="28.8" x14ac:dyDescent="0.3">
      <c r="A1020" t="s">
        <v>9582</v>
      </c>
      <c r="B1020" t="s">
        <v>10586</v>
      </c>
      <c r="C1020" s="20" t="s">
        <v>10587</v>
      </c>
      <c r="D1020">
        <v>168</v>
      </c>
      <c r="E1020" t="s">
        <v>9589</v>
      </c>
      <c r="F1020">
        <v>80</v>
      </c>
      <c r="G1020" s="28" t="s">
        <v>9590</v>
      </c>
    </row>
    <row r="1021" spans="1:7" ht="28.8" x14ac:dyDescent="0.3">
      <c r="A1021" t="s">
        <v>9582</v>
      </c>
      <c r="B1021" t="s">
        <v>10586</v>
      </c>
      <c r="C1021" s="20" t="s">
        <v>10587</v>
      </c>
      <c r="D1021">
        <v>168</v>
      </c>
      <c r="E1021" t="s">
        <v>9589</v>
      </c>
      <c r="F1021">
        <v>80</v>
      </c>
      <c r="G1021" s="28" t="s">
        <v>9590</v>
      </c>
    </row>
    <row r="1022" spans="1:7" ht="28.8" x14ac:dyDescent="0.3">
      <c r="A1022" t="s">
        <v>9582</v>
      </c>
      <c r="B1022" t="s">
        <v>10588</v>
      </c>
      <c r="C1022" s="20" t="s">
        <v>10589</v>
      </c>
      <c r="D1022">
        <v>169</v>
      </c>
      <c r="E1022" t="s">
        <v>9589</v>
      </c>
      <c r="F1022">
        <v>80</v>
      </c>
      <c r="G1022" s="28" t="s">
        <v>9590</v>
      </c>
    </row>
    <row r="1023" spans="1:7" ht="28.8" x14ac:dyDescent="0.3">
      <c r="A1023" t="s">
        <v>9582</v>
      </c>
      <c r="B1023" t="s">
        <v>10588</v>
      </c>
      <c r="C1023" s="20" t="s">
        <v>10589</v>
      </c>
      <c r="D1023">
        <v>169</v>
      </c>
      <c r="E1023" t="s">
        <v>9589</v>
      </c>
      <c r="F1023">
        <v>80</v>
      </c>
      <c r="G1023" s="28" t="s">
        <v>9590</v>
      </c>
    </row>
    <row r="1024" spans="1:7" ht="100.8" x14ac:dyDescent="0.3">
      <c r="A1024" t="s">
        <v>9582</v>
      </c>
      <c r="B1024" t="s">
        <v>10590</v>
      </c>
      <c r="C1024" s="20" t="s">
        <v>10591</v>
      </c>
      <c r="D1024">
        <v>372</v>
      </c>
      <c r="E1024" t="s">
        <v>9585</v>
      </c>
      <c r="F1024">
        <v>5</v>
      </c>
      <c r="G1024" s="28" t="s">
        <v>12575</v>
      </c>
    </row>
    <row r="1025" spans="1:7" ht="86.4" x14ac:dyDescent="0.3">
      <c r="A1025" t="s">
        <v>9582</v>
      </c>
      <c r="B1025" t="s">
        <v>10592</v>
      </c>
      <c r="C1025" s="20" t="s">
        <v>10593</v>
      </c>
      <c r="D1025">
        <v>1318</v>
      </c>
      <c r="E1025" t="s">
        <v>9589</v>
      </c>
      <c r="F1025">
        <v>30</v>
      </c>
      <c r="G1025" s="28" t="s">
        <v>9590</v>
      </c>
    </row>
    <row r="1026" spans="1:7" ht="57.6" x14ac:dyDescent="0.3">
      <c r="A1026" t="s">
        <v>9582</v>
      </c>
      <c r="B1026" t="s">
        <v>10594</v>
      </c>
      <c r="C1026" s="20" t="s">
        <v>10595</v>
      </c>
      <c r="D1026">
        <v>610</v>
      </c>
      <c r="E1026" t="s">
        <v>9585</v>
      </c>
      <c r="F1026">
        <v>5</v>
      </c>
      <c r="G1026" s="28" t="s">
        <v>12576</v>
      </c>
    </row>
    <row r="1027" spans="1:7" ht="57.6" x14ac:dyDescent="0.3">
      <c r="A1027" t="s">
        <v>9582</v>
      </c>
      <c r="B1027" t="s">
        <v>10594</v>
      </c>
      <c r="C1027" s="20" t="s">
        <v>10595</v>
      </c>
      <c r="D1027">
        <v>610</v>
      </c>
      <c r="E1027" t="s">
        <v>9585</v>
      </c>
      <c r="F1027">
        <v>5</v>
      </c>
      <c r="G1027" s="28" t="s">
        <v>12576</v>
      </c>
    </row>
    <row r="1028" spans="1:7" ht="43.2" x14ac:dyDescent="0.3">
      <c r="A1028" t="s">
        <v>9582</v>
      </c>
      <c r="B1028" t="s">
        <v>10596</v>
      </c>
      <c r="C1028" s="20" t="s">
        <v>10597</v>
      </c>
      <c r="D1028">
        <v>785</v>
      </c>
      <c r="E1028" t="s">
        <v>9616</v>
      </c>
      <c r="F1028">
        <v>8</v>
      </c>
      <c r="G1028" s="28" t="s">
        <v>9590</v>
      </c>
    </row>
    <row r="1029" spans="1:7" ht="43.2" x14ac:dyDescent="0.3">
      <c r="A1029" t="s">
        <v>9582</v>
      </c>
      <c r="B1029" t="s">
        <v>10598</v>
      </c>
      <c r="C1029" s="20" t="s">
        <v>10599</v>
      </c>
      <c r="D1029">
        <v>784</v>
      </c>
      <c r="E1029" t="s">
        <v>9589</v>
      </c>
      <c r="F1029">
        <v>35</v>
      </c>
      <c r="G1029" s="28" t="s">
        <v>9590</v>
      </c>
    </row>
    <row r="1030" spans="1:7" ht="57.6" x14ac:dyDescent="0.3">
      <c r="A1030" t="s">
        <v>9582</v>
      </c>
      <c r="B1030" t="s">
        <v>10600</v>
      </c>
      <c r="C1030" s="20" t="s">
        <v>10601</v>
      </c>
      <c r="D1030">
        <v>783</v>
      </c>
      <c r="E1030" t="s">
        <v>9589</v>
      </c>
      <c r="F1030">
        <v>60</v>
      </c>
      <c r="G1030" s="28" t="s">
        <v>9590</v>
      </c>
    </row>
    <row r="1031" spans="1:7" ht="43.2" x14ac:dyDescent="0.3">
      <c r="A1031" t="s">
        <v>9582</v>
      </c>
      <c r="B1031" t="s">
        <v>10602</v>
      </c>
      <c r="C1031" s="20" t="s">
        <v>10603</v>
      </c>
      <c r="D1031">
        <v>786</v>
      </c>
      <c r="E1031" t="s">
        <v>9616</v>
      </c>
      <c r="F1031">
        <v>8</v>
      </c>
      <c r="G1031" s="28" t="s">
        <v>9590</v>
      </c>
    </row>
    <row r="1032" spans="1:7" ht="28.8" x14ac:dyDescent="0.3">
      <c r="A1032" t="s">
        <v>9582</v>
      </c>
      <c r="B1032" t="s">
        <v>10604</v>
      </c>
      <c r="C1032" s="20" t="s">
        <v>10605</v>
      </c>
      <c r="D1032">
        <v>1451</v>
      </c>
      <c r="E1032" t="s">
        <v>9585</v>
      </c>
      <c r="F1032">
        <v>5</v>
      </c>
      <c r="G1032" s="28" t="s">
        <v>9586</v>
      </c>
    </row>
    <row r="1033" spans="1:7" ht="158.4" x14ac:dyDescent="0.3">
      <c r="A1033" t="s">
        <v>9582</v>
      </c>
      <c r="B1033" t="s">
        <v>10606</v>
      </c>
      <c r="C1033" s="20" t="s">
        <v>10607</v>
      </c>
      <c r="D1033">
        <v>1881</v>
      </c>
      <c r="E1033" t="s">
        <v>9585</v>
      </c>
      <c r="F1033">
        <v>5</v>
      </c>
      <c r="G1033" s="28" t="s">
        <v>12577</v>
      </c>
    </row>
    <row r="1034" spans="1:7" ht="144" x14ac:dyDescent="0.3">
      <c r="A1034" t="s">
        <v>9582</v>
      </c>
      <c r="B1034" t="s">
        <v>10608</v>
      </c>
      <c r="C1034" s="20" t="s">
        <v>10609</v>
      </c>
      <c r="D1034">
        <v>1283</v>
      </c>
      <c r="E1034" t="s">
        <v>9585</v>
      </c>
      <c r="F1034">
        <v>5</v>
      </c>
      <c r="G1034" s="28" t="s">
        <v>12578</v>
      </c>
    </row>
    <row r="1035" spans="1:7" ht="144" x14ac:dyDescent="0.3">
      <c r="A1035" t="s">
        <v>9582</v>
      </c>
      <c r="B1035" t="s">
        <v>10608</v>
      </c>
      <c r="C1035" s="20" t="s">
        <v>10609</v>
      </c>
      <c r="D1035">
        <v>1283</v>
      </c>
      <c r="E1035" t="s">
        <v>9585</v>
      </c>
      <c r="F1035">
        <v>5</v>
      </c>
      <c r="G1035" s="28" t="s">
        <v>12578</v>
      </c>
    </row>
    <row r="1036" spans="1:7" ht="201.6" x14ac:dyDescent="0.3">
      <c r="A1036" t="s">
        <v>9582</v>
      </c>
      <c r="B1036" t="s">
        <v>10610</v>
      </c>
      <c r="C1036" s="20" t="s">
        <v>12368</v>
      </c>
      <c r="D1036">
        <v>839</v>
      </c>
      <c r="E1036" t="s">
        <v>9585</v>
      </c>
      <c r="F1036">
        <v>5</v>
      </c>
      <c r="G1036" s="28" t="s">
        <v>12579</v>
      </c>
    </row>
    <row r="1037" spans="1:7" ht="201.6" x14ac:dyDescent="0.3">
      <c r="A1037" t="s">
        <v>9582</v>
      </c>
      <c r="B1037" t="s">
        <v>10610</v>
      </c>
      <c r="C1037" s="20" t="s">
        <v>12368</v>
      </c>
      <c r="D1037">
        <v>839</v>
      </c>
      <c r="E1037" t="s">
        <v>9585</v>
      </c>
      <c r="F1037">
        <v>5</v>
      </c>
      <c r="G1037" s="28" t="s">
        <v>12579</v>
      </c>
    </row>
    <row r="1038" spans="1:7" ht="201.6" x14ac:dyDescent="0.3">
      <c r="A1038" t="s">
        <v>9582</v>
      </c>
      <c r="B1038" t="s">
        <v>10610</v>
      </c>
      <c r="C1038" s="20" t="s">
        <v>12368</v>
      </c>
      <c r="D1038">
        <v>839</v>
      </c>
      <c r="E1038" t="s">
        <v>9585</v>
      </c>
      <c r="F1038">
        <v>5</v>
      </c>
      <c r="G1038" s="28" t="s">
        <v>12579</v>
      </c>
    </row>
    <row r="1039" spans="1:7" ht="72" x14ac:dyDescent="0.3">
      <c r="A1039" t="s">
        <v>9582</v>
      </c>
      <c r="B1039" t="s">
        <v>10611</v>
      </c>
      <c r="C1039" s="20" t="s">
        <v>10612</v>
      </c>
      <c r="D1039">
        <v>175</v>
      </c>
      <c r="E1039" t="s">
        <v>9616</v>
      </c>
      <c r="F1039">
        <v>8</v>
      </c>
      <c r="G1039" s="28" t="s">
        <v>9590</v>
      </c>
    </row>
    <row r="1040" spans="1:7" ht="72" x14ac:dyDescent="0.3">
      <c r="A1040" t="s">
        <v>9582</v>
      </c>
      <c r="B1040" t="s">
        <v>10611</v>
      </c>
      <c r="C1040" s="20" t="s">
        <v>10612</v>
      </c>
      <c r="D1040">
        <v>175</v>
      </c>
      <c r="E1040" t="s">
        <v>9616</v>
      </c>
      <c r="F1040">
        <v>8</v>
      </c>
      <c r="G1040" s="28" t="s">
        <v>9590</v>
      </c>
    </row>
    <row r="1041" spans="1:7" ht="72" x14ac:dyDescent="0.3">
      <c r="A1041" t="s">
        <v>9582</v>
      </c>
      <c r="B1041" t="s">
        <v>10611</v>
      </c>
      <c r="C1041" s="20" t="s">
        <v>10612</v>
      </c>
      <c r="D1041">
        <v>175</v>
      </c>
      <c r="E1041" t="s">
        <v>9616</v>
      </c>
      <c r="F1041">
        <v>8</v>
      </c>
      <c r="G1041" s="28" t="s">
        <v>9590</v>
      </c>
    </row>
    <row r="1042" spans="1:7" ht="43.2" x14ac:dyDescent="0.3">
      <c r="A1042" t="s">
        <v>9582</v>
      </c>
      <c r="B1042" t="s">
        <v>10613</v>
      </c>
      <c r="C1042" s="20" t="s">
        <v>10614</v>
      </c>
      <c r="D1042">
        <v>176</v>
      </c>
      <c r="E1042" t="s">
        <v>9653</v>
      </c>
      <c r="F1042">
        <v>3</v>
      </c>
      <c r="G1042" s="28" t="s">
        <v>9590</v>
      </c>
    </row>
    <row r="1043" spans="1:7" ht="43.2" x14ac:dyDescent="0.3">
      <c r="A1043" t="s">
        <v>9582</v>
      </c>
      <c r="B1043" t="s">
        <v>10613</v>
      </c>
      <c r="C1043" s="20" t="s">
        <v>10614</v>
      </c>
      <c r="D1043">
        <v>176</v>
      </c>
      <c r="E1043" t="s">
        <v>9653</v>
      </c>
      <c r="F1043">
        <v>3</v>
      </c>
      <c r="G1043" s="28" t="s">
        <v>9590</v>
      </c>
    </row>
    <row r="1044" spans="1:7" ht="43.2" x14ac:dyDescent="0.3">
      <c r="A1044" t="s">
        <v>9582</v>
      </c>
      <c r="B1044" t="s">
        <v>10613</v>
      </c>
      <c r="C1044" s="20" t="s">
        <v>10614</v>
      </c>
      <c r="D1044">
        <v>176</v>
      </c>
      <c r="E1044" t="s">
        <v>9653</v>
      </c>
      <c r="F1044">
        <v>3</v>
      </c>
      <c r="G1044" s="28" t="s">
        <v>9590</v>
      </c>
    </row>
    <row r="1045" spans="1:7" ht="72" x14ac:dyDescent="0.3">
      <c r="A1045" t="s">
        <v>9582</v>
      </c>
      <c r="B1045" t="s">
        <v>7579</v>
      </c>
      <c r="C1045" s="20" t="s">
        <v>10615</v>
      </c>
      <c r="D1045">
        <v>330</v>
      </c>
      <c r="E1045" t="s">
        <v>9585</v>
      </c>
      <c r="F1045">
        <v>5</v>
      </c>
      <c r="G1045" s="28" t="s">
        <v>12580</v>
      </c>
    </row>
    <row r="1046" spans="1:7" ht="72" x14ac:dyDescent="0.3">
      <c r="A1046" t="s">
        <v>9582</v>
      </c>
      <c r="B1046" t="s">
        <v>7579</v>
      </c>
      <c r="C1046" s="20" t="s">
        <v>10615</v>
      </c>
      <c r="D1046">
        <v>330</v>
      </c>
      <c r="E1046" t="s">
        <v>9585</v>
      </c>
      <c r="F1046">
        <v>5</v>
      </c>
      <c r="G1046" s="28" t="s">
        <v>12580</v>
      </c>
    </row>
    <row r="1047" spans="1:7" ht="72" x14ac:dyDescent="0.3">
      <c r="A1047" t="s">
        <v>9582</v>
      </c>
      <c r="B1047" t="s">
        <v>10616</v>
      </c>
      <c r="C1047" s="20" t="s">
        <v>10617</v>
      </c>
      <c r="D1047">
        <v>860</v>
      </c>
      <c r="E1047" t="s">
        <v>9585</v>
      </c>
      <c r="F1047">
        <v>5</v>
      </c>
      <c r="G1047" s="28" t="s">
        <v>12581</v>
      </c>
    </row>
    <row r="1048" spans="1:7" ht="28.8" x14ac:dyDescent="0.3">
      <c r="A1048" t="s">
        <v>9582</v>
      </c>
      <c r="B1048" t="s">
        <v>10618</v>
      </c>
      <c r="C1048" s="20" t="s">
        <v>10619</v>
      </c>
      <c r="D1048">
        <v>177</v>
      </c>
      <c r="E1048" t="s">
        <v>9616</v>
      </c>
      <c r="F1048">
        <v>8</v>
      </c>
      <c r="G1048" s="28" t="s">
        <v>9590</v>
      </c>
    </row>
    <row r="1049" spans="1:7" ht="28.8" x14ac:dyDescent="0.3">
      <c r="A1049" t="s">
        <v>9582</v>
      </c>
      <c r="B1049" t="s">
        <v>10618</v>
      </c>
      <c r="C1049" s="20" t="s">
        <v>10619</v>
      </c>
      <c r="D1049">
        <v>177</v>
      </c>
      <c r="E1049" t="s">
        <v>9616</v>
      </c>
      <c r="F1049">
        <v>8</v>
      </c>
      <c r="G1049" s="28" t="s">
        <v>9590</v>
      </c>
    </row>
    <row r="1050" spans="1:7" ht="28.8" x14ac:dyDescent="0.3">
      <c r="A1050" t="s">
        <v>9582</v>
      </c>
      <c r="B1050" t="s">
        <v>10618</v>
      </c>
      <c r="C1050" s="20" t="s">
        <v>10619</v>
      </c>
      <c r="D1050">
        <v>177</v>
      </c>
      <c r="E1050" t="s">
        <v>9616</v>
      </c>
      <c r="F1050">
        <v>8</v>
      </c>
      <c r="G1050" s="28" t="s">
        <v>9590</v>
      </c>
    </row>
    <row r="1051" spans="1:7" ht="28.8" x14ac:dyDescent="0.3">
      <c r="A1051" t="s">
        <v>9582</v>
      </c>
      <c r="B1051" t="s">
        <v>10620</v>
      </c>
      <c r="C1051" s="20" t="s">
        <v>10621</v>
      </c>
      <c r="D1051">
        <v>178</v>
      </c>
      <c r="E1051" t="s">
        <v>9616</v>
      </c>
      <c r="F1051">
        <v>8</v>
      </c>
      <c r="G1051" s="28" t="s">
        <v>9590</v>
      </c>
    </row>
    <row r="1052" spans="1:7" ht="28.8" x14ac:dyDescent="0.3">
      <c r="A1052" t="s">
        <v>9582</v>
      </c>
      <c r="B1052" t="s">
        <v>10620</v>
      </c>
      <c r="C1052" s="20" t="s">
        <v>10621</v>
      </c>
      <c r="D1052">
        <v>178</v>
      </c>
      <c r="E1052" t="s">
        <v>9616</v>
      </c>
      <c r="F1052">
        <v>8</v>
      </c>
      <c r="G1052" s="28" t="s">
        <v>9590</v>
      </c>
    </row>
    <row r="1053" spans="1:7" ht="28.8" x14ac:dyDescent="0.3">
      <c r="A1053" t="s">
        <v>9582</v>
      </c>
      <c r="B1053" t="s">
        <v>10620</v>
      </c>
      <c r="C1053" s="20" t="s">
        <v>10621</v>
      </c>
      <c r="D1053">
        <v>178</v>
      </c>
      <c r="E1053" t="s">
        <v>9616</v>
      </c>
      <c r="F1053">
        <v>8</v>
      </c>
      <c r="G1053" s="28" t="s">
        <v>9590</v>
      </c>
    </row>
    <row r="1054" spans="1:7" ht="28.8" x14ac:dyDescent="0.3">
      <c r="A1054" t="s">
        <v>9582</v>
      </c>
      <c r="B1054" t="s">
        <v>10622</v>
      </c>
      <c r="C1054" s="20" t="s">
        <v>10623</v>
      </c>
      <c r="D1054">
        <v>1314</v>
      </c>
      <c r="E1054" t="s">
        <v>9589</v>
      </c>
      <c r="F1054">
        <v>45</v>
      </c>
      <c r="G1054" s="28" t="s">
        <v>9590</v>
      </c>
    </row>
    <row r="1055" spans="1:7" ht="43.2" x14ac:dyDescent="0.3">
      <c r="A1055" t="s">
        <v>9582</v>
      </c>
      <c r="B1055" t="s">
        <v>10624</v>
      </c>
      <c r="C1055" s="20" t="s">
        <v>10625</v>
      </c>
      <c r="D1055">
        <v>546</v>
      </c>
      <c r="E1055" t="s">
        <v>9633</v>
      </c>
      <c r="F1055">
        <v>4.2</v>
      </c>
      <c r="G1055" s="28" t="s">
        <v>9590</v>
      </c>
    </row>
    <row r="1056" spans="1:7" ht="28.8" x14ac:dyDescent="0.3">
      <c r="A1056" t="s">
        <v>9582</v>
      </c>
      <c r="B1056" t="s">
        <v>10626</v>
      </c>
      <c r="C1056" s="20" t="s">
        <v>10627</v>
      </c>
      <c r="D1056">
        <v>1190</v>
      </c>
      <c r="E1056" t="s">
        <v>9653</v>
      </c>
      <c r="F1056">
        <v>5</v>
      </c>
      <c r="G1056" s="28" t="s">
        <v>9590</v>
      </c>
    </row>
    <row r="1057" spans="1:7" ht="144" x14ac:dyDescent="0.3">
      <c r="A1057" t="s">
        <v>9582</v>
      </c>
      <c r="B1057" t="s">
        <v>10628</v>
      </c>
      <c r="C1057" s="20" t="s">
        <v>10629</v>
      </c>
      <c r="D1057">
        <v>1105</v>
      </c>
      <c r="E1057" t="s">
        <v>9585</v>
      </c>
      <c r="F1057">
        <v>5</v>
      </c>
      <c r="G1057" s="28" t="s">
        <v>12582</v>
      </c>
    </row>
    <row r="1058" spans="1:7" ht="115.2" x14ac:dyDescent="0.3">
      <c r="A1058" t="s">
        <v>9582</v>
      </c>
      <c r="B1058" t="s">
        <v>10630</v>
      </c>
      <c r="C1058" s="20" t="s">
        <v>10631</v>
      </c>
      <c r="D1058">
        <v>1073</v>
      </c>
      <c r="E1058" t="s">
        <v>9585</v>
      </c>
      <c r="F1058">
        <v>5</v>
      </c>
      <c r="G1058" s="28" t="s">
        <v>12583</v>
      </c>
    </row>
    <row r="1059" spans="1:7" ht="57.6" x14ac:dyDescent="0.3">
      <c r="A1059" t="s">
        <v>9582</v>
      </c>
      <c r="B1059" t="s">
        <v>10632</v>
      </c>
      <c r="C1059" s="20" t="s">
        <v>10633</v>
      </c>
      <c r="D1059">
        <v>1074</v>
      </c>
      <c r="E1059" t="s">
        <v>9633</v>
      </c>
      <c r="F1059">
        <v>2.2000000000000002</v>
      </c>
      <c r="G1059" s="28" t="s">
        <v>9590</v>
      </c>
    </row>
    <row r="1060" spans="1:7" ht="100.8" x14ac:dyDescent="0.3">
      <c r="A1060" t="s">
        <v>9582</v>
      </c>
      <c r="B1060" t="s">
        <v>10634</v>
      </c>
      <c r="C1060" s="20" t="s">
        <v>10635</v>
      </c>
      <c r="D1060">
        <v>1069</v>
      </c>
      <c r="E1060" t="s">
        <v>9585</v>
      </c>
      <c r="F1060">
        <v>5</v>
      </c>
      <c r="G1060" s="28" t="s">
        <v>12584</v>
      </c>
    </row>
    <row r="1061" spans="1:7" ht="100.8" x14ac:dyDescent="0.3">
      <c r="A1061" t="s">
        <v>9582</v>
      </c>
      <c r="B1061" t="s">
        <v>10634</v>
      </c>
      <c r="C1061" s="20" t="s">
        <v>10635</v>
      </c>
      <c r="D1061">
        <v>1069</v>
      </c>
      <c r="E1061" t="s">
        <v>9585</v>
      </c>
      <c r="F1061">
        <v>5</v>
      </c>
      <c r="G1061" s="28" t="s">
        <v>12584</v>
      </c>
    </row>
    <row r="1062" spans="1:7" ht="100.8" x14ac:dyDescent="0.3">
      <c r="A1062" t="s">
        <v>9582</v>
      </c>
      <c r="B1062" t="s">
        <v>10636</v>
      </c>
      <c r="C1062" s="20" t="s">
        <v>10637</v>
      </c>
      <c r="D1062">
        <v>1106</v>
      </c>
      <c r="E1062" t="s">
        <v>9585</v>
      </c>
      <c r="F1062">
        <v>5</v>
      </c>
      <c r="G1062" s="28" t="s">
        <v>12585</v>
      </c>
    </row>
    <row r="1063" spans="1:7" ht="43.2" x14ac:dyDescent="0.3">
      <c r="A1063" t="s">
        <v>9582</v>
      </c>
      <c r="B1063" t="s">
        <v>10638</v>
      </c>
      <c r="C1063" s="20" t="s">
        <v>10639</v>
      </c>
      <c r="D1063">
        <v>1104</v>
      </c>
      <c r="E1063" t="s">
        <v>9589</v>
      </c>
      <c r="F1063">
        <v>10</v>
      </c>
      <c r="G1063" s="28" t="s">
        <v>9590</v>
      </c>
    </row>
    <row r="1064" spans="1:7" ht="43.2" x14ac:dyDescent="0.3">
      <c r="A1064" t="s">
        <v>9582</v>
      </c>
      <c r="B1064" t="s">
        <v>10640</v>
      </c>
      <c r="C1064" s="20" t="s">
        <v>10641</v>
      </c>
      <c r="D1064">
        <v>1103</v>
      </c>
      <c r="E1064" t="s">
        <v>9589</v>
      </c>
      <c r="F1064">
        <v>10</v>
      </c>
      <c r="G1064" s="28" t="s">
        <v>9590</v>
      </c>
    </row>
    <row r="1065" spans="1:7" ht="57.6" x14ac:dyDescent="0.3">
      <c r="A1065" t="s">
        <v>9582</v>
      </c>
      <c r="B1065" t="s">
        <v>10642</v>
      </c>
      <c r="C1065" s="20" t="s">
        <v>10643</v>
      </c>
      <c r="D1065">
        <v>1070</v>
      </c>
      <c r="E1065" t="s">
        <v>9616</v>
      </c>
      <c r="F1065">
        <v>8</v>
      </c>
      <c r="G1065" s="28" t="s">
        <v>12515</v>
      </c>
    </row>
    <row r="1066" spans="1:7" ht="57.6" x14ac:dyDescent="0.3">
      <c r="A1066" t="s">
        <v>9582</v>
      </c>
      <c r="B1066" t="s">
        <v>10642</v>
      </c>
      <c r="C1066" s="20" t="s">
        <v>10643</v>
      </c>
      <c r="D1066">
        <v>1070</v>
      </c>
      <c r="E1066" t="s">
        <v>9616</v>
      </c>
      <c r="F1066">
        <v>8</v>
      </c>
      <c r="G1066" s="28" t="s">
        <v>12515</v>
      </c>
    </row>
    <row r="1067" spans="1:7" ht="158.4" x14ac:dyDescent="0.3">
      <c r="A1067" t="s">
        <v>9582</v>
      </c>
      <c r="B1067" t="s">
        <v>10644</v>
      </c>
      <c r="C1067" s="20" t="s">
        <v>10645</v>
      </c>
      <c r="D1067">
        <v>1072</v>
      </c>
      <c r="E1067" t="s">
        <v>9585</v>
      </c>
      <c r="F1067">
        <v>5</v>
      </c>
      <c r="G1067" s="28" t="s">
        <v>12586</v>
      </c>
    </row>
    <row r="1068" spans="1:7" ht="86.4" x14ac:dyDescent="0.3">
      <c r="A1068" t="s">
        <v>9582</v>
      </c>
      <c r="B1068" t="s">
        <v>10646</v>
      </c>
      <c r="C1068" s="20" t="s">
        <v>10647</v>
      </c>
      <c r="D1068">
        <v>1071</v>
      </c>
      <c r="E1068" t="s">
        <v>9585</v>
      </c>
      <c r="F1068">
        <v>5</v>
      </c>
      <c r="G1068" s="28" t="s">
        <v>12587</v>
      </c>
    </row>
    <row r="1069" spans="1:7" ht="201.6" x14ac:dyDescent="0.3">
      <c r="A1069" t="s">
        <v>9582</v>
      </c>
      <c r="B1069" t="s">
        <v>10648</v>
      </c>
      <c r="C1069" s="20" t="s">
        <v>10649</v>
      </c>
      <c r="D1069">
        <v>457</v>
      </c>
      <c r="E1069" t="s">
        <v>9585</v>
      </c>
      <c r="F1069">
        <v>5</v>
      </c>
      <c r="G1069" s="28" t="s">
        <v>12588</v>
      </c>
    </row>
    <row r="1070" spans="1:7" ht="28.8" x14ac:dyDescent="0.3">
      <c r="A1070" t="s">
        <v>9582</v>
      </c>
      <c r="B1070" t="s">
        <v>10650</v>
      </c>
      <c r="C1070" s="20" t="s">
        <v>10651</v>
      </c>
      <c r="D1070">
        <v>341</v>
      </c>
      <c r="E1070" t="s">
        <v>9616</v>
      </c>
      <c r="F1070">
        <v>8</v>
      </c>
      <c r="G1070" s="28" t="s">
        <v>9590</v>
      </c>
    </row>
    <row r="1071" spans="1:7" ht="28.8" x14ac:dyDescent="0.3">
      <c r="A1071" t="s">
        <v>9582</v>
      </c>
      <c r="B1071" t="s">
        <v>10650</v>
      </c>
      <c r="C1071" s="20" t="s">
        <v>10651</v>
      </c>
      <c r="D1071">
        <v>341</v>
      </c>
      <c r="E1071" t="s">
        <v>9616</v>
      </c>
      <c r="F1071">
        <v>8</v>
      </c>
      <c r="G1071" s="28" t="s">
        <v>9590</v>
      </c>
    </row>
    <row r="1072" spans="1:7" ht="144" x14ac:dyDescent="0.3">
      <c r="A1072" t="s">
        <v>9582</v>
      </c>
      <c r="B1072" t="s">
        <v>10652</v>
      </c>
      <c r="C1072" s="20" t="s">
        <v>10653</v>
      </c>
      <c r="D1072">
        <v>755</v>
      </c>
      <c r="E1072" t="s">
        <v>9589</v>
      </c>
      <c r="F1072">
        <v>35</v>
      </c>
      <c r="G1072" s="28" t="s">
        <v>9590</v>
      </c>
    </row>
    <row r="1073" spans="1:7" ht="57.6" x14ac:dyDescent="0.3">
      <c r="A1073" t="s">
        <v>9582</v>
      </c>
      <c r="B1073" t="s">
        <v>10654</v>
      </c>
      <c r="C1073" s="20" t="s">
        <v>10655</v>
      </c>
      <c r="D1073">
        <v>342</v>
      </c>
      <c r="E1073" t="s">
        <v>9589</v>
      </c>
      <c r="F1073">
        <v>80</v>
      </c>
      <c r="G1073" s="28" t="s">
        <v>9590</v>
      </c>
    </row>
    <row r="1074" spans="1:7" ht="158.4" x14ac:dyDescent="0.3">
      <c r="A1074" t="s">
        <v>9582</v>
      </c>
      <c r="B1074" t="s">
        <v>10656</v>
      </c>
      <c r="C1074" s="20" t="s">
        <v>10657</v>
      </c>
      <c r="D1074">
        <v>340</v>
      </c>
      <c r="E1074" t="s">
        <v>9585</v>
      </c>
      <c r="F1074">
        <v>5</v>
      </c>
      <c r="G1074" s="28" t="s">
        <v>12589</v>
      </c>
    </row>
    <row r="1075" spans="1:7" ht="158.4" x14ac:dyDescent="0.3">
      <c r="A1075" t="s">
        <v>9582</v>
      </c>
      <c r="B1075" t="s">
        <v>10656</v>
      </c>
      <c r="C1075" s="20" t="s">
        <v>10657</v>
      </c>
      <c r="D1075">
        <v>340</v>
      </c>
      <c r="E1075" t="s">
        <v>9585</v>
      </c>
      <c r="F1075">
        <v>5</v>
      </c>
      <c r="G1075" s="28" t="s">
        <v>12589</v>
      </c>
    </row>
    <row r="1076" spans="1:7" ht="86.4" x14ac:dyDescent="0.3">
      <c r="A1076" t="s">
        <v>9582</v>
      </c>
      <c r="B1076" t="s">
        <v>10658</v>
      </c>
      <c r="C1076" s="20" t="s">
        <v>10659</v>
      </c>
      <c r="D1076">
        <v>758</v>
      </c>
      <c r="E1076" t="s">
        <v>9589</v>
      </c>
      <c r="F1076">
        <v>12</v>
      </c>
      <c r="G1076" s="28" t="s">
        <v>9590</v>
      </c>
    </row>
    <row r="1077" spans="1:7" ht="72" x14ac:dyDescent="0.3">
      <c r="A1077" t="s">
        <v>9582</v>
      </c>
      <c r="B1077" t="s">
        <v>10660</v>
      </c>
      <c r="C1077" s="20" t="s">
        <v>10661</v>
      </c>
      <c r="D1077">
        <v>777</v>
      </c>
      <c r="E1077" t="s">
        <v>9589</v>
      </c>
      <c r="F1077">
        <v>60</v>
      </c>
      <c r="G1077" s="28" t="s">
        <v>9590</v>
      </c>
    </row>
    <row r="1078" spans="1:7" ht="43.2" x14ac:dyDescent="0.3">
      <c r="A1078" t="s">
        <v>9582</v>
      </c>
      <c r="B1078" t="s">
        <v>10662</v>
      </c>
      <c r="C1078" s="20" t="s">
        <v>10663</v>
      </c>
      <c r="D1078">
        <v>748</v>
      </c>
      <c r="E1078" t="s">
        <v>9589</v>
      </c>
      <c r="F1078">
        <v>80</v>
      </c>
      <c r="G1078" s="28" t="s">
        <v>9590</v>
      </c>
    </row>
    <row r="1079" spans="1:7" ht="72" x14ac:dyDescent="0.3">
      <c r="A1079" t="s">
        <v>9582</v>
      </c>
      <c r="B1079" t="s">
        <v>10664</v>
      </c>
      <c r="C1079" s="20" t="s">
        <v>10665</v>
      </c>
      <c r="D1079">
        <v>350</v>
      </c>
      <c r="E1079" t="s">
        <v>9589</v>
      </c>
      <c r="F1079">
        <v>35</v>
      </c>
      <c r="G1079" s="28" t="s">
        <v>9590</v>
      </c>
    </row>
    <row r="1080" spans="1:7" ht="72" x14ac:dyDescent="0.3">
      <c r="A1080" t="s">
        <v>9582</v>
      </c>
      <c r="B1080" t="s">
        <v>10664</v>
      </c>
      <c r="C1080" s="20" t="s">
        <v>10665</v>
      </c>
      <c r="D1080">
        <v>350</v>
      </c>
      <c r="E1080" t="s">
        <v>9589</v>
      </c>
      <c r="F1080">
        <v>35</v>
      </c>
      <c r="G1080" s="28" t="s">
        <v>9590</v>
      </c>
    </row>
    <row r="1081" spans="1:7" ht="28.8" x14ac:dyDescent="0.3">
      <c r="A1081" t="s">
        <v>9582</v>
      </c>
      <c r="B1081" t="s">
        <v>10666</v>
      </c>
      <c r="C1081" s="20" t="s">
        <v>10667</v>
      </c>
      <c r="D1081">
        <v>1370</v>
      </c>
      <c r="E1081" t="s">
        <v>9589</v>
      </c>
      <c r="F1081">
        <v>100</v>
      </c>
      <c r="G1081" s="28" t="s">
        <v>9590</v>
      </c>
    </row>
    <row r="1082" spans="1:7" ht="28.8" x14ac:dyDescent="0.3">
      <c r="A1082" t="s">
        <v>9582</v>
      </c>
      <c r="B1082" t="s">
        <v>10666</v>
      </c>
      <c r="C1082" s="20" t="s">
        <v>10667</v>
      </c>
      <c r="D1082">
        <v>1370</v>
      </c>
      <c r="E1082" t="s">
        <v>9589</v>
      </c>
      <c r="F1082">
        <v>100</v>
      </c>
      <c r="G1082" s="28" t="s">
        <v>9590</v>
      </c>
    </row>
    <row r="1083" spans="1:7" ht="28.8" x14ac:dyDescent="0.3">
      <c r="A1083" t="s">
        <v>9582</v>
      </c>
      <c r="B1083" t="s">
        <v>10666</v>
      </c>
      <c r="C1083" s="20" t="s">
        <v>10667</v>
      </c>
      <c r="D1083">
        <v>1370</v>
      </c>
      <c r="E1083" t="s">
        <v>9589</v>
      </c>
      <c r="F1083">
        <v>100</v>
      </c>
      <c r="G1083" s="28" t="s">
        <v>9590</v>
      </c>
    </row>
    <row r="1084" spans="1:7" ht="28.8" x14ac:dyDescent="0.3">
      <c r="A1084" t="s">
        <v>9582</v>
      </c>
      <c r="B1084" t="s">
        <v>10668</v>
      </c>
      <c r="C1084" s="20" t="s">
        <v>10669</v>
      </c>
      <c r="D1084">
        <v>1368</v>
      </c>
      <c r="E1084" t="s">
        <v>9616</v>
      </c>
      <c r="F1084">
        <v>8</v>
      </c>
      <c r="G1084" s="28" t="s">
        <v>9590</v>
      </c>
    </row>
    <row r="1085" spans="1:7" ht="28.8" x14ac:dyDescent="0.3">
      <c r="A1085" t="s">
        <v>9582</v>
      </c>
      <c r="B1085" t="s">
        <v>10668</v>
      </c>
      <c r="C1085" s="20" t="s">
        <v>10669</v>
      </c>
      <c r="D1085">
        <v>1368</v>
      </c>
      <c r="E1085" t="s">
        <v>9616</v>
      </c>
      <c r="F1085">
        <v>8</v>
      </c>
      <c r="G1085" s="28" t="s">
        <v>9590</v>
      </c>
    </row>
    <row r="1086" spans="1:7" ht="28.8" x14ac:dyDescent="0.3">
      <c r="A1086" t="s">
        <v>9582</v>
      </c>
      <c r="B1086" t="s">
        <v>10668</v>
      </c>
      <c r="C1086" s="20" t="s">
        <v>10669</v>
      </c>
      <c r="D1086">
        <v>1368</v>
      </c>
      <c r="E1086" t="s">
        <v>9616</v>
      </c>
      <c r="F1086">
        <v>8</v>
      </c>
      <c r="G1086" s="28" t="s">
        <v>9590</v>
      </c>
    </row>
    <row r="1087" spans="1:7" ht="28.8" x14ac:dyDescent="0.3">
      <c r="A1087" t="s">
        <v>9582</v>
      </c>
      <c r="B1087" t="s">
        <v>10668</v>
      </c>
      <c r="C1087" s="20" t="s">
        <v>10669</v>
      </c>
      <c r="D1087">
        <v>1368</v>
      </c>
      <c r="E1087" t="s">
        <v>9616</v>
      </c>
      <c r="F1087">
        <v>8</v>
      </c>
      <c r="G1087" s="28" t="s">
        <v>9590</v>
      </c>
    </row>
    <row r="1088" spans="1:7" ht="43.2" x14ac:dyDescent="0.3">
      <c r="A1088" t="s">
        <v>9582</v>
      </c>
      <c r="B1088" t="s">
        <v>10670</v>
      </c>
      <c r="C1088" s="20" t="s">
        <v>10671</v>
      </c>
      <c r="D1088">
        <v>1373</v>
      </c>
      <c r="E1088" t="s">
        <v>9589</v>
      </c>
      <c r="F1088">
        <v>50</v>
      </c>
      <c r="G1088" s="28" t="s">
        <v>9590</v>
      </c>
    </row>
    <row r="1089" spans="1:7" ht="43.2" x14ac:dyDescent="0.3">
      <c r="A1089" t="s">
        <v>9582</v>
      </c>
      <c r="B1089" t="s">
        <v>10670</v>
      </c>
      <c r="C1089" s="20" t="s">
        <v>10671</v>
      </c>
      <c r="D1089">
        <v>1373</v>
      </c>
      <c r="E1089" t="s">
        <v>9589</v>
      </c>
      <c r="F1089">
        <v>50</v>
      </c>
      <c r="G1089" s="28" t="s">
        <v>9590</v>
      </c>
    </row>
    <row r="1090" spans="1:7" ht="43.2" x14ac:dyDescent="0.3">
      <c r="A1090" t="s">
        <v>9582</v>
      </c>
      <c r="B1090" t="s">
        <v>10670</v>
      </c>
      <c r="C1090" s="20" t="s">
        <v>10671</v>
      </c>
      <c r="D1090">
        <v>1373</v>
      </c>
      <c r="E1090" t="s">
        <v>9589</v>
      </c>
      <c r="F1090">
        <v>50</v>
      </c>
      <c r="G1090" s="28" t="s">
        <v>9590</v>
      </c>
    </row>
    <row r="1091" spans="1:7" ht="28.8" x14ac:dyDescent="0.3">
      <c r="A1091" t="s">
        <v>9582</v>
      </c>
      <c r="B1091" t="s">
        <v>10672</v>
      </c>
      <c r="C1091" s="20" t="s">
        <v>10673</v>
      </c>
      <c r="D1091">
        <v>1372</v>
      </c>
      <c r="E1091" t="s">
        <v>9589</v>
      </c>
      <c r="F1091">
        <v>45</v>
      </c>
      <c r="G1091" s="28" t="s">
        <v>9590</v>
      </c>
    </row>
    <row r="1092" spans="1:7" ht="28.8" x14ac:dyDescent="0.3">
      <c r="A1092" t="s">
        <v>9582</v>
      </c>
      <c r="B1092" t="s">
        <v>10672</v>
      </c>
      <c r="C1092" s="20" t="s">
        <v>10673</v>
      </c>
      <c r="D1092">
        <v>1372</v>
      </c>
      <c r="E1092" t="s">
        <v>9589</v>
      </c>
      <c r="F1092">
        <v>45</v>
      </c>
      <c r="G1092" s="28" t="s">
        <v>9590</v>
      </c>
    </row>
    <row r="1093" spans="1:7" ht="28.8" x14ac:dyDescent="0.3">
      <c r="A1093" t="s">
        <v>9582</v>
      </c>
      <c r="B1093" t="s">
        <v>10672</v>
      </c>
      <c r="C1093" s="20" t="s">
        <v>10673</v>
      </c>
      <c r="D1093">
        <v>1372</v>
      </c>
      <c r="E1093" t="s">
        <v>9589</v>
      </c>
      <c r="F1093">
        <v>45</v>
      </c>
      <c r="G1093" s="28" t="s">
        <v>9590</v>
      </c>
    </row>
    <row r="1094" spans="1:7" ht="28.8" x14ac:dyDescent="0.3">
      <c r="A1094" t="s">
        <v>9582</v>
      </c>
      <c r="B1094" t="s">
        <v>10674</v>
      </c>
      <c r="C1094" s="20" t="s">
        <v>10675</v>
      </c>
      <c r="D1094">
        <v>1474</v>
      </c>
      <c r="E1094" t="s">
        <v>9589</v>
      </c>
      <c r="F1094">
        <v>80</v>
      </c>
      <c r="G1094" s="28" t="s">
        <v>9590</v>
      </c>
    </row>
    <row r="1095" spans="1:7" ht="28.8" x14ac:dyDescent="0.3">
      <c r="A1095" t="s">
        <v>9582</v>
      </c>
      <c r="B1095" t="s">
        <v>10674</v>
      </c>
      <c r="C1095" s="20" t="s">
        <v>10675</v>
      </c>
      <c r="D1095">
        <v>1474</v>
      </c>
      <c r="E1095" t="s">
        <v>9589</v>
      </c>
      <c r="F1095">
        <v>80</v>
      </c>
      <c r="G1095" s="28" t="s">
        <v>9590</v>
      </c>
    </row>
    <row r="1096" spans="1:7" ht="28.8" x14ac:dyDescent="0.3">
      <c r="A1096" t="s">
        <v>9582</v>
      </c>
      <c r="B1096" t="s">
        <v>10674</v>
      </c>
      <c r="C1096" s="20" t="s">
        <v>10675</v>
      </c>
      <c r="D1096">
        <v>1474</v>
      </c>
      <c r="E1096" t="s">
        <v>9589</v>
      </c>
      <c r="F1096">
        <v>80</v>
      </c>
      <c r="G1096" s="28" t="s">
        <v>9590</v>
      </c>
    </row>
    <row r="1097" spans="1:7" ht="28.8" x14ac:dyDescent="0.3">
      <c r="A1097" t="s">
        <v>9582</v>
      </c>
      <c r="B1097" t="s">
        <v>10674</v>
      </c>
      <c r="C1097" s="20" t="s">
        <v>10675</v>
      </c>
      <c r="D1097">
        <v>1474</v>
      </c>
      <c r="E1097" t="s">
        <v>9589</v>
      </c>
      <c r="F1097">
        <v>80</v>
      </c>
      <c r="G1097" s="28" t="s">
        <v>9590</v>
      </c>
    </row>
    <row r="1098" spans="1:7" ht="28.8" x14ac:dyDescent="0.3">
      <c r="A1098" t="s">
        <v>9582</v>
      </c>
      <c r="B1098" t="s">
        <v>10676</v>
      </c>
      <c r="C1098" s="20" t="s">
        <v>10677</v>
      </c>
      <c r="D1098">
        <v>1369</v>
      </c>
      <c r="E1098" t="s">
        <v>9589</v>
      </c>
      <c r="F1098">
        <v>30</v>
      </c>
      <c r="G1098" s="28" t="s">
        <v>9590</v>
      </c>
    </row>
    <row r="1099" spans="1:7" ht="28.8" x14ac:dyDescent="0.3">
      <c r="A1099" t="s">
        <v>9582</v>
      </c>
      <c r="B1099" t="s">
        <v>10676</v>
      </c>
      <c r="C1099" s="20" t="s">
        <v>10677</v>
      </c>
      <c r="D1099">
        <v>1369</v>
      </c>
      <c r="E1099" t="s">
        <v>9589</v>
      </c>
      <c r="F1099">
        <v>30</v>
      </c>
      <c r="G1099" s="28" t="s">
        <v>9590</v>
      </c>
    </row>
    <row r="1100" spans="1:7" ht="28.8" x14ac:dyDescent="0.3">
      <c r="A1100" t="s">
        <v>9582</v>
      </c>
      <c r="B1100" t="s">
        <v>10676</v>
      </c>
      <c r="C1100" s="20" t="s">
        <v>10677</v>
      </c>
      <c r="D1100">
        <v>1369</v>
      </c>
      <c r="E1100" t="s">
        <v>9589</v>
      </c>
      <c r="F1100">
        <v>30</v>
      </c>
      <c r="G1100" s="28" t="s">
        <v>9590</v>
      </c>
    </row>
    <row r="1101" spans="1:7" ht="144" x14ac:dyDescent="0.3">
      <c r="A1101" t="s">
        <v>9582</v>
      </c>
      <c r="B1101" t="s">
        <v>10678</v>
      </c>
      <c r="C1101" s="20" t="s">
        <v>10679</v>
      </c>
      <c r="D1101">
        <v>1374</v>
      </c>
      <c r="E1101" t="s">
        <v>9585</v>
      </c>
      <c r="F1101">
        <v>5</v>
      </c>
      <c r="G1101" s="28" t="s">
        <v>12590</v>
      </c>
    </row>
    <row r="1102" spans="1:7" ht="144" x14ac:dyDescent="0.3">
      <c r="A1102" t="s">
        <v>9582</v>
      </c>
      <c r="B1102" t="s">
        <v>10678</v>
      </c>
      <c r="C1102" s="20" t="s">
        <v>10679</v>
      </c>
      <c r="D1102">
        <v>1374</v>
      </c>
      <c r="E1102" t="s">
        <v>9585</v>
      </c>
      <c r="F1102">
        <v>5</v>
      </c>
      <c r="G1102" s="28" t="s">
        <v>12590</v>
      </c>
    </row>
    <row r="1103" spans="1:7" ht="144" x14ac:dyDescent="0.3">
      <c r="A1103" t="s">
        <v>9582</v>
      </c>
      <c r="B1103" t="s">
        <v>10678</v>
      </c>
      <c r="C1103" s="20" t="s">
        <v>10679</v>
      </c>
      <c r="D1103">
        <v>1374</v>
      </c>
      <c r="E1103" t="s">
        <v>9585</v>
      </c>
      <c r="F1103">
        <v>5</v>
      </c>
      <c r="G1103" s="28" t="s">
        <v>12590</v>
      </c>
    </row>
    <row r="1104" spans="1:7" ht="115.2" x14ac:dyDescent="0.3">
      <c r="A1104" t="s">
        <v>9582</v>
      </c>
      <c r="B1104" t="s">
        <v>10680</v>
      </c>
      <c r="C1104" s="20" t="s">
        <v>10681</v>
      </c>
      <c r="D1104">
        <v>182</v>
      </c>
      <c r="E1104" t="s">
        <v>9585</v>
      </c>
      <c r="F1104">
        <v>5</v>
      </c>
      <c r="G1104" s="28" t="s">
        <v>12591</v>
      </c>
    </row>
    <row r="1105" spans="1:7" ht="115.2" x14ac:dyDescent="0.3">
      <c r="A1105" t="s">
        <v>9582</v>
      </c>
      <c r="B1105" t="s">
        <v>10680</v>
      </c>
      <c r="C1105" s="20" t="s">
        <v>10681</v>
      </c>
      <c r="D1105">
        <v>182</v>
      </c>
      <c r="E1105" t="s">
        <v>9585</v>
      </c>
      <c r="F1105">
        <v>5</v>
      </c>
      <c r="G1105" s="28" t="s">
        <v>12591</v>
      </c>
    </row>
    <row r="1106" spans="1:7" ht="244.8" x14ac:dyDescent="0.3">
      <c r="A1106" t="s">
        <v>9582</v>
      </c>
      <c r="B1106" t="s">
        <v>10682</v>
      </c>
      <c r="C1106" s="20" t="s">
        <v>10683</v>
      </c>
      <c r="D1106">
        <v>183</v>
      </c>
      <c r="E1106" t="s">
        <v>9585</v>
      </c>
      <c r="F1106">
        <v>5</v>
      </c>
      <c r="G1106" s="17" t="s">
        <v>12356</v>
      </c>
    </row>
    <row r="1107" spans="1:7" ht="244.8" x14ac:dyDescent="0.3">
      <c r="A1107" t="s">
        <v>9582</v>
      </c>
      <c r="B1107" t="s">
        <v>10682</v>
      </c>
      <c r="C1107" s="20" t="s">
        <v>10683</v>
      </c>
      <c r="D1107">
        <v>183</v>
      </c>
      <c r="E1107" t="s">
        <v>9585</v>
      </c>
      <c r="F1107">
        <v>5</v>
      </c>
      <c r="G1107" s="17" t="s">
        <v>12356</v>
      </c>
    </row>
    <row r="1108" spans="1:7" ht="244.8" x14ac:dyDescent="0.3">
      <c r="A1108" t="s">
        <v>9582</v>
      </c>
      <c r="B1108" t="s">
        <v>10682</v>
      </c>
      <c r="C1108" s="20" t="s">
        <v>10683</v>
      </c>
      <c r="D1108">
        <v>183</v>
      </c>
      <c r="E1108" t="s">
        <v>9585</v>
      </c>
      <c r="F1108">
        <v>5</v>
      </c>
      <c r="G1108" s="17" t="s">
        <v>12356</v>
      </c>
    </row>
    <row r="1109" spans="1:7" ht="244.8" x14ac:dyDescent="0.3">
      <c r="A1109" t="s">
        <v>9582</v>
      </c>
      <c r="B1109" t="s">
        <v>10682</v>
      </c>
      <c r="C1109" s="20" t="s">
        <v>10683</v>
      </c>
      <c r="D1109">
        <v>183</v>
      </c>
      <c r="E1109" t="s">
        <v>9585</v>
      </c>
      <c r="F1109">
        <v>5</v>
      </c>
      <c r="G1109" s="17" t="s">
        <v>12356</v>
      </c>
    </row>
    <row r="1110" spans="1:7" ht="43.2" x14ac:dyDescent="0.3">
      <c r="A1110" t="s">
        <v>9582</v>
      </c>
      <c r="B1110" t="s">
        <v>10684</v>
      </c>
      <c r="C1110" s="20" t="s">
        <v>10685</v>
      </c>
      <c r="D1110">
        <v>844</v>
      </c>
      <c r="E1110" t="s">
        <v>9589</v>
      </c>
      <c r="F1110">
        <v>1</v>
      </c>
      <c r="G1110" s="28" t="s">
        <v>9590</v>
      </c>
    </row>
    <row r="1111" spans="1:7" ht="43.2" x14ac:dyDescent="0.3">
      <c r="A1111" t="s">
        <v>9582</v>
      </c>
      <c r="B1111" t="s">
        <v>10684</v>
      </c>
      <c r="C1111" s="20" t="s">
        <v>10685</v>
      </c>
      <c r="D1111">
        <v>844</v>
      </c>
      <c r="E1111" t="s">
        <v>9589</v>
      </c>
      <c r="F1111">
        <v>1</v>
      </c>
      <c r="G1111" s="28" t="s">
        <v>9590</v>
      </c>
    </row>
    <row r="1112" spans="1:7" ht="115.2" x14ac:dyDescent="0.3">
      <c r="A1112" t="s">
        <v>9582</v>
      </c>
      <c r="B1112" t="s">
        <v>10686</v>
      </c>
      <c r="C1112" s="20" t="s">
        <v>10687</v>
      </c>
      <c r="D1112">
        <v>592</v>
      </c>
      <c r="E1112" t="s">
        <v>9585</v>
      </c>
      <c r="F1112">
        <v>5</v>
      </c>
      <c r="G1112" s="28" t="s">
        <v>12592</v>
      </c>
    </row>
    <row r="1113" spans="1:7" ht="100.8" x14ac:dyDescent="0.3">
      <c r="A1113" t="s">
        <v>9582</v>
      </c>
      <c r="B1113" t="s">
        <v>10688</v>
      </c>
      <c r="C1113" s="20" t="s">
        <v>10689</v>
      </c>
      <c r="D1113">
        <v>591</v>
      </c>
      <c r="E1113" t="s">
        <v>9585</v>
      </c>
      <c r="F1113">
        <v>5</v>
      </c>
      <c r="G1113" s="28" t="s">
        <v>12593</v>
      </c>
    </row>
    <row r="1114" spans="1:7" ht="86.4" x14ac:dyDescent="0.3">
      <c r="A1114" t="s">
        <v>9582</v>
      </c>
      <c r="B1114" t="s">
        <v>10690</v>
      </c>
      <c r="C1114" s="20" t="s">
        <v>10691</v>
      </c>
      <c r="D1114">
        <v>1084</v>
      </c>
      <c r="E1114" t="s">
        <v>9585</v>
      </c>
      <c r="F1114">
        <v>5</v>
      </c>
      <c r="G1114" s="28" t="s">
        <v>9586</v>
      </c>
    </row>
    <row r="1115" spans="1:7" ht="43.2" x14ac:dyDescent="0.3">
      <c r="A1115" t="s">
        <v>9582</v>
      </c>
      <c r="B1115" t="s">
        <v>10692</v>
      </c>
      <c r="C1115" s="20" t="s">
        <v>10693</v>
      </c>
      <c r="D1115">
        <v>1081</v>
      </c>
      <c r="E1115" t="s">
        <v>9589</v>
      </c>
      <c r="F1115">
        <v>30</v>
      </c>
      <c r="G1115" s="28" t="s">
        <v>9590</v>
      </c>
    </row>
    <row r="1116" spans="1:7" ht="43.2" x14ac:dyDescent="0.3">
      <c r="A1116" t="s">
        <v>9582</v>
      </c>
      <c r="B1116" t="s">
        <v>10694</v>
      </c>
      <c r="C1116" s="20" t="s">
        <v>10695</v>
      </c>
      <c r="D1116">
        <v>1083</v>
      </c>
      <c r="E1116" t="s">
        <v>9589</v>
      </c>
      <c r="F1116">
        <v>30</v>
      </c>
      <c r="G1116" s="28" t="s">
        <v>9590</v>
      </c>
    </row>
    <row r="1117" spans="1:7" ht="57.6" x14ac:dyDescent="0.3">
      <c r="A1117" t="s">
        <v>9582</v>
      </c>
      <c r="B1117" t="s">
        <v>10696</v>
      </c>
      <c r="C1117" s="20" t="s">
        <v>10697</v>
      </c>
      <c r="D1117">
        <v>1076</v>
      </c>
      <c r="E1117" t="s">
        <v>9585</v>
      </c>
      <c r="F1117">
        <v>5</v>
      </c>
      <c r="G1117" s="28" t="s">
        <v>12594</v>
      </c>
    </row>
    <row r="1118" spans="1:7" ht="187.2" x14ac:dyDescent="0.3">
      <c r="A1118" t="s">
        <v>9582</v>
      </c>
      <c r="B1118" t="s">
        <v>10698</v>
      </c>
      <c r="C1118" s="20" t="s">
        <v>10699</v>
      </c>
      <c r="D1118">
        <v>593</v>
      </c>
      <c r="E1118" t="s">
        <v>9616</v>
      </c>
      <c r="F1118">
        <v>8</v>
      </c>
      <c r="G1118" s="28" t="s">
        <v>9590</v>
      </c>
    </row>
    <row r="1119" spans="1:7" ht="187.2" x14ac:dyDescent="0.3">
      <c r="A1119" t="s">
        <v>9582</v>
      </c>
      <c r="B1119" t="s">
        <v>10700</v>
      </c>
      <c r="C1119" s="20" t="s">
        <v>10701</v>
      </c>
      <c r="D1119">
        <v>596</v>
      </c>
      <c r="E1119" t="s">
        <v>9616</v>
      </c>
      <c r="F1119">
        <v>8</v>
      </c>
      <c r="G1119" s="28" t="s">
        <v>9590</v>
      </c>
    </row>
    <row r="1120" spans="1:7" ht="43.2" x14ac:dyDescent="0.3">
      <c r="A1120" t="s">
        <v>9582</v>
      </c>
      <c r="B1120" t="s">
        <v>10702</v>
      </c>
      <c r="C1120" s="20" t="s">
        <v>10703</v>
      </c>
      <c r="D1120">
        <v>336</v>
      </c>
      <c r="E1120" t="s">
        <v>9616</v>
      </c>
      <c r="F1120">
        <v>8</v>
      </c>
      <c r="G1120" s="28" t="s">
        <v>9590</v>
      </c>
    </row>
    <row r="1121" spans="1:7" ht="72" x14ac:dyDescent="0.3">
      <c r="A1121" t="s">
        <v>9582</v>
      </c>
      <c r="B1121" t="s">
        <v>10704</v>
      </c>
      <c r="C1121" s="20" t="s">
        <v>10705</v>
      </c>
      <c r="D1121">
        <v>337</v>
      </c>
      <c r="E1121" t="s">
        <v>9585</v>
      </c>
      <c r="F1121">
        <v>5</v>
      </c>
      <c r="G1121" s="28" t="s">
        <v>12595</v>
      </c>
    </row>
    <row r="1122" spans="1:7" ht="129.6" x14ac:dyDescent="0.3">
      <c r="A1122" t="s">
        <v>9582</v>
      </c>
      <c r="B1122" t="s">
        <v>10706</v>
      </c>
      <c r="C1122" s="20" t="s">
        <v>10707</v>
      </c>
      <c r="D1122">
        <v>334</v>
      </c>
      <c r="E1122" t="s">
        <v>9585</v>
      </c>
      <c r="F1122">
        <v>5</v>
      </c>
      <c r="G1122" s="28" t="s">
        <v>12596</v>
      </c>
    </row>
    <row r="1123" spans="1:7" ht="28.8" x14ac:dyDescent="0.3">
      <c r="A1123" t="s">
        <v>9582</v>
      </c>
      <c r="B1123" t="s">
        <v>10708</v>
      </c>
      <c r="C1123" s="20" t="s">
        <v>10709</v>
      </c>
      <c r="D1123">
        <v>335</v>
      </c>
      <c r="E1123" t="s">
        <v>9616</v>
      </c>
      <c r="F1123">
        <v>8</v>
      </c>
      <c r="G1123" s="28" t="s">
        <v>9590</v>
      </c>
    </row>
    <row r="1124" spans="1:7" ht="43.2" x14ac:dyDescent="0.3">
      <c r="A1124" t="s">
        <v>9582</v>
      </c>
      <c r="B1124" t="s">
        <v>10710</v>
      </c>
      <c r="C1124" s="20" t="s">
        <v>10711</v>
      </c>
      <c r="D1124">
        <v>338</v>
      </c>
      <c r="E1124" t="s">
        <v>9616</v>
      </c>
      <c r="F1124">
        <v>8</v>
      </c>
      <c r="G1124" s="28" t="s">
        <v>9590</v>
      </c>
    </row>
    <row r="1125" spans="1:7" ht="43.2" x14ac:dyDescent="0.3">
      <c r="A1125" t="s">
        <v>9582</v>
      </c>
      <c r="B1125" t="s">
        <v>10712</v>
      </c>
      <c r="C1125" s="20" t="s">
        <v>10713</v>
      </c>
      <c r="D1125">
        <v>713</v>
      </c>
      <c r="E1125" t="s">
        <v>9589</v>
      </c>
      <c r="F1125">
        <v>60</v>
      </c>
      <c r="G1125" s="28" t="s">
        <v>9590</v>
      </c>
    </row>
    <row r="1126" spans="1:7" ht="115.2" x14ac:dyDescent="0.3">
      <c r="A1126" t="s">
        <v>9582</v>
      </c>
      <c r="B1126" t="s">
        <v>10714</v>
      </c>
      <c r="C1126" s="20" t="s">
        <v>10715</v>
      </c>
      <c r="D1126">
        <v>333</v>
      </c>
      <c r="E1126" t="s">
        <v>9585</v>
      </c>
      <c r="F1126">
        <v>5</v>
      </c>
      <c r="G1126" s="28" t="s">
        <v>12597</v>
      </c>
    </row>
    <row r="1127" spans="1:7" ht="72" x14ac:dyDescent="0.3">
      <c r="A1127" t="s">
        <v>9582</v>
      </c>
      <c r="B1127" t="s">
        <v>10716</v>
      </c>
      <c r="C1127" s="20" t="s">
        <v>10717</v>
      </c>
      <c r="D1127">
        <v>588</v>
      </c>
      <c r="E1127" t="s">
        <v>9585</v>
      </c>
      <c r="F1127">
        <v>5</v>
      </c>
      <c r="G1127" s="28" t="s">
        <v>12598</v>
      </c>
    </row>
    <row r="1128" spans="1:7" ht="187.2" x14ac:dyDescent="0.3">
      <c r="A1128" t="s">
        <v>9582</v>
      </c>
      <c r="B1128" t="s">
        <v>10718</v>
      </c>
      <c r="C1128" s="20" t="s">
        <v>10719</v>
      </c>
      <c r="D1128">
        <v>812</v>
      </c>
      <c r="E1128" t="s">
        <v>9585</v>
      </c>
      <c r="F1128">
        <v>5</v>
      </c>
      <c r="G1128" s="28" t="s">
        <v>12535</v>
      </c>
    </row>
    <row r="1129" spans="1:7" ht="43.2" x14ac:dyDescent="0.3">
      <c r="A1129" t="s">
        <v>9582</v>
      </c>
      <c r="B1129" t="s">
        <v>10720</v>
      </c>
      <c r="C1129" s="20" t="s">
        <v>10721</v>
      </c>
      <c r="D1129">
        <v>1256</v>
      </c>
      <c r="E1129" t="s">
        <v>9653</v>
      </c>
      <c r="F1129">
        <v>7</v>
      </c>
      <c r="G1129" s="28" t="s">
        <v>9590</v>
      </c>
    </row>
    <row r="1130" spans="1:7" ht="57.6" x14ac:dyDescent="0.3">
      <c r="A1130" t="s">
        <v>9582</v>
      </c>
      <c r="B1130" t="s">
        <v>10722</v>
      </c>
      <c r="C1130" s="20" t="s">
        <v>10723</v>
      </c>
      <c r="D1130">
        <v>1531</v>
      </c>
      <c r="E1130" t="s">
        <v>9589</v>
      </c>
      <c r="F1130">
        <v>50</v>
      </c>
      <c r="G1130" s="28" t="s">
        <v>9590</v>
      </c>
    </row>
    <row r="1131" spans="1:7" ht="28.8" x14ac:dyDescent="0.3">
      <c r="A1131" t="s">
        <v>9582</v>
      </c>
      <c r="B1131" t="s">
        <v>10724</v>
      </c>
      <c r="C1131" s="20" t="s">
        <v>10725</v>
      </c>
      <c r="D1131">
        <v>321</v>
      </c>
      <c r="E1131" t="s">
        <v>9589</v>
      </c>
      <c r="F1131">
        <v>30</v>
      </c>
      <c r="G1131" s="28" t="s">
        <v>9590</v>
      </c>
    </row>
    <row r="1132" spans="1:7" ht="28.8" x14ac:dyDescent="0.3">
      <c r="A1132" t="s">
        <v>9582</v>
      </c>
      <c r="B1132" t="s">
        <v>10724</v>
      </c>
      <c r="C1132" s="20" t="s">
        <v>10725</v>
      </c>
      <c r="D1132">
        <v>321</v>
      </c>
      <c r="E1132" t="s">
        <v>9589</v>
      </c>
      <c r="F1132">
        <v>30</v>
      </c>
      <c r="G1132" s="28" t="s">
        <v>9590</v>
      </c>
    </row>
    <row r="1133" spans="1:7" ht="28.8" x14ac:dyDescent="0.3">
      <c r="A1133" t="s">
        <v>9582</v>
      </c>
      <c r="B1133" t="s">
        <v>10726</v>
      </c>
      <c r="C1133" s="20" t="s">
        <v>10727</v>
      </c>
      <c r="D1133">
        <v>324</v>
      </c>
      <c r="E1133" t="s">
        <v>9589</v>
      </c>
      <c r="F1133">
        <v>30</v>
      </c>
      <c r="G1133" s="28" t="s">
        <v>9590</v>
      </c>
    </row>
    <row r="1134" spans="1:7" ht="28.8" x14ac:dyDescent="0.3">
      <c r="A1134" t="s">
        <v>9582</v>
      </c>
      <c r="B1134" t="s">
        <v>10726</v>
      </c>
      <c r="C1134" s="20" t="s">
        <v>10727</v>
      </c>
      <c r="D1134">
        <v>324</v>
      </c>
      <c r="E1134" t="s">
        <v>9589</v>
      </c>
      <c r="F1134">
        <v>30</v>
      </c>
      <c r="G1134" s="28" t="s">
        <v>9590</v>
      </c>
    </row>
    <row r="1135" spans="1:7" ht="43.2" x14ac:dyDescent="0.3">
      <c r="A1135" t="s">
        <v>9582</v>
      </c>
      <c r="B1135" t="s">
        <v>10728</v>
      </c>
      <c r="C1135" s="20" t="s">
        <v>10729</v>
      </c>
      <c r="D1135">
        <v>329</v>
      </c>
      <c r="E1135" t="s">
        <v>9589</v>
      </c>
      <c r="F1135">
        <v>10</v>
      </c>
      <c r="G1135" s="28" t="s">
        <v>9590</v>
      </c>
    </row>
    <row r="1136" spans="1:7" ht="43.2" x14ac:dyDescent="0.3">
      <c r="A1136" t="s">
        <v>9582</v>
      </c>
      <c r="B1136" t="s">
        <v>10728</v>
      </c>
      <c r="C1136" s="20" t="s">
        <v>10729</v>
      </c>
      <c r="D1136">
        <v>329</v>
      </c>
      <c r="E1136" t="s">
        <v>9589</v>
      </c>
      <c r="F1136">
        <v>10</v>
      </c>
      <c r="G1136" s="28" t="s">
        <v>9590</v>
      </c>
    </row>
    <row r="1137" spans="1:7" ht="43.2" x14ac:dyDescent="0.3">
      <c r="A1137" t="s">
        <v>9582</v>
      </c>
      <c r="B1137" t="s">
        <v>10730</v>
      </c>
      <c r="C1137" s="20" t="s">
        <v>10731</v>
      </c>
      <c r="D1137">
        <v>319</v>
      </c>
      <c r="E1137" t="s">
        <v>9589</v>
      </c>
      <c r="F1137">
        <v>30</v>
      </c>
      <c r="G1137" s="28" t="s">
        <v>9590</v>
      </c>
    </row>
    <row r="1138" spans="1:7" ht="43.2" x14ac:dyDescent="0.3">
      <c r="A1138" t="s">
        <v>9582</v>
      </c>
      <c r="B1138" t="s">
        <v>10730</v>
      </c>
      <c r="C1138" s="20" t="s">
        <v>10731</v>
      </c>
      <c r="D1138">
        <v>319</v>
      </c>
      <c r="E1138" t="s">
        <v>9589</v>
      </c>
      <c r="F1138">
        <v>30</v>
      </c>
      <c r="G1138" s="28" t="s">
        <v>9590</v>
      </c>
    </row>
    <row r="1139" spans="1:7" ht="187.2" x14ac:dyDescent="0.3">
      <c r="A1139" t="s">
        <v>9582</v>
      </c>
      <c r="B1139" t="s">
        <v>10732</v>
      </c>
      <c r="C1139" s="20" t="s">
        <v>10733</v>
      </c>
      <c r="D1139">
        <v>850</v>
      </c>
      <c r="E1139" t="s">
        <v>9589</v>
      </c>
      <c r="F1139">
        <v>60</v>
      </c>
      <c r="G1139" s="28" t="s">
        <v>9590</v>
      </c>
    </row>
    <row r="1140" spans="1:7" ht="187.2" x14ac:dyDescent="0.3">
      <c r="A1140" t="s">
        <v>9582</v>
      </c>
      <c r="B1140" t="s">
        <v>10732</v>
      </c>
      <c r="C1140" s="20" t="s">
        <v>10733</v>
      </c>
      <c r="D1140">
        <v>850</v>
      </c>
      <c r="E1140" t="s">
        <v>9589</v>
      </c>
      <c r="F1140">
        <v>60</v>
      </c>
      <c r="G1140" s="28" t="s">
        <v>9590</v>
      </c>
    </row>
    <row r="1141" spans="1:7" ht="57.6" x14ac:dyDescent="0.3">
      <c r="A1141" t="s">
        <v>9582</v>
      </c>
      <c r="B1141" t="s">
        <v>10734</v>
      </c>
      <c r="C1141" s="20" t="s">
        <v>10735</v>
      </c>
      <c r="D1141">
        <v>577</v>
      </c>
      <c r="E1141" t="s">
        <v>9589</v>
      </c>
      <c r="F1141">
        <v>60</v>
      </c>
      <c r="G1141" s="28" t="s">
        <v>9590</v>
      </c>
    </row>
    <row r="1142" spans="1:7" ht="57.6" x14ac:dyDescent="0.3">
      <c r="A1142" t="s">
        <v>9582</v>
      </c>
      <c r="B1142" t="s">
        <v>10736</v>
      </c>
      <c r="C1142" s="20" t="s">
        <v>10737</v>
      </c>
      <c r="D1142">
        <v>435</v>
      </c>
      <c r="E1142" t="s">
        <v>9589</v>
      </c>
      <c r="F1142">
        <v>60</v>
      </c>
      <c r="G1142" s="28" t="s">
        <v>9590</v>
      </c>
    </row>
    <row r="1143" spans="1:7" ht="57.6" x14ac:dyDescent="0.3">
      <c r="A1143" t="s">
        <v>9582</v>
      </c>
      <c r="B1143" t="s">
        <v>10738</v>
      </c>
      <c r="C1143" s="20" t="s">
        <v>10739</v>
      </c>
      <c r="D1143">
        <v>1506</v>
      </c>
      <c r="E1143" t="s">
        <v>9653</v>
      </c>
      <c r="F1143">
        <v>5</v>
      </c>
      <c r="G1143" s="28" t="s">
        <v>9590</v>
      </c>
    </row>
    <row r="1144" spans="1:7" ht="115.2" x14ac:dyDescent="0.3">
      <c r="A1144" t="s">
        <v>9582</v>
      </c>
      <c r="B1144" t="s">
        <v>10740</v>
      </c>
      <c r="C1144" s="20" t="s">
        <v>10741</v>
      </c>
      <c r="D1144">
        <v>1088</v>
      </c>
      <c r="E1144" t="s">
        <v>9585</v>
      </c>
      <c r="F1144">
        <v>5</v>
      </c>
      <c r="G1144" s="28" t="s">
        <v>12599</v>
      </c>
    </row>
    <row r="1145" spans="1:7" ht="115.2" x14ac:dyDescent="0.3">
      <c r="A1145" t="s">
        <v>9582</v>
      </c>
      <c r="B1145" t="s">
        <v>10740</v>
      </c>
      <c r="C1145" s="20" t="s">
        <v>10741</v>
      </c>
      <c r="D1145">
        <v>1088</v>
      </c>
      <c r="E1145" t="s">
        <v>9585</v>
      </c>
      <c r="F1145">
        <v>5</v>
      </c>
      <c r="G1145" s="28" t="s">
        <v>12599</v>
      </c>
    </row>
    <row r="1146" spans="1:7" ht="115.2" x14ac:dyDescent="0.3">
      <c r="A1146" t="s">
        <v>9582</v>
      </c>
      <c r="B1146" t="s">
        <v>10740</v>
      </c>
      <c r="C1146" s="20" t="s">
        <v>10741</v>
      </c>
      <c r="D1146">
        <v>1088</v>
      </c>
      <c r="E1146" t="s">
        <v>9585</v>
      </c>
      <c r="F1146">
        <v>5</v>
      </c>
      <c r="G1146" s="28" t="s">
        <v>12599</v>
      </c>
    </row>
    <row r="1147" spans="1:7" ht="57.6" x14ac:dyDescent="0.3">
      <c r="A1147" t="s">
        <v>9582</v>
      </c>
      <c r="B1147" t="s">
        <v>10742</v>
      </c>
      <c r="C1147" s="20" t="s">
        <v>10743</v>
      </c>
      <c r="D1147">
        <v>189</v>
      </c>
      <c r="E1147" t="s">
        <v>9589</v>
      </c>
      <c r="F1147">
        <v>20</v>
      </c>
      <c r="G1147" s="28" t="s">
        <v>9590</v>
      </c>
    </row>
    <row r="1148" spans="1:7" ht="57.6" x14ac:dyDescent="0.3">
      <c r="A1148" t="s">
        <v>9582</v>
      </c>
      <c r="B1148" t="s">
        <v>10742</v>
      </c>
      <c r="C1148" s="20" t="s">
        <v>10743</v>
      </c>
      <c r="D1148">
        <v>189</v>
      </c>
      <c r="E1148" t="s">
        <v>9589</v>
      </c>
      <c r="F1148">
        <v>20</v>
      </c>
      <c r="G1148" s="28" t="s">
        <v>9590</v>
      </c>
    </row>
    <row r="1149" spans="1:7" ht="57.6" x14ac:dyDescent="0.3">
      <c r="A1149" t="s">
        <v>9582</v>
      </c>
      <c r="B1149" t="s">
        <v>10744</v>
      </c>
      <c r="C1149" s="20" t="s">
        <v>10745</v>
      </c>
      <c r="D1149">
        <v>1764</v>
      </c>
      <c r="E1149" t="s">
        <v>9585</v>
      </c>
      <c r="F1149">
        <v>5</v>
      </c>
      <c r="G1149" s="28" t="s">
        <v>9586</v>
      </c>
    </row>
    <row r="1150" spans="1:7" ht="43.2" x14ac:dyDescent="0.3">
      <c r="A1150" t="s">
        <v>9582</v>
      </c>
      <c r="B1150" t="s">
        <v>10746</v>
      </c>
      <c r="C1150" s="20" t="s">
        <v>10747</v>
      </c>
      <c r="D1150">
        <v>687</v>
      </c>
      <c r="E1150" t="s">
        <v>9616</v>
      </c>
      <c r="F1150">
        <v>8</v>
      </c>
      <c r="G1150" s="28" t="s">
        <v>9590</v>
      </c>
    </row>
    <row r="1151" spans="1:7" ht="57.6" x14ac:dyDescent="0.3">
      <c r="A1151" t="s">
        <v>9582</v>
      </c>
      <c r="B1151" t="s">
        <v>10748</v>
      </c>
      <c r="C1151" s="20" t="s">
        <v>10749</v>
      </c>
      <c r="D1151">
        <v>688</v>
      </c>
      <c r="E1151" t="s">
        <v>9589</v>
      </c>
      <c r="F1151">
        <v>60</v>
      </c>
      <c r="G1151" s="28" t="s">
        <v>9590</v>
      </c>
    </row>
    <row r="1152" spans="1:7" ht="115.2" x14ac:dyDescent="0.3">
      <c r="A1152" t="s">
        <v>9582</v>
      </c>
      <c r="B1152" t="s">
        <v>10750</v>
      </c>
      <c r="C1152" s="20" t="s">
        <v>10751</v>
      </c>
      <c r="D1152">
        <v>686</v>
      </c>
      <c r="E1152" t="s">
        <v>9585</v>
      </c>
      <c r="F1152">
        <v>5</v>
      </c>
      <c r="G1152" s="28" t="s">
        <v>12600</v>
      </c>
    </row>
    <row r="1153" spans="1:7" ht="201.6" x14ac:dyDescent="0.3">
      <c r="A1153" t="s">
        <v>9582</v>
      </c>
      <c r="B1153" t="s">
        <v>10752</v>
      </c>
      <c r="C1153" s="20" t="s">
        <v>10753</v>
      </c>
      <c r="D1153">
        <v>392</v>
      </c>
      <c r="E1153" t="s">
        <v>9585</v>
      </c>
      <c r="F1153">
        <v>5</v>
      </c>
      <c r="G1153" s="17" t="s">
        <v>12356</v>
      </c>
    </row>
    <row r="1154" spans="1:7" ht="86.4" x14ac:dyDescent="0.3">
      <c r="A1154" t="s">
        <v>9582</v>
      </c>
      <c r="B1154" t="s">
        <v>10754</v>
      </c>
      <c r="C1154" s="20" t="s">
        <v>10755</v>
      </c>
      <c r="D1154">
        <v>797</v>
      </c>
      <c r="E1154" t="s">
        <v>9585</v>
      </c>
      <c r="F1154">
        <v>5</v>
      </c>
      <c r="G1154" s="28" t="s">
        <v>12601</v>
      </c>
    </row>
    <row r="1155" spans="1:7" ht="201.6" x14ac:dyDescent="0.3">
      <c r="A1155" t="s">
        <v>9582</v>
      </c>
      <c r="B1155" t="s">
        <v>10756</v>
      </c>
      <c r="C1155" s="20" t="s">
        <v>10757</v>
      </c>
      <c r="D1155">
        <v>599</v>
      </c>
      <c r="E1155" t="s">
        <v>9585</v>
      </c>
      <c r="F1155">
        <v>5</v>
      </c>
      <c r="G1155" s="28" t="s">
        <v>12602</v>
      </c>
    </row>
    <row r="1156" spans="1:7" ht="43.2" x14ac:dyDescent="0.3">
      <c r="A1156" t="s">
        <v>9582</v>
      </c>
      <c r="B1156" t="s">
        <v>10758</v>
      </c>
      <c r="C1156" s="20" t="s">
        <v>10759</v>
      </c>
      <c r="D1156">
        <v>693</v>
      </c>
      <c r="E1156" t="s">
        <v>9616</v>
      </c>
      <c r="F1156">
        <v>8</v>
      </c>
      <c r="G1156" s="28" t="s">
        <v>9590</v>
      </c>
    </row>
    <row r="1157" spans="1:7" ht="43.2" x14ac:dyDescent="0.3">
      <c r="A1157" t="s">
        <v>9582</v>
      </c>
      <c r="B1157" t="s">
        <v>10760</v>
      </c>
      <c r="C1157" s="20" t="s">
        <v>10761</v>
      </c>
      <c r="D1157">
        <v>690</v>
      </c>
      <c r="E1157" t="s">
        <v>9589</v>
      </c>
      <c r="F1157">
        <v>35</v>
      </c>
      <c r="G1157" s="28" t="s">
        <v>9590</v>
      </c>
    </row>
    <row r="1158" spans="1:7" ht="43.2" x14ac:dyDescent="0.3">
      <c r="A1158" t="s">
        <v>9582</v>
      </c>
      <c r="B1158" t="s">
        <v>10762</v>
      </c>
      <c r="C1158" s="20" t="s">
        <v>10763</v>
      </c>
      <c r="D1158">
        <v>694</v>
      </c>
      <c r="E1158" t="s">
        <v>9616</v>
      </c>
      <c r="F1158">
        <v>8</v>
      </c>
      <c r="G1158" s="28" t="s">
        <v>9590</v>
      </c>
    </row>
    <row r="1159" spans="1:7" ht="28.8" x14ac:dyDescent="0.3">
      <c r="A1159" t="s">
        <v>9582</v>
      </c>
      <c r="B1159" t="s">
        <v>10764</v>
      </c>
      <c r="C1159" s="20" t="s">
        <v>10765</v>
      </c>
      <c r="D1159">
        <v>691</v>
      </c>
      <c r="E1159" t="s">
        <v>9589</v>
      </c>
      <c r="F1159">
        <v>60</v>
      </c>
      <c r="G1159" s="28" t="s">
        <v>9590</v>
      </c>
    </row>
    <row r="1160" spans="1:7" ht="230.4" x14ac:dyDescent="0.3">
      <c r="A1160" t="s">
        <v>9582</v>
      </c>
      <c r="B1160" t="s">
        <v>10766</v>
      </c>
      <c r="C1160" s="20" t="s">
        <v>10767</v>
      </c>
      <c r="D1160">
        <v>689</v>
      </c>
      <c r="E1160" t="s">
        <v>9585</v>
      </c>
      <c r="F1160">
        <v>5</v>
      </c>
      <c r="G1160" s="28" t="s">
        <v>12603</v>
      </c>
    </row>
    <row r="1161" spans="1:7" ht="201.6" x14ac:dyDescent="0.3">
      <c r="A1161" t="s">
        <v>9582</v>
      </c>
      <c r="B1161" t="s">
        <v>10768</v>
      </c>
      <c r="C1161" s="20" t="s">
        <v>10769</v>
      </c>
      <c r="D1161">
        <v>393</v>
      </c>
      <c r="E1161" t="s">
        <v>9589</v>
      </c>
      <c r="F1161">
        <v>60</v>
      </c>
      <c r="G1161" s="17" t="s">
        <v>12356</v>
      </c>
    </row>
    <row r="1162" spans="1:7" ht="302.39999999999998" x14ac:dyDescent="0.3">
      <c r="A1162" t="s">
        <v>9582</v>
      </c>
      <c r="B1162" t="s">
        <v>10770</v>
      </c>
      <c r="C1162" s="20" t="s">
        <v>10771</v>
      </c>
      <c r="D1162">
        <v>1025</v>
      </c>
      <c r="E1162" t="s">
        <v>9585</v>
      </c>
      <c r="F1162">
        <v>5</v>
      </c>
      <c r="G1162" s="28" t="s">
        <v>12604</v>
      </c>
    </row>
    <row r="1163" spans="1:7" ht="72" x14ac:dyDescent="0.3">
      <c r="A1163" t="s">
        <v>9582</v>
      </c>
      <c r="B1163" t="s">
        <v>10772</v>
      </c>
      <c r="C1163" s="20" t="s">
        <v>10773</v>
      </c>
      <c r="D1163">
        <v>192</v>
      </c>
      <c r="E1163" t="s">
        <v>9589</v>
      </c>
      <c r="F1163">
        <v>35</v>
      </c>
      <c r="G1163" s="28" t="s">
        <v>9590</v>
      </c>
    </row>
    <row r="1164" spans="1:7" ht="57.6" x14ac:dyDescent="0.3">
      <c r="A1164" t="s">
        <v>9582</v>
      </c>
      <c r="B1164" t="s">
        <v>10774</v>
      </c>
      <c r="C1164" s="20" t="s">
        <v>12369</v>
      </c>
      <c r="D1164">
        <v>1219</v>
      </c>
      <c r="E1164" t="s">
        <v>9616</v>
      </c>
      <c r="F1164">
        <v>8</v>
      </c>
      <c r="G1164" s="28" t="s">
        <v>9590</v>
      </c>
    </row>
    <row r="1165" spans="1:7" ht="57.6" x14ac:dyDescent="0.3">
      <c r="A1165" t="s">
        <v>9582</v>
      </c>
      <c r="B1165" t="s">
        <v>10775</v>
      </c>
      <c r="C1165" s="20" t="s">
        <v>10776</v>
      </c>
      <c r="D1165">
        <v>635</v>
      </c>
      <c r="E1165" t="s">
        <v>9633</v>
      </c>
      <c r="F1165">
        <v>3.1</v>
      </c>
      <c r="G1165" s="28" t="s">
        <v>9590</v>
      </c>
    </row>
    <row r="1166" spans="1:7" ht="57.6" x14ac:dyDescent="0.3">
      <c r="A1166" t="s">
        <v>9582</v>
      </c>
      <c r="B1166" t="s">
        <v>10777</v>
      </c>
      <c r="C1166" s="20" t="s">
        <v>10778</v>
      </c>
      <c r="D1166">
        <v>1144</v>
      </c>
      <c r="E1166" t="s">
        <v>9653</v>
      </c>
      <c r="F1166">
        <v>3</v>
      </c>
      <c r="G1166" s="28" t="s">
        <v>9590</v>
      </c>
    </row>
    <row r="1167" spans="1:7" ht="28.8" x14ac:dyDescent="0.3">
      <c r="A1167" t="s">
        <v>9582</v>
      </c>
      <c r="B1167" t="s">
        <v>10779</v>
      </c>
      <c r="C1167" s="20" t="s">
        <v>10780</v>
      </c>
      <c r="D1167">
        <v>1145</v>
      </c>
      <c r="E1167" t="s">
        <v>9653</v>
      </c>
      <c r="F1167">
        <v>2</v>
      </c>
      <c r="G1167" s="28" t="s">
        <v>9590</v>
      </c>
    </row>
    <row r="1168" spans="1:7" ht="43.2" x14ac:dyDescent="0.3">
      <c r="A1168" t="s">
        <v>9582</v>
      </c>
      <c r="B1168" t="s">
        <v>10781</v>
      </c>
      <c r="C1168" s="20" t="s">
        <v>10782</v>
      </c>
      <c r="D1168">
        <v>195</v>
      </c>
      <c r="E1168" t="s">
        <v>9633</v>
      </c>
      <c r="F1168">
        <v>2.1</v>
      </c>
      <c r="G1168" s="28" t="s">
        <v>9590</v>
      </c>
    </row>
    <row r="1169" spans="1:7" ht="43.2" x14ac:dyDescent="0.3">
      <c r="A1169" t="s">
        <v>9582</v>
      </c>
      <c r="B1169" t="s">
        <v>10781</v>
      </c>
      <c r="C1169" s="20" t="s">
        <v>10782</v>
      </c>
      <c r="D1169">
        <v>195</v>
      </c>
      <c r="E1169" t="s">
        <v>9633</v>
      </c>
      <c r="F1169">
        <v>2.1</v>
      </c>
      <c r="G1169" s="28" t="s">
        <v>9590</v>
      </c>
    </row>
    <row r="1170" spans="1:7" ht="43.2" x14ac:dyDescent="0.3">
      <c r="A1170" t="s">
        <v>9582</v>
      </c>
      <c r="B1170" t="s">
        <v>10781</v>
      </c>
      <c r="C1170" s="20" t="s">
        <v>10782</v>
      </c>
      <c r="D1170">
        <v>195</v>
      </c>
      <c r="E1170" t="s">
        <v>9633</v>
      </c>
      <c r="F1170">
        <v>2.1</v>
      </c>
      <c r="G1170" s="28" t="s">
        <v>9590</v>
      </c>
    </row>
    <row r="1171" spans="1:7" ht="43.2" x14ac:dyDescent="0.3">
      <c r="A1171" t="s">
        <v>9582</v>
      </c>
      <c r="B1171" t="s">
        <v>10781</v>
      </c>
      <c r="C1171" s="20" t="s">
        <v>10782</v>
      </c>
      <c r="D1171">
        <v>195</v>
      </c>
      <c r="E1171" t="s">
        <v>9633</v>
      </c>
      <c r="F1171">
        <v>2.1</v>
      </c>
      <c r="G1171" s="28" t="s">
        <v>9590</v>
      </c>
    </row>
    <row r="1172" spans="1:7" ht="43.2" x14ac:dyDescent="0.3">
      <c r="A1172" t="s">
        <v>9582</v>
      </c>
      <c r="B1172" t="s">
        <v>10783</v>
      </c>
      <c r="C1172" s="20" t="s">
        <v>10784</v>
      </c>
      <c r="D1172">
        <v>707</v>
      </c>
      <c r="E1172" t="s">
        <v>9653</v>
      </c>
      <c r="F1172">
        <v>4</v>
      </c>
      <c r="G1172" s="28" t="s">
        <v>9590</v>
      </c>
    </row>
    <row r="1173" spans="1:7" ht="43.2" x14ac:dyDescent="0.3">
      <c r="A1173" t="s">
        <v>9582</v>
      </c>
      <c r="B1173" t="s">
        <v>10785</v>
      </c>
      <c r="C1173" s="20" t="s">
        <v>10786</v>
      </c>
      <c r="D1173">
        <v>706</v>
      </c>
      <c r="E1173" t="s">
        <v>9653</v>
      </c>
      <c r="F1173">
        <v>4</v>
      </c>
      <c r="G1173" s="28" t="s">
        <v>9590</v>
      </c>
    </row>
    <row r="1174" spans="1:7" ht="43.2" x14ac:dyDescent="0.3">
      <c r="A1174" t="s">
        <v>9582</v>
      </c>
      <c r="B1174" t="s">
        <v>10787</v>
      </c>
      <c r="C1174" s="20" t="s">
        <v>10788</v>
      </c>
      <c r="D1174">
        <v>196</v>
      </c>
      <c r="E1174" t="s">
        <v>9653</v>
      </c>
      <c r="F1174">
        <v>3</v>
      </c>
      <c r="G1174" s="28" t="s">
        <v>9590</v>
      </c>
    </row>
    <row r="1175" spans="1:7" ht="28.8" x14ac:dyDescent="0.3">
      <c r="A1175" t="s">
        <v>9582</v>
      </c>
      <c r="B1175" t="s">
        <v>10789</v>
      </c>
      <c r="C1175" s="20" t="s">
        <v>10790</v>
      </c>
      <c r="D1175">
        <v>197</v>
      </c>
      <c r="E1175" t="s">
        <v>9653</v>
      </c>
      <c r="F1175">
        <v>2</v>
      </c>
      <c r="G1175" s="28" t="s">
        <v>9590</v>
      </c>
    </row>
    <row r="1176" spans="1:7" ht="28.8" x14ac:dyDescent="0.3">
      <c r="A1176" t="s">
        <v>9582</v>
      </c>
      <c r="B1176" t="s">
        <v>10789</v>
      </c>
      <c r="C1176" s="20" t="s">
        <v>10790</v>
      </c>
      <c r="D1176">
        <v>197</v>
      </c>
      <c r="E1176" t="s">
        <v>9653</v>
      </c>
      <c r="F1176">
        <v>2</v>
      </c>
      <c r="G1176" s="28" t="s">
        <v>9590</v>
      </c>
    </row>
    <row r="1177" spans="1:7" ht="28.8" x14ac:dyDescent="0.3">
      <c r="A1177" t="s">
        <v>9582</v>
      </c>
      <c r="B1177" t="s">
        <v>10789</v>
      </c>
      <c r="C1177" s="20" t="s">
        <v>10790</v>
      </c>
      <c r="D1177">
        <v>197</v>
      </c>
      <c r="E1177" t="s">
        <v>9653</v>
      </c>
      <c r="F1177">
        <v>2</v>
      </c>
      <c r="G1177" s="28" t="s">
        <v>9590</v>
      </c>
    </row>
    <row r="1178" spans="1:7" ht="43.2" x14ac:dyDescent="0.3">
      <c r="A1178" t="s">
        <v>9582</v>
      </c>
      <c r="B1178" t="s">
        <v>10791</v>
      </c>
      <c r="C1178" s="20" t="s">
        <v>10792</v>
      </c>
      <c r="D1178">
        <v>198</v>
      </c>
      <c r="E1178" t="s">
        <v>9653</v>
      </c>
      <c r="F1178">
        <v>2</v>
      </c>
      <c r="G1178" s="28" t="s">
        <v>9590</v>
      </c>
    </row>
    <row r="1179" spans="1:7" ht="43.2" x14ac:dyDescent="0.3">
      <c r="A1179" t="s">
        <v>9582</v>
      </c>
      <c r="B1179" t="s">
        <v>10791</v>
      </c>
      <c r="C1179" s="20" t="s">
        <v>10792</v>
      </c>
      <c r="D1179">
        <v>198</v>
      </c>
      <c r="E1179" t="s">
        <v>9653</v>
      </c>
      <c r="F1179">
        <v>2</v>
      </c>
      <c r="G1179" s="28" t="s">
        <v>9590</v>
      </c>
    </row>
    <row r="1180" spans="1:7" ht="43.2" x14ac:dyDescent="0.3">
      <c r="A1180" t="s">
        <v>9582</v>
      </c>
      <c r="B1180" t="s">
        <v>10791</v>
      </c>
      <c r="C1180" s="20" t="s">
        <v>10792</v>
      </c>
      <c r="D1180">
        <v>198</v>
      </c>
      <c r="E1180" t="s">
        <v>9653</v>
      </c>
      <c r="F1180">
        <v>2</v>
      </c>
      <c r="G1180" s="28" t="s">
        <v>9590</v>
      </c>
    </row>
    <row r="1181" spans="1:7" ht="72" x14ac:dyDescent="0.3">
      <c r="A1181" t="s">
        <v>9582</v>
      </c>
      <c r="B1181" t="s">
        <v>10793</v>
      </c>
      <c r="C1181" s="20" t="s">
        <v>10794</v>
      </c>
      <c r="D1181">
        <v>857</v>
      </c>
      <c r="E1181" t="s">
        <v>9653</v>
      </c>
      <c r="F1181">
        <v>3</v>
      </c>
      <c r="G1181" s="28" t="s">
        <v>9590</v>
      </c>
    </row>
    <row r="1182" spans="1:7" ht="72" x14ac:dyDescent="0.3">
      <c r="A1182" t="s">
        <v>9582</v>
      </c>
      <c r="B1182" t="s">
        <v>10793</v>
      </c>
      <c r="C1182" s="20" t="s">
        <v>10794</v>
      </c>
      <c r="D1182">
        <v>857</v>
      </c>
      <c r="E1182" t="s">
        <v>9653</v>
      </c>
      <c r="F1182">
        <v>3</v>
      </c>
      <c r="G1182" s="28" t="s">
        <v>9590</v>
      </c>
    </row>
    <row r="1183" spans="1:7" ht="28.8" x14ac:dyDescent="0.3">
      <c r="A1183" t="s">
        <v>9582</v>
      </c>
      <c r="B1183" t="s">
        <v>10795</v>
      </c>
      <c r="C1183" s="20" t="s">
        <v>10796</v>
      </c>
      <c r="D1183">
        <v>639</v>
      </c>
      <c r="E1183" t="s">
        <v>9653</v>
      </c>
      <c r="F1183">
        <v>3</v>
      </c>
      <c r="G1183" s="28" t="s">
        <v>9590</v>
      </c>
    </row>
    <row r="1184" spans="1:7" ht="28.8" x14ac:dyDescent="0.3">
      <c r="A1184" t="s">
        <v>9582</v>
      </c>
      <c r="B1184" t="s">
        <v>10795</v>
      </c>
      <c r="C1184" s="20" t="s">
        <v>10796</v>
      </c>
      <c r="D1184">
        <v>639</v>
      </c>
      <c r="E1184" t="s">
        <v>9653</v>
      </c>
      <c r="F1184">
        <v>3</v>
      </c>
      <c r="G1184" s="28" t="s">
        <v>9590</v>
      </c>
    </row>
    <row r="1185" spans="1:7" ht="28.8" x14ac:dyDescent="0.3">
      <c r="A1185" t="s">
        <v>9582</v>
      </c>
      <c r="B1185" t="s">
        <v>10795</v>
      </c>
      <c r="C1185" s="20" t="s">
        <v>10796</v>
      </c>
      <c r="D1185">
        <v>639</v>
      </c>
      <c r="E1185" t="s">
        <v>9653</v>
      </c>
      <c r="F1185">
        <v>3</v>
      </c>
      <c r="G1185" s="28" t="s">
        <v>9590</v>
      </c>
    </row>
    <row r="1186" spans="1:7" ht="28.8" x14ac:dyDescent="0.3">
      <c r="A1186" t="s">
        <v>9582</v>
      </c>
      <c r="B1186" t="s">
        <v>10795</v>
      </c>
      <c r="C1186" s="20" t="s">
        <v>10796</v>
      </c>
      <c r="D1186">
        <v>639</v>
      </c>
      <c r="E1186" t="s">
        <v>9653</v>
      </c>
      <c r="F1186">
        <v>3</v>
      </c>
      <c r="G1186" s="28" t="s">
        <v>9590</v>
      </c>
    </row>
    <row r="1187" spans="1:7" ht="28.8" x14ac:dyDescent="0.3">
      <c r="A1187" t="s">
        <v>9582</v>
      </c>
      <c r="B1187" t="s">
        <v>10797</v>
      </c>
      <c r="C1187" s="20" t="s">
        <v>10798</v>
      </c>
      <c r="D1187">
        <v>201</v>
      </c>
      <c r="E1187" t="s">
        <v>9653</v>
      </c>
      <c r="F1187">
        <v>2</v>
      </c>
      <c r="G1187" s="28" t="s">
        <v>9590</v>
      </c>
    </row>
    <row r="1188" spans="1:7" ht="28.8" x14ac:dyDescent="0.3">
      <c r="A1188" t="s">
        <v>9582</v>
      </c>
      <c r="B1188" t="s">
        <v>10797</v>
      </c>
      <c r="C1188" s="20" t="s">
        <v>10798</v>
      </c>
      <c r="D1188">
        <v>201</v>
      </c>
      <c r="E1188" t="s">
        <v>9653</v>
      </c>
      <c r="F1188">
        <v>2</v>
      </c>
      <c r="G1188" s="28" t="s">
        <v>9590</v>
      </c>
    </row>
    <row r="1189" spans="1:7" ht="28.8" x14ac:dyDescent="0.3">
      <c r="A1189" t="s">
        <v>9582</v>
      </c>
      <c r="B1189" t="s">
        <v>10797</v>
      </c>
      <c r="C1189" s="20" t="s">
        <v>10798</v>
      </c>
      <c r="D1189">
        <v>201</v>
      </c>
      <c r="E1189" t="s">
        <v>9653</v>
      </c>
      <c r="F1189">
        <v>2</v>
      </c>
      <c r="G1189" s="28" t="s">
        <v>9590</v>
      </c>
    </row>
    <row r="1190" spans="1:7" ht="43.2" x14ac:dyDescent="0.3">
      <c r="A1190" t="s">
        <v>9582</v>
      </c>
      <c r="B1190" t="s">
        <v>10799</v>
      </c>
      <c r="C1190" s="20" t="s">
        <v>10800</v>
      </c>
      <c r="D1190">
        <v>406</v>
      </c>
      <c r="E1190" t="s">
        <v>9653</v>
      </c>
      <c r="F1190">
        <v>3</v>
      </c>
      <c r="G1190" s="28" t="s">
        <v>9590</v>
      </c>
    </row>
    <row r="1191" spans="1:7" ht="115.2" x14ac:dyDescent="0.3">
      <c r="A1191" t="s">
        <v>9582</v>
      </c>
      <c r="B1191" t="s">
        <v>10801</v>
      </c>
      <c r="C1191" s="20" t="s">
        <v>12370</v>
      </c>
      <c r="D1191">
        <v>1301</v>
      </c>
      <c r="E1191" t="s">
        <v>9585</v>
      </c>
      <c r="F1191">
        <v>5</v>
      </c>
      <c r="G1191" s="28" t="s">
        <v>12605</v>
      </c>
    </row>
    <row r="1192" spans="1:7" ht="57.6" x14ac:dyDescent="0.3">
      <c r="A1192" t="s">
        <v>9582</v>
      </c>
      <c r="B1192" t="s">
        <v>10802</v>
      </c>
      <c r="C1192" s="20" t="s">
        <v>10803</v>
      </c>
      <c r="D1192">
        <v>454</v>
      </c>
      <c r="E1192" t="s">
        <v>9589</v>
      </c>
      <c r="F1192">
        <v>45</v>
      </c>
      <c r="G1192" s="28" t="s">
        <v>9590</v>
      </c>
    </row>
    <row r="1193" spans="1:7" ht="57.6" x14ac:dyDescent="0.3">
      <c r="A1193" t="s">
        <v>9582</v>
      </c>
      <c r="B1193" t="s">
        <v>10804</v>
      </c>
      <c r="C1193" s="20" t="s">
        <v>10805</v>
      </c>
      <c r="D1193">
        <v>455</v>
      </c>
      <c r="E1193" t="s">
        <v>9616</v>
      </c>
      <c r="F1193">
        <v>8</v>
      </c>
      <c r="G1193" s="28" t="s">
        <v>9590</v>
      </c>
    </row>
    <row r="1194" spans="1:7" ht="57.6" x14ac:dyDescent="0.3">
      <c r="A1194" t="s">
        <v>9582</v>
      </c>
      <c r="B1194" t="s">
        <v>10806</v>
      </c>
      <c r="C1194" s="20" t="s">
        <v>10807</v>
      </c>
      <c r="D1194">
        <v>456</v>
      </c>
      <c r="E1194" t="s">
        <v>9616</v>
      </c>
      <c r="F1194">
        <v>8</v>
      </c>
      <c r="G1194" s="28" t="s">
        <v>9590</v>
      </c>
    </row>
    <row r="1195" spans="1:7" ht="230.4" x14ac:dyDescent="0.3">
      <c r="A1195" t="s">
        <v>9582</v>
      </c>
      <c r="B1195" t="s">
        <v>10808</v>
      </c>
      <c r="C1195" s="20" t="s">
        <v>12371</v>
      </c>
      <c r="D1195">
        <v>1163</v>
      </c>
      <c r="E1195" t="s">
        <v>9585</v>
      </c>
      <c r="F1195">
        <v>5</v>
      </c>
      <c r="G1195" s="28" t="s">
        <v>12606</v>
      </c>
    </row>
    <row r="1196" spans="1:7" ht="316.8" x14ac:dyDescent="0.3">
      <c r="A1196" t="s">
        <v>9582</v>
      </c>
      <c r="B1196" t="s">
        <v>10808</v>
      </c>
      <c r="C1196" s="20" t="s">
        <v>12371</v>
      </c>
      <c r="D1196">
        <v>1163</v>
      </c>
      <c r="E1196" t="s">
        <v>9585</v>
      </c>
      <c r="F1196">
        <v>5</v>
      </c>
      <c r="G1196" s="28" t="s">
        <v>12607</v>
      </c>
    </row>
    <row r="1197" spans="1:7" ht="230.4" x14ac:dyDescent="0.3">
      <c r="A1197" t="s">
        <v>9582</v>
      </c>
      <c r="B1197" t="s">
        <v>10808</v>
      </c>
      <c r="C1197" s="20" t="s">
        <v>12371</v>
      </c>
      <c r="D1197">
        <v>1163</v>
      </c>
      <c r="E1197" t="s">
        <v>9585</v>
      </c>
      <c r="F1197">
        <v>5</v>
      </c>
      <c r="G1197" s="28" t="s">
        <v>12606</v>
      </c>
    </row>
    <row r="1198" spans="1:7" ht="316.8" x14ac:dyDescent="0.3">
      <c r="A1198" t="s">
        <v>9582</v>
      </c>
      <c r="B1198" t="s">
        <v>10808</v>
      </c>
      <c r="C1198" s="20" t="s">
        <v>12371</v>
      </c>
      <c r="D1198">
        <v>1163</v>
      </c>
      <c r="E1198" t="s">
        <v>9585</v>
      </c>
      <c r="F1198">
        <v>5</v>
      </c>
      <c r="G1198" s="28" t="s">
        <v>12607</v>
      </c>
    </row>
    <row r="1199" spans="1:7" ht="374.4" x14ac:dyDescent="0.3">
      <c r="A1199" t="s">
        <v>9582</v>
      </c>
      <c r="B1199" t="s">
        <v>10809</v>
      </c>
      <c r="C1199" s="20" t="s">
        <v>10810</v>
      </c>
      <c r="D1199">
        <v>1158</v>
      </c>
      <c r="E1199" t="s">
        <v>9585</v>
      </c>
      <c r="F1199">
        <v>5</v>
      </c>
      <c r="G1199" s="28" t="s">
        <v>12608</v>
      </c>
    </row>
    <row r="1200" spans="1:7" ht="374.4" x14ac:dyDescent="0.3">
      <c r="A1200" t="s">
        <v>9582</v>
      </c>
      <c r="B1200" t="s">
        <v>10809</v>
      </c>
      <c r="C1200" s="20" t="s">
        <v>10810</v>
      </c>
      <c r="D1200">
        <v>1158</v>
      </c>
      <c r="E1200" t="s">
        <v>9585</v>
      </c>
      <c r="F1200">
        <v>5</v>
      </c>
      <c r="G1200" s="28" t="s">
        <v>12608</v>
      </c>
    </row>
    <row r="1201" spans="1:7" ht="86.4" x14ac:dyDescent="0.3">
      <c r="A1201" t="s">
        <v>9582</v>
      </c>
      <c r="B1201" t="s">
        <v>10811</v>
      </c>
      <c r="C1201" s="20" t="s">
        <v>12372</v>
      </c>
      <c r="D1201">
        <v>1165</v>
      </c>
      <c r="E1201" t="s">
        <v>9585</v>
      </c>
      <c r="F1201">
        <v>5</v>
      </c>
      <c r="G1201" s="28" t="s">
        <v>12609</v>
      </c>
    </row>
    <row r="1202" spans="1:7" ht="86.4" x14ac:dyDescent="0.3">
      <c r="A1202" t="s">
        <v>9582</v>
      </c>
      <c r="B1202" t="s">
        <v>10811</v>
      </c>
      <c r="C1202" s="20" t="s">
        <v>12372</v>
      </c>
      <c r="D1202">
        <v>1165</v>
      </c>
      <c r="E1202" t="s">
        <v>9585</v>
      </c>
      <c r="F1202">
        <v>5</v>
      </c>
      <c r="G1202" s="28" t="s">
        <v>12609</v>
      </c>
    </row>
    <row r="1203" spans="1:7" ht="28.8" x14ac:dyDescent="0.3">
      <c r="A1203" t="s">
        <v>9582</v>
      </c>
      <c r="B1203" t="s">
        <v>10812</v>
      </c>
      <c r="C1203" s="20" t="s">
        <v>9382</v>
      </c>
      <c r="D1203">
        <v>1191</v>
      </c>
      <c r="E1203" t="s">
        <v>9653</v>
      </c>
      <c r="F1203">
        <v>5</v>
      </c>
      <c r="G1203" s="28" t="s">
        <v>9590</v>
      </c>
    </row>
    <row r="1204" spans="1:7" ht="172.8" x14ac:dyDescent="0.3">
      <c r="A1204" t="s">
        <v>9582</v>
      </c>
      <c r="B1204" t="s">
        <v>10813</v>
      </c>
      <c r="C1204" s="20" t="s">
        <v>10814</v>
      </c>
      <c r="D1204">
        <v>1125</v>
      </c>
      <c r="E1204" t="s">
        <v>9585</v>
      </c>
      <c r="F1204">
        <v>5</v>
      </c>
      <c r="G1204" s="28" t="s">
        <v>12610</v>
      </c>
    </row>
    <row r="1205" spans="1:7" ht="57.6" x14ac:dyDescent="0.3">
      <c r="A1205" t="s">
        <v>9582</v>
      </c>
      <c r="B1205" t="s">
        <v>10815</v>
      </c>
      <c r="C1205" s="20" t="s">
        <v>10816</v>
      </c>
      <c r="D1205">
        <v>1124</v>
      </c>
      <c r="E1205" t="s">
        <v>9589</v>
      </c>
      <c r="F1205">
        <v>45</v>
      </c>
      <c r="G1205" s="28" t="s">
        <v>9590</v>
      </c>
    </row>
    <row r="1206" spans="1:7" ht="57.6" x14ac:dyDescent="0.3">
      <c r="A1206" t="s">
        <v>9582</v>
      </c>
      <c r="B1206" t="s">
        <v>10817</v>
      </c>
      <c r="C1206" s="20" t="s">
        <v>10818</v>
      </c>
      <c r="D1206">
        <v>1576</v>
      </c>
      <c r="E1206" t="s">
        <v>9585</v>
      </c>
      <c r="F1206">
        <v>5</v>
      </c>
      <c r="G1206" s="28" t="s">
        <v>12611</v>
      </c>
    </row>
    <row r="1207" spans="1:7" ht="43.2" x14ac:dyDescent="0.3">
      <c r="A1207" t="s">
        <v>9582</v>
      </c>
      <c r="B1207" t="s">
        <v>10819</v>
      </c>
      <c r="C1207" s="20" t="s">
        <v>10820</v>
      </c>
      <c r="D1207">
        <v>1527</v>
      </c>
      <c r="E1207" t="s">
        <v>9589</v>
      </c>
      <c r="F1207">
        <v>80</v>
      </c>
      <c r="G1207" s="28" t="s">
        <v>9590</v>
      </c>
    </row>
    <row r="1208" spans="1:7" ht="43.2" x14ac:dyDescent="0.3">
      <c r="A1208" t="s">
        <v>9582</v>
      </c>
      <c r="B1208" t="s">
        <v>10819</v>
      </c>
      <c r="C1208" s="20" t="s">
        <v>10820</v>
      </c>
      <c r="D1208">
        <v>1527</v>
      </c>
      <c r="E1208" t="s">
        <v>9589</v>
      </c>
      <c r="F1208">
        <v>80</v>
      </c>
      <c r="G1208" s="28" t="s">
        <v>9590</v>
      </c>
    </row>
    <row r="1209" spans="1:7" ht="43.2" x14ac:dyDescent="0.3">
      <c r="A1209" t="s">
        <v>9582</v>
      </c>
      <c r="B1209" t="s">
        <v>10821</v>
      </c>
      <c r="C1209" s="20" t="s">
        <v>10822</v>
      </c>
      <c r="D1209">
        <v>1879</v>
      </c>
      <c r="E1209" t="s">
        <v>9589</v>
      </c>
      <c r="F1209">
        <v>50</v>
      </c>
      <c r="G1209" s="28" t="s">
        <v>9590</v>
      </c>
    </row>
    <row r="1210" spans="1:7" ht="115.2" x14ac:dyDescent="0.3">
      <c r="A1210" t="s">
        <v>9582</v>
      </c>
      <c r="B1210" t="s">
        <v>10823</v>
      </c>
      <c r="C1210" s="20" t="s">
        <v>10824</v>
      </c>
      <c r="D1210">
        <v>761</v>
      </c>
      <c r="E1210" t="s">
        <v>9585</v>
      </c>
      <c r="F1210">
        <v>5</v>
      </c>
      <c r="G1210" s="28" t="s">
        <v>12612</v>
      </c>
    </row>
    <row r="1211" spans="1:7" ht="115.2" x14ac:dyDescent="0.3">
      <c r="A1211" t="s">
        <v>9582</v>
      </c>
      <c r="B1211" t="s">
        <v>10825</v>
      </c>
      <c r="C1211" s="20" t="s">
        <v>10826</v>
      </c>
      <c r="D1211">
        <v>762</v>
      </c>
      <c r="E1211" t="s">
        <v>9585</v>
      </c>
      <c r="F1211">
        <v>5</v>
      </c>
      <c r="G1211" s="28" t="s">
        <v>12613</v>
      </c>
    </row>
    <row r="1212" spans="1:7" ht="86.4" x14ac:dyDescent="0.3">
      <c r="A1212" t="s">
        <v>9582</v>
      </c>
      <c r="B1212" t="s">
        <v>10827</v>
      </c>
      <c r="C1212" s="20" t="s">
        <v>10828</v>
      </c>
      <c r="D1212">
        <v>760</v>
      </c>
      <c r="E1212" t="s">
        <v>9585</v>
      </c>
      <c r="F1212">
        <v>5</v>
      </c>
      <c r="G1212" s="28" t="s">
        <v>12614</v>
      </c>
    </row>
    <row r="1213" spans="1:7" ht="100.8" x14ac:dyDescent="0.3">
      <c r="A1213" t="s">
        <v>9582</v>
      </c>
      <c r="B1213" t="s">
        <v>10829</v>
      </c>
      <c r="C1213" s="20" t="s">
        <v>10830</v>
      </c>
      <c r="D1213">
        <v>1227</v>
      </c>
      <c r="E1213" t="s">
        <v>9585</v>
      </c>
      <c r="F1213">
        <v>5</v>
      </c>
      <c r="G1213" s="28" t="s">
        <v>12615</v>
      </c>
    </row>
    <row r="1214" spans="1:7" ht="100.8" x14ac:dyDescent="0.3">
      <c r="A1214" t="s">
        <v>9582</v>
      </c>
      <c r="B1214" t="s">
        <v>10829</v>
      </c>
      <c r="C1214" s="20" t="s">
        <v>10830</v>
      </c>
      <c r="D1214">
        <v>1227</v>
      </c>
      <c r="E1214" t="s">
        <v>9585</v>
      </c>
      <c r="F1214">
        <v>5</v>
      </c>
      <c r="G1214" s="28" t="s">
        <v>12615</v>
      </c>
    </row>
    <row r="1215" spans="1:7" ht="43.2" x14ac:dyDescent="0.3">
      <c r="A1215" t="s">
        <v>9582</v>
      </c>
      <c r="B1215" t="s">
        <v>10831</v>
      </c>
      <c r="C1215" s="20" t="s">
        <v>10832</v>
      </c>
      <c r="D1215">
        <v>501</v>
      </c>
      <c r="E1215" t="s">
        <v>9589</v>
      </c>
      <c r="F1215">
        <v>30</v>
      </c>
      <c r="G1215" s="28" t="s">
        <v>9590</v>
      </c>
    </row>
    <row r="1216" spans="1:7" ht="28.8" x14ac:dyDescent="0.3">
      <c r="A1216" t="s">
        <v>9582</v>
      </c>
      <c r="B1216" t="s">
        <v>10833</v>
      </c>
      <c r="C1216" s="20" t="s">
        <v>10834</v>
      </c>
      <c r="D1216">
        <v>868</v>
      </c>
      <c r="E1216" t="s">
        <v>9585</v>
      </c>
      <c r="F1216">
        <v>5</v>
      </c>
      <c r="G1216" s="28" t="s">
        <v>10835</v>
      </c>
    </row>
    <row r="1217" spans="1:7" ht="259.2" x14ac:dyDescent="0.3">
      <c r="A1217" t="s">
        <v>9582</v>
      </c>
      <c r="B1217" t="s">
        <v>10836</v>
      </c>
      <c r="C1217" s="20" t="s">
        <v>10837</v>
      </c>
      <c r="D1217">
        <v>1161</v>
      </c>
      <c r="E1217" t="s">
        <v>9585</v>
      </c>
      <c r="F1217">
        <v>5</v>
      </c>
      <c r="G1217" s="28" t="s">
        <v>12616</v>
      </c>
    </row>
    <row r="1218" spans="1:7" ht="259.2" x14ac:dyDescent="0.3">
      <c r="A1218" t="s">
        <v>9582</v>
      </c>
      <c r="B1218" t="s">
        <v>10836</v>
      </c>
      <c r="C1218" s="20" t="s">
        <v>10837</v>
      </c>
      <c r="D1218">
        <v>1161</v>
      </c>
      <c r="E1218" t="s">
        <v>9585</v>
      </c>
      <c r="F1218">
        <v>5</v>
      </c>
      <c r="G1218" s="28" t="s">
        <v>12616</v>
      </c>
    </row>
    <row r="1219" spans="1:7" ht="43.2" x14ac:dyDescent="0.3">
      <c r="A1219" t="s">
        <v>9582</v>
      </c>
      <c r="B1219" t="s">
        <v>10838</v>
      </c>
      <c r="C1219" s="20" t="s">
        <v>10839</v>
      </c>
      <c r="D1219">
        <v>1449</v>
      </c>
      <c r="E1219" t="s">
        <v>9585</v>
      </c>
      <c r="F1219">
        <v>5</v>
      </c>
      <c r="G1219" s="28" t="s">
        <v>9586</v>
      </c>
    </row>
    <row r="1220" spans="1:7" ht="57.6" x14ac:dyDescent="0.3">
      <c r="A1220" t="s">
        <v>9582</v>
      </c>
      <c r="B1220" t="s">
        <v>10840</v>
      </c>
      <c r="C1220" s="20" t="s">
        <v>10841</v>
      </c>
      <c r="D1220">
        <v>203</v>
      </c>
      <c r="E1220" t="s">
        <v>9653</v>
      </c>
      <c r="F1220">
        <v>3</v>
      </c>
      <c r="G1220" s="28" t="s">
        <v>9590</v>
      </c>
    </row>
    <row r="1221" spans="1:7" ht="57.6" x14ac:dyDescent="0.3">
      <c r="A1221" t="s">
        <v>9582</v>
      </c>
      <c r="B1221" t="s">
        <v>10840</v>
      </c>
      <c r="C1221" s="20" t="s">
        <v>10841</v>
      </c>
      <c r="D1221">
        <v>203</v>
      </c>
      <c r="E1221" t="s">
        <v>9653</v>
      </c>
      <c r="F1221">
        <v>3</v>
      </c>
      <c r="G1221" s="28" t="s">
        <v>9590</v>
      </c>
    </row>
    <row r="1222" spans="1:7" ht="57.6" x14ac:dyDescent="0.3">
      <c r="A1222" t="s">
        <v>9582</v>
      </c>
      <c r="B1222" t="s">
        <v>10840</v>
      </c>
      <c r="C1222" s="20" t="s">
        <v>10841</v>
      </c>
      <c r="D1222">
        <v>203</v>
      </c>
      <c r="E1222" t="s">
        <v>9653</v>
      </c>
      <c r="F1222">
        <v>3</v>
      </c>
      <c r="G1222" s="28" t="s">
        <v>9590</v>
      </c>
    </row>
    <row r="1223" spans="1:7" ht="57.6" x14ac:dyDescent="0.3">
      <c r="A1223" t="s">
        <v>9582</v>
      </c>
      <c r="B1223" t="s">
        <v>10842</v>
      </c>
      <c r="C1223" s="20" t="s">
        <v>10843</v>
      </c>
      <c r="D1223">
        <v>1312</v>
      </c>
      <c r="E1223" t="s">
        <v>9589</v>
      </c>
      <c r="F1223">
        <v>45</v>
      </c>
      <c r="G1223" s="28" t="s">
        <v>9590</v>
      </c>
    </row>
    <row r="1224" spans="1:7" ht="72" x14ac:dyDescent="0.3">
      <c r="A1224" t="s">
        <v>9582</v>
      </c>
      <c r="B1224" t="s">
        <v>10844</v>
      </c>
      <c r="C1224" s="20" t="s">
        <v>10845</v>
      </c>
      <c r="D1224">
        <v>365</v>
      </c>
      <c r="E1224" t="s">
        <v>9585</v>
      </c>
      <c r="F1224">
        <v>5</v>
      </c>
      <c r="G1224" s="28" t="s">
        <v>12617</v>
      </c>
    </row>
    <row r="1225" spans="1:7" ht="43.2" x14ac:dyDescent="0.3">
      <c r="A1225" t="s">
        <v>9582</v>
      </c>
      <c r="B1225" t="s">
        <v>10846</v>
      </c>
      <c r="C1225" s="20" t="s">
        <v>10847</v>
      </c>
      <c r="D1225">
        <v>1536</v>
      </c>
      <c r="E1225" t="s">
        <v>9589</v>
      </c>
      <c r="F1225">
        <v>50</v>
      </c>
      <c r="G1225" s="28" t="s">
        <v>9590</v>
      </c>
    </row>
    <row r="1226" spans="1:7" ht="28.8" x14ac:dyDescent="0.3">
      <c r="A1226" t="s">
        <v>9582</v>
      </c>
      <c r="B1226" t="s">
        <v>10848</v>
      </c>
      <c r="C1226" s="20" t="s">
        <v>10849</v>
      </c>
      <c r="D1226">
        <v>492</v>
      </c>
      <c r="E1226" t="s">
        <v>9589</v>
      </c>
      <c r="F1226">
        <v>60</v>
      </c>
      <c r="G1226" s="28" t="s">
        <v>9590</v>
      </c>
    </row>
    <row r="1227" spans="1:7" ht="43.2" x14ac:dyDescent="0.3">
      <c r="A1227" t="s">
        <v>9582</v>
      </c>
      <c r="B1227" t="s">
        <v>10850</v>
      </c>
      <c r="C1227" s="20" t="s">
        <v>10851</v>
      </c>
      <c r="D1227">
        <v>494</v>
      </c>
      <c r="E1227" t="s">
        <v>9589</v>
      </c>
      <c r="F1227">
        <v>60</v>
      </c>
      <c r="G1227" s="28" t="s">
        <v>9590</v>
      </c>
    </row>
    <row r="1228" spans="1:7" ht="43.2" x14ac:dyDescent="0.3">
      <c r="A1228" t="s">
        <v>9582</v>
      </c>
      <c r="B1228" t="s">
        <v>10852</v>
      </c>
      <c r="C1228" s="20" t="s">
        <v>10853</v>
      </c>
      <c r="D1228">
        <v>493</v>
      </c>
      <c r="E1228" t="s">
        <v>9589</v>
      </c>
      <c r="F1228">
        <v>60</v>
      </c>
      <c r="G1228" s="28" t="s">
        <v>9590</v>
      </c>
    </row>
    <row r="1229" spans="1:7" ht="57.6" x14ac:dyDescent="0.3">
      <c r="A1229" t="s">
        <v>9582</v>
      </c>
      <c r="B1229" t="s">
        <v>10854</v>
      </c>
      <c r="C1229" s="20" t="s">
        <v>10855</v>
      </c>
      <c r="D1229">
        <v>521</v>
      </c>
      <c r="E1229" t="s">
        <v>9633</v>
      </c>
      <c r="F1229">
        <v>6.2</v>
      </c>
      <c r="G1229" s="28" t="s">
        <v>9590</v>
      </c>
    </row>
    <row r="1230" spans="1:7" ht="201.6" x14ac:dyDescent="0.3">
      <c r="A1230" t="s">
        <v>9582</v>
      </c>
      <c r="B1230" t="s">
        <v>10856</v>
      </c>
      <c r="C1230" s="20" t="s">
        <v>10857</v>
      </c>
      <c r="D1230">
        <v>629</v>
      </c>
      <c r="E1230" t="s">
        <v>9585</v>
      </c>
      <c r="F1230">
        <v>5</v>
      </c>
      <c r="G1230" s="28" t="s">
        <v>12542</v>
      </c>
    </row>
    <row r="1231" spans="1:7" ht="28.8" x14ac:dyDescent="0.3">
      <c r="A1231" t="s">
        <v>9582</v>
      </c>
      <c r="B1231" t="s">
        <v>10858</v>
      </c>
      <c r="C1231" s="20" t="s">
        <v>10859</v>
      </c>
      <c r="D1231">
        <v>526</v>
      </c>
      <c r="E1231" t="s">
        <v>9589</v>
      </c>
      <c r="F1231">
        <v>45</v>
      </c>
      <c r="G1231" s="28" t="s">
        <v>9590</v>
      </c>
    </row>
    <row r="1232" spans="1:7" ht="403.2" x14ac:dyDescent="0.3">
      <c r="A1232" t="s">
        <v>9582</v>
      </c>
      <c r="B1232" t="s">
        <v>10860</v>
      </c>
      <c r="C1232" s="20" t="s">
        <v>10861</v>
      </c>
      <c r="D1232">
        <v>527</v>
      </c>
      <c r="E1232" t="s">
        <v>9585</v>
      </c>
      <c r="F1232">
        <v>5</v>
      </c>
      <c r="G1232" s="28" t="s">
        <v>12618</v>
      </c>
    </row>
    <row r="1233" spans="1:7" ht="72" x14ac:dyDescent="0.3">
      <c r="A1233" t="s">
        <v>9582</v>
      </c>
      <c r="B1233" t="s">
        <v>10862</v>
      </c>
      <c r="C1233" s="20" t="s">
        <v>10863</v>
      </c>
      <c r="D1233">
        <v>528</v>
      </c>
      <c r="E1233" t="s">
        <v>9585</v>
      </c>
      <c r="F1233">
        <v>5</v>
      </c>
      <c r="G1233" s="28" t="s">
        <v>12619</v>
      </c>
    </row>
    <row r="1234" spans="1:7" ht="57.6" x14ac:dyDescent="0.3">
      <c r="A1234" t="s">
        <v>9582</v>
      </c>
      <c r="B1234" t="s">
        <v>10864</v>
      </c>
      <c r="C1234" s="20" t="s">
        <v>10865</v>
      </c>
      <c r="D1234">
        <v>832</v>
      </c>
      <c r="E1234" t="s">
        <v>9633</v>
      </c>
      <c r="F1234">
        <v>3.2</v>
      </c>
      <c r="G1234" s="28" t="s">
        <v>9590</v>
      </c>
    </row>
    <row r="1235" spans="1:7" ht="43.2" x14ac:dyDescent="0.3">
      <c r="A1235" t="s">
        <v>9582</v>
      </c>
      <c r="B1235" t="s">
        <v>10866</v>
      </c>
      <c r="C1235" s="20" t="s">
        <v>10867</v>
      </c>
      <c r="D1235">
        <v>1023</v>
      </c>
      <c r="E1235" t="s">
        <v>9653</v>
      </c>
      <c r="F1235">
        <v>2</v>
      </c>
      <c r="G1235" s="28" t="s">
        <v>9590</v>
      </c>
    </row>
    <row r="1236" spans="1:7" ht="43.2" x14ac:dyDescent="0.3">
      <c r="A1236" t="s">
        <v>9582</v>
      </c>
      <c r="B1236" t="s">
        <v>10868</v>
      </c>
      <c r="C1236" s="20" t="s">
        <v>10869</v>
      </c>
      <c r="D1236">
        <v>1022</v>
      </c>
      <c r="E1236" t="s">
        <v>9653</v>
      </c>
      <c r="F1236">
        <v>2</v>
      </c>
      <c r="G1236" s="28" t="s">
        <v>9590</v>
      </c>
    </row>
    <row r="1237" spans="1:7" ht="72" x14ac:dyDescent="0.3">
      <c r="A1237" t="s">
        <v>9582</v>
      </c>
      <c r="B1237" t="s">
        <v>10870</v>
      </c>
      <c r="C1237" s="20" t="s">
        <v>10871</v>
      </c>
      <c r="D1237">
        <v>204</v>
      </c>
      <c r="E1237" t="s">
        <v>9633</v>
      </c>
      <c r="F1237">
        <v>3.2</v>
      </c>
      <c r="G1237" s="28" t="s">
        <v>9590</v>
      </c>
    </row>
    <row r="1238" spans="1:7" ht="43.2" x14ac:dyDescent="0.3">
      <c r="A1238" t="s">
        <v>9582</v>
      </c>
      <c r="B1238" t="s">
        <v>10872</v>
      </c>
      <c r="C1238" s="20" t="s">
        <v>9525</v>
      </c>
      <c r="D1238">
        <v>678</v>
      </c>
      <c r="E1238" t="s">
        <v>9633</v>
      </c>
      <c r="F1238">
        <v>3.2</v>
      </c>
      <c r="G1238" s="28" t="s">
        <v>9590</v>
      </c>
    </row>
    <row r="1239" spans="1:7" ht="43.2" x14ac:dyDescent="0.3">
      <c r="A1239" t="s">
        <v>9582</v>
      </c>
      <c r="B1239" t="s">
        <v>10873</v>
      </c>
      <c r="C1239" s="20" t="s">
        <v>10874</v>
      </c>
      <c r="D1239">
        <v>205</v>
      </c>
      <c r="E1239" t="s">
        <v>9589</v>
      </c>
      <c r="F1239">
        <v>80</v>
      </c>
      <c r="G1239" s="28" t="s">
        <v>9590</v>
      </c>
    </row>
    <row r="1240" spans="1:7" ht="43.2" x14ac:dyDescent="0.3">
      <c r="A1240" t="s">
        <v>9582</v>
      </c>
      <c r="B1240" t="s">
        <v>10873</v>
      </c>
      <c r="C1240" s="20" t="s">
        <v>10874</v>
      </c>
      <c r="D1240">
        <v>205</v>
      </c>
      <c r="E1240" t="s">
        <v>9589</v>
      </c>
      <c r="F1240">
        <v>80</v>
      </c>
      <c r="G1240" s="28" t="s">
        <v>9590</v>
      </c>
    </row>
    <row r="1241" spans="1:7" ht="43.2" x14ac:dyDescent="0.3">
      <c r="A1241" t="s">
        <v>9582</v>
      </c>
      <c r="B1241" t="s">
        <v>10873</v>
      </c>
      <c r="C1241" s="20" t="s">
        <v>10874</v>
      </c>
      <c r="D1241">
        <v>205</v>
      </c>
      <c r="E1241" t="s">
        <v>9589</v>
      </c>
      <c r="F1241">
        <v>80</v>
      </c>
      <c r="G1241" s="28" t="s">
        <v>9590</v>
      </c>
    </row>
    <row r="1242" spans="1:7" ht="28.8" x14ac:dyDescent="0.3">
      <c r="A1242" t="s">
        <v>9582</v>
      </c>
      <c r="B1242" t="s">
        <v>10875</v>
      </c>
      <c r="C1242" s="20" t="s">
        <v>10876</v>
      </c>
      <c r="D1242">
        <v>206</v>
      </c>
      <c r="E1242" t="s">
        <v>9589</v>
      </c>
      <c r="F1242">
        <v>60</v>
      </c>
      <c r="G1242" s="28" t="s">
        <v>9590</v>
      </c>
    </row>
    <row r="1243" spans="1:7" ht="28.8" x14ac:dyDescent="0.3">
      <c r="A1243" t="s">
        <v>9582</v>
      </c>
      <c r="B1243" t="s">
        <v>10875</v>
      </c>
      <c r="C1243" s="20" t="s">
        <v>10876</v>
      </c>
      <c r="D1243">
        <v>206</v>
      </c>
      <c r="E1243" t="s">
        <v>9589</v>
      </c>
      <c r="F1243">
        <v>60</v>
      </c>
      <c r="G1243" s="28" t="s">
        <v>9590</v>
      </c>
    </row>
    <row r="1244" spans="1:7" ht="28.8" x14ac:dyDescent="0.3">
      <c r="A1244" t="s">
        <v>9582</v>
      </c>
      <c r="B1244" t="s">
        <v>10875</v>
      </c>
      <c r="C1244" s="20" t="s">
        <v>10876</v>
      </c>
      <c r="D1244">
        <v>206</v>
      </c>
      <c r="E1244" t="s">
        <v>9589</v>
      </c>
      <c r="F1244">
        <v>60</v>
      </c>
      <c r="G1244" s="28" t="s">
        <v>9590</v>
      </c>
    </row>
    <row r="1245" spans="1:7" ht="43.2" x14ac:dyDescent="0.3">
      <c r="A1245" t="s">
        <v>9582</v>
      </c>
      <c r="B1245" t="s">
        <v>10877</v>
      </c>
      <c r="C1245" s="20" t="s">
        <v>10878</v>
      </c>
      <c r="D1245">
        <v>1464</v>
      </c>
      <c r="E1245" t="s">
        <v>9585</v>
      </c>
      <c r="F1245">
        <v>5</v>
      </c>
      <c r="G1245" s="28" t="s">
        <v>9586</v>
      </c>
    </row>
    <row r="1246" spans="1:7" ht="57.6" x14ac:dyDescent="0.3">
      <c r="A1246" t="s">
        <v>9582</v>
      </c>
      <c r="B1246" t="s">
        <v>10879</v>
      </c>
      <c r="C1246" s="20" t="s">
        <v>10880</v>
      </c>
      <c r="D1246">
        <v>1051</v>
      </c>
      <c r="E1246" t="s">
        <v>9589</v>
      </c>
      <c r="F1246">
        <v>30</v>
      </c>
      <c r="G1246" s="28" t="s">
        <v>9590</v>
      </c>
    </row>
    <row r="1247" spans="1:7" ht="28.8" x14ac:dyDescent="0.3">
      <c r="A1247" t="s">
        <v>9582</v>
      </c>
      <c r="B1247" t="s">
        <v>10881</v>
      </c>
      <c r="C1247" s="20" t="s">
        <v>10882</v>
      </c>
      <c r="D1247">
        <v>2150</v>
      </c>
      <c r="E1247" t="s">
        <v>9653</v>
      </c>
      <c r="G1247" s="28" t="s">
        <v>9590</v>
      </c>
    </row>
    <row r="1248" spans="1:7" ht="115.2" x14ac:dyDescent="0.3">
      <c r="A1248" t="s">
        <v>9582</v>
      </c>
      <c r="B1248" t="s">
        <v>10883</v>
      </c>
      <c r="C1248" s="20" t="s">
        <v>10884</v>
      </c>
      <c r="D1248">
        <v>1777</v>
      </c>
      <c r="E1248" t="s">
        <v>9585</v>
      </c>
      <c r="F1248">
        <v>5</v>
      </c>
      <c r="G1248" s="28" t="s">
        <v>12620</v>
      </c>
    </row>
    <row r="1249" spans="1:7" ht="115.2" x14ac:dyDescent="0.3">
      <c r="A1249" t="s">
        <v>9582</v>
      </c>
      <c r="B1249" t="s">
        <v>10883</v>
      </c>
      <c r="C1249" s="20" t="s">
        <v>10884</v>
      </c>
      <c r="D1249">
        <v>1777</v>
      </c>
      <c r="E1249" t="s">
        <v>9585</v>
      </c>
      <c r="F1249">
        <v>5</v>
      </c>
      <c r="G1249" s="28" t="s">
        <v>12620</v>
      </c>
    </row>
    <row r="1250" spans="1:7" ht="86.4" x14ac:dyDescent="0.3">
      <c r="A1250" t="s">
        <v>9582</v>
      </c>
      <c r="B1250" t="s">
        <v>10885</v>
      </c>
      <c r="C1250" s="20" t="s">
        <v>10886</v>
      </c>
      <c r="D1250">
        <v>361</v>
      </c>
      <c r="E1250" t="s">
        <v>9589</v>
      </c>
      <c r="F1250">
        <v>35</v>
      </c>
      <c r="G1250" s="28" t="s">
        <v>9590</v>
      </c>
    </row>
    <row r="1251" spans="1:7" ht="28.8" x14ac:dyDescent="0.3">
      <c r="A1251" t="s">
        <v>9582</v>
      </c>
      <c r="B1251" t="s">
        <v>10887</v>
      </c>
      <c r="C1251" s="20" t="s">
        <v>10888</v>
      </c>
      <c r="D1251">
        <v>1450</v>
      </c>
      <c r="E1251" t="s">
        <v>9585</v>
      </c>
      <c r="F1251">
        <v>5</v>
      </c>
      <c r="G1251" s="28" t="s">
        <v>9586</v>
      </c>
    </row>
    <row r="1252" spans="1:7" ht="28.8" x14ac:dyDescent="0.3">
      <c r="A1252" t="s">
        <v>9582</v>
      </c>
      <c r="B1252" t="s">
        <v>10889</v>
      </c>
      <c r="C1252" s="20" t="s">
        <v>12373</v>
      </c>
      <c r="D1252">
        <v>1220</v>
      </c>
      <c r="E1252" t="s">
        <v>9616</v>
      </c>
      <c r="F1252">
        <v>8</v>
      </c>
      <c r="G1252" s="28" t="s">
        <v>9590</v>
      </c>
    </row>
    <row r="1253" spans="1:7" ht="129.6" x14ac:dyDescent="0.3">
      <c r="A1253" t="s">
        <v>9582</v>
      </c>
      <c r="B1253" t="s">
        <v>10890</v>
      </c>
      <c r="C1253" s="20" t="s">
        <v>10891</v>
      </c>
      <c r="D1253">
        <v>1447</v>
      </c>
      <c r="E1253" t="s">
        <v>9585</v>
      </c>
      <c r="F1253">
        <v>5</v>
      </c>
      <c r="G1253" s="28" t="s">
        <v>12621</v>
      </c>
    </row>
    <row r="1254" spans="1:7" ht="28.8" x14ac:dyDescent="0.3">
      <c r="A1254" t="s">
        <v>9582</v>
      </c>
      <c r="B1254" t="s">
        <v>10892</v>
      </c>
      <c r="C1254" s="20" t="s">
        <v>10893</v>
      </c>
      <c r="D1254">
        <v>1208</v>
      </c>
      <c r="E1254" t="s">
        <v>9585</v>
      </c>
      <c r="F1254">
        <v>5</v>
      </c>
      <c r="G1254" s="28" t="s">
        <v>9586</v>
      </c>
    </row>
    <row r="1255" spans="1:7" ht="43.2" x14ac:dyDescent="0.3">
      <c r="A1255" t="s">
        <v>9582</v>
      </c>
      <c r="B1255" t="s">
        <v>10894</v>
      </c>
      <c r="C1255" s="20" t="s">
        <v>12374</v>
      </c>
      <c r="D1255">
        <v>1204</v>
      </c>
      <c r="E1255" t="s">
        <v>9633</v>
      </c>
      <c r="F1255">
        <v>3.2</v>
      </c>
      <c r="G1255" s="28" t="s">
        <v>9590</v>
      </c>
    </row>
    <row r="1256" spans="1:7" ht="72" x14ac:dyDescent="0.3">
      <c r="A1256" t="s">
        <v>9582</v>
      </c>
      <c r="B1256" t="s">
        <v>10895</v>
      </c>
      <c r="C1256" s="20" t="s">
        <v>12375</v>
      </c>
      <c r="D1256">
        <v>1205</v>
      </c>
      <c r="E1256" t="s">
        <v>9589</v>
      </c>
      <c r="F1256">
        <v>60</v>
      </c>
      <c r="G1256" s="28" t="s">
        <v>9590</v>
      </c>
    </row>
    <row r="1257" spans="1:7" ht="43.2" x14ac:dyDescent="0.3">
      <c r="A1257" t="s">
        <v>9582</v>
      </c>
      <c r="B1257" t="s">
        <v>10896</v>
      </c>
      <c r="C1257" s="20" t="s">
        <v>10897</v>
      </c>
      <c r="D1257">
        <v>461</v>
      </c>
      <c r="E1257" t="s">
        <v>9616</v>
      </c>
      <c r="F1257">
        <v>8</v>
      </c>
      <c r="G1257" s="28" t="s">
        <v>9590</v>
      </c>
    </row>
    <row r="1258" spans="1:7" ht="43.2" x14ac:dyDescent="0.3">
      <c r="A1258" t="s">
        <v>9582</v>
      </c>
      <c r="B1258" t="s">
        <v>10898</v>
      </c>
      <c r="C1258" s="20" t="s">
        <v>10899</v>
      </c>
      <c r="D1258">
        <v>462</v>
      </c>
      <c r="E1258" t="s">
        <v>9589</v>
      </c>
      <c r="F1258">
        <v>60</v>
      </c>
      <c r="G1258" s="28" t="s">
        <v>9590</v>
      </c>
    </row>
    <row r="1259" spans="1:7" ht="43.2" x14ac:dyDescent="0.3">
      <c r="A1259" t="s">
        <v>9582</v>
      </c>
      <c r="B1259" t="s">
        <v>10900</v>
      </c>
      <c r="C1259" s="20" t="s">
        <v>10901</v>
      </c>
      <c r="D1259">
        <v>483</v>
      </c>
      <c r="E1259" t="s">
        <v>9589</v>
      </c>
      <c r="F1259">
        <v>30</v>
      </c>
      <c r="G1259" s="28" t="s">
        <v>9590</v>
      </c>
    </row>
    <row r="1260" spans="1:7" ht="43.2" x14ac:dyDescent="0.3">
      <c r="A1260" t="s">
        <v>9582</v>
      </c>
      <c r="B1260" t="s">
        <v>10900</v>
      </c>
      <c r="C1260" s="20" t="s">
        <v>10901</v>
      </c>
      <c r="D1260">
        <v>483</v>
      </c>
      <c r="E1260" t="s">
        <v>9589</v>
      </c>
      <c r="F1260">
        <v>30</v>
      </c>
      <c r="G1260" s="28" t="s">
        <v>9590</v>
      </c>
    </row>
    <row r="1261" spans="1:7" ht="72" x14ac:dyDescent="0.3">
      <c r="A1261" t="s">
        <v>9582</v>
      </c>
      <c r="B1261" t="s">
        <v>10902</v>
      </c>
      <c r="C1261" s="20" t="s">
        <v>10903</v>
      </c>
      <c r="D1261">
        <v>460</v>
      </c>
      <c r="E1261" t="s">
        <v>9589</v>
      </c>
      <c r="F1261">
        <v>45</v>
      </c>
      <c r="G1261" s="28" t="s">
        <v>9590</v>
      </c>
    </row>
    <row r="1262" spans="1:7" ht="57.6" x14ac:dyDescent="0.3">
      <c r="A1262" t="s">
        <v>9582</v>
      </c>
      <c r="B1262" t="s">
        <v>10904</v>
      </c>
      <c r="C1262" s="20" t="s">
        <v>10905</v>
      </c>
      <c r="D1262">
        <v>711</v>
      </c>
      <c r="E1262" t="s">
        <v>9589</v>
      </c>
      <c r="F1262">
        <v>60</v>
      </c>
      <c r="G1262" s="28" t="s">
        <v>9590</v>
      </c>
    </row>
    <row r="1263" spans="1:7" ht="409.6" x14ac:dyDescent="0.3">
      <c r="A1263" t="s">
        <v>9582</v>
      </c>
      <c r="B1263" t="s">
        <v>10906</v>
      </c>
      <c r="C1263" s="20" t="s">
        <v>10907</v>
      </c>
      <c r="D1263">
        <v>709</v>
      </c>
      <c r="E1263" t="s">
        <v>9585</v>
      </c>
      <c r="F1263">
        <v>5</v>
      </c>
      <c r="G1263" s="28" t="s">
        <v>12622</v>
      </c>
    </row>
    <row r="1264" spans="1:7" ht="409.6" x14ac:dyDescent="0.3">
      <c r="A1264" t="s">
        <v>9582</v>
      </c>
      <c r="B1264" t="s">
        <v>10908</v>
      </c>
      <c r="C1264" s="20" t="s">
        <v>10909</v>
      </c>
      <c r="D1264">
        <v>373</v>
      </c>
      <c r="E1264" t="s">
        <v>9585</v>
      </c>
      <c r="F1264">
        <v>5</v>
      </c>
      <c r="G1264" s="28" t="s">
        <v>12623</v>
      </c>
    </row>
    <row r="1265" spans="1:7" ht="57.6" x14ac:dyDescent="0.3">
      <c r="A1265" t="s">
        <v>9582</v>
      </c>
      <c r="B1265" t="s">
        <v>10910</v>
      </c>
      <c r="C1265" s="20" t="s">
        <v>10911</v>
      </c>
      <c r="D1265">
        <v>571</v>
      </c>
      <c r="E1265" t="s">
        <v>9589</v>
      </c>
      <c r="F1265">
        <v>45</v>
      </c>
      <c r="G1265" s="28" t="s">
        <v>9590</v>
      </c>
    </row>
    <row r="1266" spans="1:7" ht="43.2" x14ac:dyDescent="0.3">
      <c r="A1266" t="s">
        <v>9582</v>
      </c>
      <c r="B1266" t="s">
        <v>10912</v>
      </c>
      <c r="C1266" s="20" t="s">
        <v>10913</v>
      </c>
      <c r="D1266">
        <v>573</v>
      </c>
      <c r="E1266" t="s">
        <v>9589</v>
      </c>
      <c r="F1266">
        <v>30</v>
      </c>
      <c r="G1266" s="28" t="s">
        <v>9590</v>
      </c>
    </row>
    <row r="1267" spans="1:7" ht="43.2" x14ac:dyDescent="0.3">
      <c r="A1267" t="s">
        <v>9582</v>
      </c>
      <c r="B1267" t="s">
        <v>10914</v>
      </c>
      <c r="C1267" s="20" t="s">
        <v>10915</v>
      </c>
      <c r="D1267">
        <v>574</v>
      </c>
      <c r="E1267" t="s">
        <v>9589</v>
      </c>
      <c r="F1267">
        <v>30</v>
      </c>
      <c r="G1267" s="28" t="s">
        <v>9590</v>
      </c>
    </row>
    <row r="1268" spans="1:7" ht="57.6" x14ac:dyDescent="0.3">
      <c r="A1268" t="s">
        <v>9582</v>
      </c>
      <c r="B1268" t="s">
        <v>10916</v>
      </c>
      <c r="C1268" s="20" t="s">
        <v>10917</v>
      </c>
      <c r="D1268">
        <v>572</v>
      </c>
      <c r="E1268" t="s">
        <v>9589</v>
      </c>
      <c r="F1268">
        <v>45</v>
      </c>
      <c r="G1268" s="28" t="s">
        <v>9590</v>
      </c>
    </row>
    <row r="1269" spans="1:7" ht="158.4" x14ac:dyDescent="0.3">
      <c r="A1269" t="s">
        <v>9582</v>
      </c>
      <c r="B1269" t="s">
        <v>10918</v>
      </c>
      <c r="C1269" s="20" t="s">
        <v>10919</v>
      </c>
      <c r="D1269">
        <v>1273</v>
      </c>
      <c r="E1269" t="s">
        <v>9585</v>
      </c>
      <c r="F1269">
        <v>5</v>
      </c>
      <c r="G1269" s="28" t="s">
        <v>12464</v>
      </c>
    </row>
    <row r="1270" spans="1:7" ht="216" x14ac:dyDescent="0.3">
      <c r="A1270" t="s">
        <v>9582</v>
      </c>
      <c r="B1270" t="s">
        <v>10920</v>
      </c>
      <c r="C1270" s="20" t="s">
        <v>10921</v>
      </c>
      <c r="D1270">
        <v>1275</v>
      </c>
      <c r="E1270" t="s">
        <v>9585</v>
      </c>
      <c r="F1270">
        <v>5</v>
      </c>
      <c r="G1270" s="28" t="s">
        <v>12499</v>
      </c>
    </row>
    <row r="1271" spans="1:7" ht="100.8" x14ac:dyDescent="0.3">
      <c r="A1271" t="s">
        <v>9582</v>
      </c>
      <c r="B1271" t="s">
        <v>10922</v>
      </c>
      <c r="C1271" s="20" t="s">
        <v>10923</v>
      </c>
      <c r="D1271">
        <v>1274</v>
      </c>
      <c r="E1271" t="s">
        <v>9585</v>
      </c>
      <c r="F1271">
        <v>5</v>
      </c>
      <c r="G1271" s="28" t="s">
        <v>12505</v>
      </c>
    </row>
    <row r="1272" spans="1:7" ht="331.2" x14ac:dyDescent="0.3">
      <c r="A1272" t="s">
        <v>9582</v>
      </c>
      <c r="B1272" t="s">
        <v>10924</v>
      </c>
      <c r="C1272" s="20" t="s">
        <v>10925</v>
      </c>
      <c r="D1272">
        <v>466</v>
      </c>
      <c r="E1272" t="s">
        <v>9585</v>
      </c>
      <c r="F1272">
        <v>5</v>
      </c>
      <c r="G1272" s="28" t="s">
        <v>12624</v>
      </c>
    </row>
    <row r="1273" spans="1:7" ht="28.8" x14ac:dyDescent="0.3">
      <c r="A1273" t="s">
        <v>9582</v>
      </c>
      <c r="B1273" t="s">
        <v>10926</v>
      </c>
      <c r="C1273" s="20" t="s">
        <v>10927</v>
      </c>
      <c r="D1273">
        <v>1412</v>
      </c>
      <c r="E1273" t="s">
        <v>9589</v>
      </c>
      <c r="F1273">
        <v>75</v>
      </c>
      <c r="G1273" s="28" t="s">
        <v>9590</v>
      </c>
    </row>
    <row r="1274" spans="1:7" ht="28.8" x14ac:dyDescent="0.3">
      <c r="A1274" t="s">
        <v>9582</v>
      </c>
      <c r="B1274" t="s">
        <v>10926</v>
      </c>
      <c r="C1274" s="20" t="s">
        <v>10927</v>
      </c>
      <c r="D1274">
        <v>1412</v>
      </c>
      <c r="E1274" t="s">
        <v>9589</v>
      </c>
      <c r="F1274">
        <v>75</v>
      </c>
      <c r="G1274" s="28" t="s">
        <v>9590</v>
      </c>
    </row>
    <row r="1275" spans="1:7" ht="28.8" x14ac:dyDescent="0.3">
      <c r="A1275" t="s">
        <v>9582</v>
      </c>
      <c r="B1275" t="s">
        <v>10926</v>
      </c>
      <c r="C1275" s="20" t="s">
        <v>10927</v>
      </c>
      <c r="D1275">
        <v>1412</v>
      </c>
      <c r="E1275" t="s">
        <v>9589</v>
      </c>
      <c r="F1275">
        <v>75</v>
      </c>
      <c r="G1275" s="28" t="s">
        <v>9590</v>
      </c>
    </row>
    <row r="1276" spans="1:7" ht="43.2" x14ac:dyDescent="0.3">
      <c r="A1276" t="s">
        <v>9582</v>
      </c>
      <c r="B1276" t="s">
        <v>10928</v>
      </c>
      <c r="C1276" s="20" t="s">
        <v>10929</v>
      </c>
      <c r="D1276">
        <v>1405</v>
      </c>
      <c r="E1276" t="s">
        <v>9589</v>
      </c>
      <c r="F1276">
        <v>75</v>
      </c>
      <c r="G1276" s="28" t="s">
        <v>9590</v>
      </c>
    </row>
    <row r="1277" spans="1:7" ht="43.2" x14ac:dyDescent="0.3">
      <c r="A1277" t="s">
        <v>9582</v>
      </c>
      <c r="B1277" t="s">
        <v>10928</v>
      </c>
      <c r="C1277" s="20" t="s">
        <v>10929</v>
      </c>
      <c r="D1277">
        <v>1405</v>
      </c>
      <c r="E1277" t="s">
        <v>9589</v>
      </c>
      <c r="F1277">
        <v>75</v>
      </c>
      <c r="G1277" s="28" t="s">
        <v>9590</v>
      </c>
    </row>
    <row r="1278" spans="1:7" ht="43.2" x14ac:dyDescent="0.3">
      <c r="A1278" t="s">
        <v>9582</v>
      </c>
      <c r="B1278" t="s">
        <v>10928</v>
      </c>
      <c r="C1278" s="20" t="s">
        <v>10929</v>
      </c>
      <c r="D1278">
        <v>1405</v>
      </c>
      <c r="E1278" t="s">
        <v>9589</v>
      </c>
      <c r="F1278">
        <v>75</v>
      </c>
      <c r="G1278" s="28" t="s">
        <v>9590</v>
      </c>
    </row>
    <row r="1279" spans="1:7" ht="72" x14ac:dyDescent="0.3">
      <c r="A1279" t="s">
        <v>9582</v>
      </c>
      <c r="B1279" t="s">
        <v>10930</v>
      </c>
      <c r="C1279" s="20" t="s">
        <v>10931</v>
      </c>
      <c r="D1279">
        <v>1407</v>
      </c>
      <c r="E1279" t="s">
        <v>9589</v>
      </c>
      <c r="F1279">
        <v>75</v>
      </c>
      <c r="G1279" s="28" t="s">
        <v>9590</v>
      </c>
    </row>
    <row r="1280" spans="1:7" ht="72" x14ac:dyDescent="0.3">
      <c r="A1280" t="s">
        <v>9582</v>
      </c>
      <c r="B1280" t="s">
        <v>10930</v>
      </c>
      <c r="C1280" s="20" t="s">
        <v>10931</v>
      </c>
      <c r="D1280">
        <v>1407</v>
      </c>
      <c r="E1280" t="s">
        <v>9589</v>
      </c>
      <c r="F1280">
        <v>75</v>
      </c>
      <c r="G1280" s="28" t="s">
        <v>9590</v>
      </c>
    </row>
    <row r="1281" spans="1:7" ht="72" x14ac:dyDescent="0.3">
      <c r="A1281" t="s">
        <v>9582</v>
      </c>
      <c r="B1281" t="s">
        <v>10930</v>
      </c>
      <c r="C1281" s="20" t="s">
        <v>10931</v>
      </c>
      <c r="D1281">
        <v>1407</v>
      </c>
      <c r="E1281" t="s">
        <v>9589</v>
      </c>
      <c r="F1281">
        <v>75</v>
      </c>
      <c r="G1281" s="28" t="s">
        <v>9590</v>
      </c>
    </row>
    <row r="1282" spans="1:7" ht="43.2" x14ac:dyDescent="0.3">
      <c r="A1282" t="s">
        <v>9582</v>
      </c>
      <c r="B1282" t="s">
        <v>10932</v>
      </c>
      <c r="C1282" s="20" t="s">
        <v>10933</v>
      </c>
      <c r="D1282">
        <v>1410</v>
      </c>
      <c r="E1282" t="s">
        <v>9589</v>
      </c>
      <c r="F1282">
        <v>75</v>
      </c>
      <c r="G1282" s="28" t="s">
        <v>9590</v>
      </c>
    </row>
    <row r="1283" spans="1:7" ht="43.2" x14ac:dyDescent="0.3">
      <c r="A1283" t="s">
        <v>9582</v>
      </c>
      <c r="B1283" t="s">
        <v>10932</v>
      </c>
      <c r="C1283" s="20" t="s">
        <v>10933</v>
      </c>
      <c r="D1283">
        <v>1410</v>
      </c>
      <c r="E1283" t="s">
        <v>9589</v>
      </c>
      <c r="F1283">
        <v>75</v>
      </c>
      <c r="G1283" s="28" t="s">
        <v>9590</v>
      </c>
    </row>
    <row r="1284" spans="1:7" ht="43.2" x14ac:dyDescent="0.3">
      <c r="A1284" t="s">
        <v>9582</v>
      </c>
      <c r="B1284" t="s">
        <v>10932</v>
      </c>
      <c r="C1284" s="20" t="s">
        <v>10933</v>
      </c>
      <c r="D1284">
        <v>1410</v>
      </c>
      <c r="E1284" t="s">
        <v>9589</v>
      </c>
      <c r="F1284">
        <v>75</v>
      </c>
      <c r="G1284" s="28" t="s">
        <v>9590</v>
      </c>
    </row>
    <row r="1285" spans="1:7" ht="57.6" x14ac:dyDescent="0.3">
      <c r="A1285" t="s">
        <v>9582</v>
      </c>
      <c r="B1285" t="s">
        <v>10934</v>
      </c>
      <c r="C1285" s="20" t="s">
        <v>10935</v>
      </c>
      <c r="D1285">
        <v>1404</v>
      </c>
      <c r="E1285" t="s">
        <v>9589</v>
      </c>
      <c r="F1285">
        <v>35</v>
      </c>
      <c r="G1285" s="28" t="s">
        <v>9590</v>
      </c>
    </row>
    <row r="1286" spans="1:7" ht="57.6" x14ac:dyDescent="0.3">
      <c r="A1286" t="s">
        <v>9582</v>
      </c>
      <c r="B1286" t="s">
        <v>10934</v>
      </c>
      <c r="C1286" s="20" t="s">
        <v>10935</v>
      </c>
      <c r="D1286">
        <v>1404</v>
      </c>
      <c r="E1286" t="s">
        <v>9589</v>
      </c>
      <c r="F1286">
        <v>35</v>
      </c>
      <c r="G1286" s="28" t="s">
        <v>9590</v>
      </c>
    </row>
    <row r="1287" spans="1:7" ht="57.6" x14ac:dyDescent="0.3">
      <c r="A1287" t="s">
        <v>9582</v>
      </c>
      <c r="B1287" t="s">
        <v>10934</v>
      </c>
      <c r="C1287" s="20" t="s">
        <v>10935</v>
      </c>
      <c r="D1287">
        <v>1404</v>
      </c>
      <c r="E1287" t="s">
        <v>9589</v>
      </c>
      <c r="F1287">
        <v>35</v>
      </c>
      <c r="G1287" s="28" t="s">
        <v>9590</v>
      </c>
    </row>
    <row r="1288" spans="1:7" ht="86.4" x14ac:dyDescent="0.3">
      <c r="A1288" t="s">
        <v>9582</v>
      </c>
      <c r="B1288" t="s">
        <v>10936</v>
      </c>
      <c r="C1288" s="20" t="s">
        <v>10937</v>
      </c>
      <c r="D1288">
        <v>1408</v>
      </c>
      <c r="E1288" t="s">
        <v>9589</v>
      </c>
      <c r="F1288">
        <v>75</v>
      </c>
      <c r="G1288" s="28" t="s">
        <v>9590</v>
      </c>
    </row>
    <row r="1289" spans="1:7" ht="86.4" x14ac:dyDescent="0.3">
      <c r="A1289" t="s">
        <v>9582</v>
      </c>
      <c r="B1289" t="s">
        <v>10936</v>
      </c>
      <c r="C1289" s="20" t="s">
        <v>10937</v>
      </c>
      <c r="D1289">
        <v>1408</v>
      </c>
      <c r="E1289" t="s">
        <v>9589</v>
      </c>
      <c r="F1289">
        <v>75</v>
      </c>
      <c r="G1289" s="28" t="s">
        <v>9590</v>
      </c>
    </row>
    <row r="1290" spans="1:7" ht="86.4" x14ac:dyDescent="0.3">
      <c r="A1290" t="s">
        <v>9582</v>
      </c>
      <c r="B1290" t="s">
        <v>10936</v>
      </c>
      <c r="C1290" s="20" t="s">
        <v>10937</v>
      </c>
      <c r="D1290">
        <v>1408</v>
      </c>
      <c r="E1290" t="s">
        <v>9589</v>
      </c>
      <c r="F1290">
        <v>75</v>
      </c>
      <c r="G1290" s="28" t="s">
        <v>9590</v>
      </c>
    </row>
    <row r="1291" spans="1:7" ht="43.2" x14ac:dyDescent="0.3">
      <c r="A1291" t="s">
        <v>9582</v>
      </c>
      <c r="B1291" t="s">
        <v>10938</v>
      </c>
      <c r="C1291" s="20" t="s">
        <v>10939</v>
      </c>
      <c r="D1291">
        <v>1409</v>
      </c>
      <c r="E1291" t="s">
        <v>9589</v>
      </c>
      <c r="F1291">
        <v>75</v>
      </c>
      <c r="G1291" s="28" t="s">
        <v>9590</v>
      </c>
    </row>
    <row r="1292" spans="1:7" ht="43.2" x14ac:dyDescent="0.3">
      <c r="A1292" t="s">
        <v>9582</v>
      </c>
      <c r="B1292" t="s">
        <v>10938</v>
      </c>
      <c r="C1292" s="20" t="s">
        <v>10939</v>
      </c>
      <c r="D1292">
        <v>1409</v>
      </c>
      <c r="E1292" t="s">
        <v>9589</v>
      </c>
      <c r="F1292">
        <v>75</v>
      </c>
      <c r="G1292" s="28" t="s">
        <v>9590</v>
      </c>
    </row>
    <row r="1293" spans="1:7" ht="43.2" x14ac:dyDescent="0.3">
      <c r="A1293" t="s">
        <v>9582</v>
      </c>
      <c r="B1293" t="s">
        <v>10938</v>
      </c>
      <c r="C1293" s="20" t="s">
        <v>10939</v>
      </c>
      <c r="D1293">
        <v>1409</v>
      </c>
      <c r="E1293" t="s">
        <v>9589</v>
      </c>
      <c r="F1293">
        <v>75</v>
      </c>
      <c r="G1293" s="28" t="s">
        <v>9590</v>
      </c>
    </row>
    <row r="1294" spans="1:7" ht="28.8" x14ac:dyDescent="0.3">
      <c r="A1294" t="s">
        <v>9582</v>
      </c>
      <c r="B1294" t="s">
        <v>10940</v>
      </c>
      <c r="C1294" s="20" t="s">
        <v>10941</v>
      </c>
      <c r="D1294">
        <v>1406</v>
      </c>
      <c r="E1294" t="s">
        <v>9589</v>
      </c>
      <c r="F1294">
        <v>35</v>
      </c>
      <c r="G1294" s="28" t="s">
        <v>9590</v>
      </c>
    </row>
    <row r="1295" spans="1:7" ht="28.8" x14ac:dyDescent="0.3">
      <c r="A1295" t="s">
        <v>9582</v>
      </c>
      <c r="B1295" t="s">
        <v>10940</v>
      </c>
      <c r="C1295" s="20" t="s">
        <v>10941</v>
      </c>
      <c r="D1295">
        <v>1406</v>
      </c>
      <c r="E1295" t="s">
        <v>9589</v>
      </c>
      <c r="F1295">
        <v>35</v>
      </c>
      <c r="G1295" s="28" t="s">
        <v>9590</v>
      </c>
    </row>
    <row r="1296" spans="1:7" ht="28.8" x14ac:dyDescent="0.3">
      <c r="A1296" t="s">
        <v>9582</v>
      </c>
      <c r="B1296" t="s">
        <v>10940</v>
      </c>
      <c r="C1296" s="20" t="s">
        <v>10941</v>
      </c>
      <c r="D1296">
        <v>1406</v>
      </c>
      <c r="E1296" t="s">
        <v>9589</v>
      </c>
      <c r="F1296">
        <v>35</v>
      </c>
      <c r="G1296" s="28" t="s">
        <v>9590</v>
      </c>
    </row>
    <row r="1297" spans="1:7" ht="28.8" x14ac:dyDescent="0.3">
      <c r="A1297" t="s">
        <v>9582</v>
      </c>
      <c r="B1297" t="s">
        <v>10942</v>
      </c>
      <c r="C1297" s="20" t="s">
        <v>10943</v>
      </c>
      <c r="D1297">
        <v>1411</v>
      </c>
      <c r="E1297" t="s">
        <v>9589</v>
      </c>
      <c r="F1297">
        <v>75</v>
      </c>
      <c r="G1297" s="28" t="s">
        <v>9590</v>
      </c>
    </row>
    <row r="1298" spans="1:7" ht="28.8" x14ac:dyDescent="0.3">
      <c r="A1298" t="s">
        <v>9582</v>
      </c>
      <c r="B1298" t="s">
        <v>10942</v>
      </c>
      <c r="C1298" s="20" t="s">
        <v>10943</v>
      </c>
      <c r="D1298">
        <v>1411</v>
      </c>
      <c r="E1298" t="s">
        <v>9589</v>
      </c>
      <c r="F1298">
        <v>75</v>
      </c>
      <c r="G1298" s="28" t="s">
        <v>9590</v>
      </c>
    </row>
    <row r="1299" spans="1:7" ht="28.8" x14ac:dyDescent="0.3">
      <c r="A1299" t="s">
        <v>9582</v>
      </c>
      <c r="B1299" t="s">
        <v>10942</v>
      </c>
      <c r="C1299" s="20" t="s">
        <v>10943</v>
      </c>
      <c r="D1299">
        <v>1411</v>
      </c>
      <c r="E1299" t="s">
        <v>9589</v>
      </c>
      <c r="F1299">
        <v>75</v>
      </c>
      <c r="G1299" s="28" t="s">
        <v>9590</v>
      </c>
    </row>
    <row r="1300" spans="1:7" ht="28.8" x14ac:dyDescent="0.3">
      <c r="A1300" t="s">
        <v>9582</v>
      </c>
      <c r="B1300" t="s">
        <v>10944</v>
      </c>
      <c r="C1300" s="20" t="s">
        <v>10945</v>
      </c>
      <c r="D1300">
        <v>210</v>
      </c>
      <c r="E1300" t="s">
        <v>9616</v>
      </c>
      <c r="F1300">
        <v>8</v>
      </c>
      <c r="G1300" s="28" t="s">
        <v>9590</v>
      </c>
    </row>
    <row r="1301" spans="1:7" ht="28.8" x14ac:dyDescent="0.3">
      <c r="A1301" t="s">
        <v>9582</v>
      </c>
      <c r="B1301" t="s">
        <v>10944</v>
      </c>
      <c r="C1301" s="20" t="s">
        <v>10945</v>
      </c>
      <c r="D1301">
        <v>210</v>
      </c>
      <c r="E1301" t="s">
        <v>9616</v>
      </c>
      <c r="F1301">
        <v>8</v>
      </c>
      <c r="G1301" s="28" t="s">
        <v>9590</v>
      </c>
    </row>
    <row r="1302" spans="1:7" ht="28.8" x14ac:dyDescent="0.3">
      <c r="A1302" t="s">
        <v>9582</v>
      </c>
      <c r="B1302" t="s">
        <v>10944</v>
      </c>
      <c r="C1302" s="20" t="s">
        <v>10945</v>
      </c>
      <c r="D1302">
        <v>210</v>
      </c>
      <c r="E1302" t="s">
        <v>9616</v>
      </c>
      <c r="F1302">
        <v>8</v>
      </c>
      <c r="G1302" s="28" t="s">
        <v>9590</v>
      </c>
    </row>
    <row r="1303" spans="1:7" ht="144" x14ac:dyDescent="0.3">
      <c r="A1303" t="s">
        <v>9582</v>
      </c>
      <c r="B1303" t="s">
        <v>10946</v>
      </c>
      <c r="C1303" s="20" t="s">
        <v>10947</v>
      </c>
      <c r="D1303">
        <v>211</v>
      </c>
      <c r="E1303" t="s">
        <v>9585</v>
      </c>
      <c r="F1303">
        <v>5</v>
      </c>
      <c r="G1303" s="28" t="s">
        <v>12625</v>
      </c>
    </row>
    <row r="1304" spans="1:7" ht="144" x14ac:dyDescent="0.3">
      <c r="A1304" t="s">
        <v>9582</v>
      </c>
      <c r="B1304" t="s">
        <v>10946</v>
      </c>
      <c r="C1304" s="20" t="s">
        <v>10947</v>
      </c>
      <c r="D1304">
        <v>211</v>
      </c>
      <c r="E1304" t="s">
        <v>9585</v>
      </c>
      <c r="F1304">
        <v>5</v>
      </c>
      <c r="G1304" s="28" t="s">
        <v>12625</v>
      </c>
    </row>
    <row r="1305" spans="1:7" ht="144" x14ac:dyDescent="0.3">
      <c r="A1305" t="s">
        <v>9582</v>
      </c>
      <c r="B1305" t="s">
        <v>10946</v>
      </c>
      <c r="C1305" s="20" t="s">
        <v>10947</v>
      </c>
      <c r="D1305">
        <v>211</v>
      </c>
      <c r="E1305" t="s">
        <v>9585</v>
      </c>
      <c r="F1305">
        <v>5</v>
      </c>
      <c r="G1305" s="28" t="s">
        <v>12625</v>
      </c>
    </row>
    <row r="1306" spans="1:7" ht="28.8" x14ac:dyDescent="0.3">
      <c r="A1306" t="s">
        <v>9582</v>
      </c>
      <c r="B1306" t="s">
        <v>10948</v>
      </c>
      <c r="C1306" s="20" t="s">
        <v>10949</v>
      </c>
      <c r="D1306">
        <v>212</v>
      </c>
      <c r="E1306" t="s">
        <v>9616</v>
      </c>
      <c r="F1306">
        <v>8</v>
      </c>
      <c r="G1306" s="28" t="s">
        <v>9590</v>
      </c>
    </row>
    <row r="1307" spans="1:7" ht="28.8" x14ac:dyDescent="0.3">
      <c r="A1307" t="s">
        <v>9582</v>
      </c>
      <c r="B1307" t="s">
        <v>10948</v>
      </c>
      <c r="C1307" s="20" t="s">
        <v>10949</v>
      </c>
      <c r="D1307">
        <v>212</v>
      </c>
      <c r="E1307" t="s">
        <v>9616</v>
      </c>
      <c r="F1307">
        <v>8</v>
      </c>
      <c r="G1307" s="28" t="s">
        <v>9590</v>
      </c>
    </row>
    <row r="1308" spans="1:7" ht="28.8" x14ac:dyDescent="0.3">
      <c r="A1308" t="s">
        <v>9582</v>
      </c>
      <c r="B1308" t="s">
        <v>10948</v>
      </c>
      <c r="C1308" s="20" t="s">
        <v>10949</v>
      </c>
      <c r="D1308">
        <v>212</v>
      </c>
      <c r="E1308" t="s">
        <v>9616</v>
      </c>
      <c r="F1308">
        <v>8</v>
      </c>
      <c r="G1308" s="28" t="s">
        <v>9590</v>
      </c>
    </row>
    <row r="1309" spans="1:7" ht="259.2" x14ac:dyDescent="0.3">
      <c r="A1309" t="s">
        <v>9582</v>
      </c>
      <c r="B1309" t="s">
        <v>10950</v>
      </c>
      <c r="C1309" s="20" t="s">
        <v>10951</v>
      </c>
      <c r="D1309">
        <v>213</v>
      </c>
      <c r="E1309" t="s">
        <v>9585</v>
      </c>
      <c r="F1309">
        <v>5</v>
      </c>
      <c r="G1309" s="28" t="s">
        <v>12626</v>
      </c>
    </row>
    <row r="1310" spans="1:7" ht="259.2" x14ac:dyDescent="0.3">
      <c r="A1310" t="s">
        <v>9582</v>
      </c>
      <c r="B1310" t="s">
        <v>10950</v>
      </c>
      <c r="C1310" s="20" t="s">
        <v>10951</v>
      </c>
      <c r="D1310">
        <v>213</v>
      </c>
      <c r="E1310" t="s">
        <v>9585</v>
      </c>
      <c r="F1310">
        <v>5</v>
      </c>
      <c r="G1310" s="28" t="s">
        <v>12626</v>
      </c>
    </row>
    <row r="1311" spans="1:7" ht="259.2" x14ac:dyDescent="0.3">
      <c r="A1311" t="s">
        <v>9582</v>
      </c>
      <c r="B1311" t="s">
        <v>10950</v>
      </c>
      <c r="C1311" s="20" t="s">
        <v>10951</v>
      </c>
      <c r="D1311">
        <v>213</v>
      </c>
      <c r="E1311" t="s">
        <v>9585</v>
      </c>
      <c r="F1311">
        <v>5</v>
      </c>
      <c r="G1311" s="28" t="s">
        <v>12626</v>
      </c>
    </row>
    <row r="1312" spans="1:7" ht="72" x14ac:dyDescent="0.3">
      <c r="A1312" t="s">
        <v>9582</v>
      </c>
      <c r="B1312" t="s">
        <v>10952</v>
      </c>
      <c r="C1312" s="20" t="s">
        <v>10953</v>
      </c>
      <c r="D1312">
        <v>80</v>
      </c>
      <c r="E1312" t="s">
        <v>9585</v>
      </c>
      <c r="F1312">
        <v>5</v>
      </c>
      <c r="G1312" s="28" t="s">
        <v>12627</v>
      </c>
    </row>
    <row r="1313" spans="1:7" ht="72" x14ac:dyDescent="0.3">
      <c r="A1313" t="s">
        <v>9582</v>
      </c>
      <c r="B1313" t="s">
        <v>10952</v>
      </c>
      <c r="C1313" s="20" t="s">
        <v>10953</v>
      </c>
      <c r="D1313">
        <v>80</v>
      </c>
      <c r="E1313" t="s">
        <v>9585</v>
      </c>
      <c r="F1313">
        <v>5</v>
      </c>
      <c r="G1313" s="28" t="s">
        <v>12627</v>
      </c>
    </row>
    <row r="1314" spans="1:7" ht="72" x14ac:dyDescent="0.3">
      <c r="A1314" t="s">
        <v>9582</v>
      </c>
      <c r="B1314" t="s">
        <v>10952</v>
      </c>
      <c r="C1314" s="20" t="s">
        <v>10953</v>
      </c>
      <c r="D1314">
        <v>80</v>
      </c>
      <c r="E1314" t="s">
        <v>9585</v>
      </c>
      <c r="F1314">
        <v>5</v>
      </c>
      <c r="G1314" s="28" t="s">
        <v>12627</v>
      </c>
    </row>
    <row r="1315" spans="1:7" ht="72" x14ac:dyDescent="0.3">
      <c r="A1315" t="s">
        <v>9582</v>
      </c>
      <c r="B1315" t="s">
        <v>10952</v>
      </c>
      <c r="C1315" s="20" t="s">
        <v>10953</v>
      </c>
      <c r="D1315">
        <v>80</v>
      </c>
      <c r="E1315" t="s">
        <v>9585</v>
      </c>
      <c r="F1315">
        <v>5</v>
      </c>
      <c r="G1315" s="28" t="s">
        <v>12627</v>
      </c>
    </row>
    <row r="1316" spans="1:7" ht="57.6" x14ac:dyDescent="0.3">
      <c r="A1316" t="s">
        <v>9582</v>
      </c>
      <c r="B1316" t="s">
        <v>10954</v>
      </c>
      <c r="C1316" s="20" t="s">
        <v>10955</v>
      </c>
      <c r="D1316">
        <v>859</v>
      </c>
      <c r="E1316" t="s">
        <v>9589</v>
      </c>
      <c r="F1316">
        <v>60</v>
      </c>
      <c r="G1316" s="28" t="s">
        <v>9590</v>
      </c>
    </row>
    <row r="1317" spans="1:7" ht="72" x14ac:dyDescent="0.3">
      <c r="A1317" t="s">
        <v>9582</v>
      </c>
      <c r="B1317" t="s">
        <v>10956</v>
      </c>
      <c r="C1317" s="20" t="s">
        <v>10957</v>
      </c>
      <c r="D1317">
        <v>214</v>
      </c>
      <c r="E1317" t="s">
        <v>9585</v>
      </c>
      <c r="F1317">
        <v>5</v>
      </c>
      <c r="G1317" s="28" t="s">
        <v>12628</v>
      </c>
    </row>
    <row r="1318" spans="1:7" ht="72" x14ac:dyDescent="0.3">
      <c r="A1318" t="s">
        <v>9582</v>
      </c>
      <c r="B1318" t="s">
        <v>10956</v>
      </c>
      <c r="C1318" s="20" t="s">
        <v>10957</v>
      </c>
      <c r="D1318">
        <v>214</v>
      </c>
      <c r="E1318" t="s">
        <v>9585</v>
      </c>
      <c r="F1318">
        <v>5</v>
      </c>
      <c r="G1318" s="28" t="s">
        <v>12628</v>
      </c>
    </row>
    <row r="1319" spans="1:7" ht="72" x14ac:dyDescent="0.3">
      <c r="A1319" t="s">
        <v>9582</v>
      </c>
      <c r="B1319" t="s">
        <v>10956</v>
      </c>
      <c r="C1319" s="20" t="s">
        <v>10957</v>
      </c>
      <c r="D1319">
        <v>214</v>
      </c>
      <c r="E1319" t="s">
        <v>9585</v>
      </c>
      <c r="F1319">
        <v>5</v>
      </c>
      <c r="G1319" s="28" t="s">
        <v>12628</v>
      </c>
    </row>
    <row r="1320" spans="1:7" ht="57.6" x14ac:dyDescent="0.3">
      <c r="A1320" t="s">
        <v>9582</v>
      </c>
      <c r="B1320" t="s">
        <v>10958</v>
      </c>
      <c r="C1320" s="20" t="s">
        <v>10959</v>
      </c>
      <c r="D1320">
        <v>215</v>
      </c>
      <c r="E1320" t="s">
        <v>9589</v>
      </c>
      <c r="F1320">
        <v>60</v>
      </c>
      <c r="G1320" s="28" t="s">
        <v>9590</v>
      </c>
    </row>
    <row r="1321" spans="1:7" ht="57.6" x14ac:dyDescent="0.3">
      <c r="A1321" t="s">
        <v>9582</v>
      </c>
      <c r="B1321" t="s">
        <v>10958</v>
      </c>
      <c r="C1321" s="20" t="s">
        <v>10959</v>
      </c>
      <c r="D1321">
        <v>215</v>
      </c>
      <c r="E1321" t="s">
        <v>9589</v>
      </c>
      <c r="F1321">
        <v>60</v>
      </c>
      <c r="G1321" s="28" t="s">
        <v>9590</v>
      </c>
    </row>
    <row r="1322" spans="1:7" ht="57.6" x14ac:dyDescent="0.3">
      <c r="A1322" t="s">
        <v>9582</v>
      </c>
      <c r="B1322" t="s">
        <v>10958</v>
      </c>
      <c r="C1322" s="20" t="s">
        <v>10959</v>
      </c>
      <c r="D1322">
        <v>215</v>
      </c>
      <c r="E1322" t="s">
        <v>9589</v>
      </c>
      <c r="F1322">
        <v>60</v>
      </c>
      <c r="G1322" s="28" t="s">
        <v>9590</v>
      </c>
    </row>
    <row r="1323" spans="1:7" ht="57.6" x14ac:dyDescent="0.3">
      <c r="A1323" t="s">
        <v>9582</v>
      </c>
      <c r="B1323" t="s">
        <v>10958</v>
      </c>
      <c r="C1323" s="20" t="s">
        <v>10959</v>
      </c>
      <c r="D1323">
        <v>215</v>
      </c>
      <c r="E1323" t="s">
        <v>9589</v>
      </c>
      <c r="F1323">
        <v>60</v>
      </c>
      <c r="G1323" s="28" t="s">
        <v>9590</v>
      </c>
    </row>
    <row r="1324" spans="1:7" ht="57.6" x14ac:dyDescent="0.3">
      <c r="A1324" t="s">
        <v>9582</v>
      </c>
      <c r="B1324" t="s">
        <v>10960</v>
      </c>
      <c r="C1324" s="20" t="s">
        <v>10961</v>
      </c>
      <c r="D1324">
        <v>216</v>
      </c>
      <c r="E1324" t="s">
        <v>9633</v>
      </c>
      <c r="F1324">
        <v>2.2000000000000002</v>
      </c>
      <c r="G1324" s="28" t="s">
        <v>9590</v>
      </c>
    </row>
    <row r="1325" spans="1:7" ht="57.6" x14ac:dyDescent="0.3">
      <c r="A1325" t="s">
        <v>9582</v>
      </c>
      <c r="B1325" t="s">
        <v>10960</v>
      </c>
      <c r="C1325" s="20" t="s">
        <v>10961</v>
      </c>
      <c r="D1325">
        <v>216</v>
      </c>
      <c r="E1325" t="s">
        <v>9633</v>
      </c>
      <c r="F1325">
        <v>2.2000000000000002</v>
      </c>
      <c r="G1325" s="28" t="s">
        <v>9590</v>
      </c>
    </row>
    <row r="1326" spans="1:7" ht="57.6" x14ac:dyDescent="0.3">
      <c r="A1326" t="s">
        <v>9582</v>
      </c>
      <c r="B1326" t="s">
        <v>10960</v>
      </c>
      <c r="C1326" s="20" t="s">
        <v>10961</v>
      </c>
      <c r="D1326">
        <v>216</v>
      </c>
      <c r="E1326" t="s">
        <v>9633</v>
      </c>
      <c r="F1326">
        <v>2.2000000000000002</v>
      </c>
      <c r="G1326" s="28" t="s">
        <v>9590</v>
      </c>
    </row>
    <row r="1327" spans="1:7" ht="57.6" x14ac:dyDescent="0.3">
      <c r="A1327" t="s">
        <v>9582</v>
      </c>
      <c r="B1327" t="s">
        <v>10960</v>
      </c>
      <c r="C1327" s="20" t="s">
        <v>10961</v>
      </c>
      <c r="D1327">
        <v>216</v>
      </c>
      <c r="E1327" t="s">
        <v>9633</v>
      </c>
      <c r="F1327">
        <v>2.2000000000000002</v>
      </c>
      <c r="G1327" s="28" t="s">
        <v>9590</v>
      </c>
    </row>
    <row r="1328" spans="1:7" ht="28.8" x14ac:dyDescent="0.3">
      <c r="A1328" t="s">
        <v>9582</v>
      </c>
      <c r="B1328" t="s">
        <v>10962</v>
      </c>
      <c r="C1328" s="20" t="s">
        <v>10963</v>
      </c>
      <c r="D1328">
        <v>1215</v>
      </c>
      <c r="E1328" t="s">
        <v>9616</v>
      </c>
      <c r="F1328">
        <v>8</v>
      </c>
      <c r="G1328" s="28" t="s">
        <v>9590</v>
      </c>
    </row>
    <row r="1329" spans="1:7" ht="43.2" x14ac:dyDescent="0.3">
      <c r="A1329" t="s">
        <v>9582</v>
      </c>
      <c r="B1329" t="s">
        <v>10964</v>
      </c>
      <c r="C1329" s="20" t="s">
        <v>10965</v>
      </c>
      <c r="D1329">
        <v>1315</v>
      </c>
      <c r="E1329" t="s">
        <v>9589</v>
      </c>
      <c r="F1329">
        <v>45</v>
      </c>
      <c r="G1329" s="28" t="s">
        <v>9590</v>
      </c>
    </row>
    <row r="1330" spans="1:7" ht="86.4" x14ac:dyDescent="0.3">
      <c r="A1330" t="s">
        <v>9582</v>
      </c>
      <c r="B1330" t="s">
        <v>10966</v>
      </c>
      <c r="C1330" s="20" t="s">
        <v>10967</v>
      </c>
      <c r="D1330">
        <v>794</v>
      </c>
      <c r="E1330" t="s">
        <v>9585</v>
      </c>
      <c r="F1330">
        <v>5</v>
      </c>
      <c r="G1330" s="28" t="s">
        <v>12629</v>
      </c>
    </row>
    <row r="1331" spans="1:7" ht="28.8" x14ac:dyDescent="0.3">
      <c r="A1331" t="s">
        <v>9582</v>
      </c>
      <c r="B1331" t="s">
        <v>10968</v>
      </c>
      <c r="C1331" s="20" t="s">
        <v>10969</v>
      </c>
      <c r="D1331">
        <v>217</v>
      </c>
      <c r="E1331" t="s">
        <v>9616</v>
      </c>
      <c r="F1331">
        <v>8</v>
      </c>
      <c r="G1331" s="28" t="s">
        <v>9590</v>
      </c>
    </row>
    <row r="1332" spans="1:7" ht="28.8" x14ac:dyDescent="0.3">
      <c r="A1332" t="s">
        <v>9582</v>
      </c>
      <c r="B1332" t="s">
        <v>10968</v>
      </c>
      <c r="C1332" s="20" t="s">
        <v>10969</v>
      </c>
      <c r="D1332">
        <v>217</v>
      </c>
      <c r="E1332" t="s">
        <v>9616</v>
      </c>
      <c r="F1332">
        <v>8</v>
      </c>
      <c r="G1332" s="28" t="s">
        <v>9590</v>
      </c>
    </row>
    <row r="1333" spans="1:7" ht="28.8" x14ac:dyDescent="0.3">
      <c r="A1333" t="s">
        <v>9582</v>
      </c>
      <c r="B1333" t="s">
        <v>10968</v>
      </c>
      <c r="C1333" s="20" t="s">
        <v>10969</v>
      </c>
      <c r="D1333">
        <v>217</v>
      </c>
      <c r="E1333" t="s">
        <v>9616</v>
      </c>
      <c r="F1333">
        <v>8</v>
      </c>
      <c r="G1333" s="28" t="s">
        <v>9590</v>
      </c>
    </row>
    <row r="1334" spans="1:7" ht="273.60000000000002" x14ac:dyDescent="0.3">
      <c r="A1334" t="s">
        <v>9582</v>
      </c>
      <c r="B1334" t="s">
        <v>10970</v>
      </c>
      <c r="C1334" s="20" t="s">
        <v>10971</v>
      </c>
      <c r="D1334">
        <v>219</v>
      </c>
      <c r="E1334" t="s">
        <v>9633</v>
      </c>
      <c r="F1334">
        <v>1.2</v>
      </c>
      <c r="G1334" s="28" t="s">
        <v>12630</v>
      </c>
    </row>
    <row r="1335" spans="1:7" ht="273.60000000000002" x14ac:dyDescent="0.3">
      <c r="A1335" t="s">
        <v>9582</v>
      </c>
      <c r="B1335" t="s">
        <v>10970</v>
      </c>
      <c r="C1335" s="20" t="s">
        <v>10971</v>
      </c>
      <c r="D1335">
        <v>219</v>
      </c>
      <c r="E1335" t="s">
        <v>9633</v>
      </c>
      <c r="F1335">
        <v>1.2</v>
      </c>
      <c r="G1335" s="28" t="s">
        <v>12630</v>
      </c>
    </row>
    <row r="1336" spans="1:7" ht="273.60000000000002" x14ac:dyDescent="0.3">
      <c r="A1336" t="s">
        <v>9582</v>
      </c>
      <c r="B1336" t="s">
        <v>10970</v>
      </c>
      <c r="C1336" s="20" t="s">
        <v>10971</v>
      </c>
      <c r="D1336">
        <v>219</v>
      </c>
      <c r="E1336" t="s">
        <v>9633</v>
      </c>
      <c r="F1336">
        <v>1.2</v>
      </c>
      <c r="G1336" s="28" t="s">
        <v>12630</v>
      </c>
    </row>
    <row r="1337" spans="1:7" ht="28.8" x14ac:dyDescent="0.3">
      <c r="A1337" t="s">
        <v>9582</v>
      </c>
      <c r="B1337" t="s">
        <v>10972</v>
      </c>
      <c r="C1337" s="20" t="s">
        <v>10973</v>
      </c>
      <c r="D1337">
        <v>220</v>
      </c>
      <c r="E1337" t="s">
        <v>9616</v>
      </c>
      <c r="F1337">
        <v>8</v>
      </c>
      <c r="G1337" s="28" t="s">
        <v>9590</v>
      </c>
    </row>
    <row r="1338" spans="1:7" ht="28.8" x14ac:dyDescent="0.3">
      <c r="A1338" t="s">
        <v>9582</v>
      </c>
      <c r="B1338" t="s">
        <v>10972</v>
      </c>
      <c r="C1338" s="20" t="s">
        <v>10973</v>
      </c>
      <c r="D1338">
        <v>220</v>
      </c>
      <c r="E1338" t="s">
        <v>9616</v>
      </c>
      <c r="F1338">
        <v>8</v>
      </c>
      <c r="G1338" s="28" t="s">
        <v>9590</v>
      </c>
    </row>
    <row r="1339" spans="1:7" ht="28.8" x14ac:dyDescent="0.3">
      <c r="A1339" t="s">
        <v>9582</v>
      </c>
      <c r="B1339" t="s">
        <v>10972</v>
      </c>
      <c r="C1339" s="20" t="s">
        <v>10973</v>
      </c>
      <c r="D1339">
        <v>220</v>
      </c>
      <c r="E1339" t="s">
        <v>9616</v>
      </c>
      <c r="F1339">
        <v>8</v>
      </c>
      <c r="G1339" s="28" t="s">
        <v>9590</v>
      </c>
    </row>
    <row r="1340" spans="1:7" ht="28.8" x14ac:dyDescent="0.3">
      <c r="A1340" t="s">
        <v>9582</v>
      </c>
      <c r="B1340" t="s">
        <v>10974</v>
      </c>
      <c r="C1340" s="20" t="s">
        <v>10975</v>
      </c>
      <c r="D1340">
        <v>221</v>
      </c>
      <c r="E1340" t="s">
        <v>9616</v>
      </c>
      <c r="F1340">
        <v>8</v>
      </c>
      <c r="G1340" s="28" t="s">
        <v>9590</v>
      </c>
    </row>
    <row r="1341" spans="1:7" ht="28.8" x14ac:dyDescent="0.3">
      <c r="A1341" t="s">
        <v>9582</v>
      </c>
      <c r="B1341" t="s">
        <v>10974</v>
      </c>
      <c r="C1341" s="20" t="s">
        <v>10975</v>
      </c>
      <c r="D1341">
        <v>221</v>
      </c>
      <c r="E1341" t="s">
        <v>9616</v>
      </c>
      <c r="F1341">
        <v>8</v>
      </c>
      <c r="G1341" s="28" t="s">
        <v>9590</v>
      </c>
    </row>
    <row r="1342" spans="1:7" ht="28.8" x14ac:dyDescent="0.3">
      <c r="A1342" t="s">
        <v>9582</v>
      </c>
      <c r="B1342" t="s">
        <v>10974</v>
      </c>
      <c r="C1342" s="20" t="s">
        <v>10975</v>
      </c>
      <c r="D1342">
        <v>221</v>
      </c>
      <c r="E1342" t="s">
        <v>9616</v>
      </c>
      <c r="F1342">
        <v>8</v>
      </c>
      <c r="G1342" s="28" t="s">
        <v>9590</v>
      </c>
    </row>
    <row r="1343" spans="1:7" ht="288" x14ac:dyDescent="0.3">
      <c r="A1343" t="s">
        <v>9582</v>
      </c>
      <c r="B1343" t="s">
        <v>10976</v>
      </c>
      <c r="C1343" s="20" t="s">
        <v>10977</v>
      </c>
      <c r="D1343">
        <v>222</v>
      </c>
      <c r="E1343" t="s">
        <v>9585</v>
      </c>
      <c r="F1343">
        <v>5</v>
      </c>
      <c r="G1343" s="28" t="s">
        <v>12631</v>
      </c>
    </row>
    <row r="1344" spans="1:7" ht="288" x14ac:dyDescent="0.3">
      <c r="A1344" t="s">
        <v>9582</v>
      </c>
      <c r="B1344" t="s">
        <v>10976</v>
      </c>
      <c r="C1344" s="20" t="s">
        <v>10977</v>
      </c>
      <c r="D1344">
        <v>222</v>
      </c>
      <c r="E1344" t="s">
        <v>9585</v>
      </c>
      <c r="F1344">
        <v>5</v>
      </c>
      <c r="G1344" s="28" t="s">
        <v>12631</v>
      </c>
    </row>
    <row r="1345" spans="1:7" ht="288" x14ac:dyDescent="0.3">
      <c r="A1345" t="s">
        <v>9582</v>
      </c>
      <c r="B1345" t="s">
        <v>10976</v>
      </c>
      <c r="C1345" s="20" t="s">
        <v>10977</v>
      </c>
      <c r="D1345">
        <v>222</v>
      </c>
      <c r="E1345" t="s">
        <v>9585</v>
      </c>
      <c r="F1345">
        <v>5</v>
      </c>
      <c r="G1345" s="28" t="s">
        <v>12631</v>
      </c>
    </row>
    <row r="1346" spans="1:7" ht="288" x14ac:dyDescent="0.3">
      <c r="A1346" t="s">
        <v>9582</v>
      </c>
      <c r="B1346" t="s">
        <v>10976</v>
      </c>
      <c r="C1346" s="20" t="s">
        <v>10977</v>
      </c>
      <c r="D1346">
        <v>222</v>
      </c>
      <c r="E1346" t="s">
        <v>9585</v>
      </c>
      <c r="F1346">
        <v>5</v>
      </c>
      <c r="G1346" s="28" t="s">
        <v>12631</v>
      </c>
    </row>
    <row r="1347" spans="1:7" ht="28.8" x14ac:dyDescent="0.3">
      <c r="A1347" t="s">
        <v>9582</v>
      </c>
      <c r="B1347" t="s">
        <v>10978</v>
      </c>
      <c r="C1347" s="20" t="s">
        <v>10979</v>
      </c>
      <c r="D1347">
        <v>223</v>
      </c>
      <c r="E1347" t="s">
        <v>9589</v>
      </c>
      <c r="F1347">
        <v>60</v>
      </c>
      <c r="G1347" s="28" t="s">
        <v>9590</v>
      </c>
    </row>
    <row r="1348" spans="1:7" ht="28.8" x14ac:dyDescent="0.3">
      <c r="A1348" t="s">
        <v>9582</v>
      </c>
      <c r="B1348" t="s">
        <v>10978</v>
      </c>
      <c r="C1348" s="20" t="s">
        <v>10979</v>
      </c>
      <c r="D1348">
        <v>223</v>
      </c>
      <c r="E1348" t="s">
        <v>9589</v>
      </c>
      <c r="F1348">
        <v>60</v>
      </c>
      <c r="G1348" s="28" t="s">
        <v>9590</v>
      </c>
    </row>
    <row r="1349" spans="1:7" ht="28.8" x14ac:dyDescent="0.3">
      <c r="A1349" t="s">
        <v>9582</v>
      </c>
      <c r="B1349" t="s">
        <v>10978</v>
      </c>
      <c r="C1349" s="20" t="s">
        <v>10979</v>
      </c>
      <c r="D1349">
        <v>223</v>
      </c>
      <c r="E1349" t="s">
        <v>9589</v>
      </c>
      <c r="F1349">
        <v>60</v>
      </c>
      <c r="G1349" s="28" t="s">
        <v>9590</v>
      </c>
    </row>
    <row r="1350" spans="1:7" ht="57.6" x14ac:dyDescent="0.3">
      <c r="A1350" t="s">
        <v>9582</v>
      </c>
      <c r="B1350" t="s">
        <v>10980</v>
      </c>
      <c r="C1350" s="20" t="s">
        <v>10981</v>
      </c>
      <c r="D1350">
        <v>224</v>
      </c>
      <c r="E1350" t="s">
        <v>9633</v>
      </c>
      <c r="F1350">
        <v>7.2</v>
      </c>
      <c r="G1350" s="28" t="s">
        <v>9590</v>
      </c>
    </row>
    <row r="1351" spans="1:7" ht="57.6" x14ac:dyDescent="0.3">
      <c r="A1351" t="s">
        <v>9582</v>
      </c>
      <c r="B1351" t="s">
        <v>10980</v>
      </c>
      <c r="C1351" s="20" t="s">
        <v>10981</v>
      </c>
      <c r="D1351">
        <v>224</v>
      </c>
      <c r="E1351" t="s">
        <v>9633</v>
      </c>
      <c r="F1351">
        <v>7.2</v>
      </c>
      <c r="G1351" s="28" t="s">
        <v>9590</v>
      </c>
    </row>
    <row r="1352" spans="1:7" ht="57.6" x14ac:dyDescent="0.3">
      <c r="A1352" t="s">
        <v>9582</v>
      </c>
      <c r="B1352" t="s">
        <v>10980</v>
      </c>
      <c r="C1352" s="20" t="s">
        <v>10981</v>
      </c>
      <c r="D1352">
        <v>224</v>
      </c>
      <c r="E1352" t="s">
        <v>9633</v>
      </c>
      <c r="F1352">
        <v>7.2</v>
      </c>
      <c r="G1352" s="28" t="s">
        <v>9590</v>
      </c>
    </row>
    <row r="1353" spans="1:7" ht="43.2" x14ac:dyDescent="0.3">
      <c r="A1353" t="s">
        <v>9582</v>
      </c>
      <c r="B1353" t="s">
        <v>10982</v>
      </c>
      <c r="C1353" s="20" t="s">
        <v>10983</v>
      </c>
      <c r="D1353">
        <v>225</v>
      </c>
      <c r="E1353" t="s">
        <v>9589</v>
      </c>
      <c r="F1353">
        <v>80</v>
      </c>
      <c r="G1353" s="28" t="s">
        <v>9590</v>
      </c>
    </row>
    <row r="1354" spans="1:7" ht="43.2" x14ac:dyDescent="0.3">
      <c r="A1354" t="s">
        <v>9582</v>
      </c>
      <c r="B1354" t="s">
        <v>10982</v>
      </c>
      <c r="C1354" s="20" t="s">
        <v>10983</v>
      </c>
      <c r="D1354">
        <v>225</v>
      </c>
      <c r="E1354" t="s">
        <v>9589</v>
      </c>
      <c r="F1354">
        <v>80</v>
      </c>
      <c r="G1354" s="28" t="s">
        <v>9590</v>
      </c>
    </row>
    <row r="1355" spans="1:7" ht="43.2" x14ac:dyDescent="0.3">
      <c r="A1355" t="s">
        <v>9582</v>
      </c>
      <c r="B1355" t="s">
        <v>10982</v>
      </c>
      <c r="C1355" s="20" t="s">
        <v>10983</v>
      </c>
      <c r="D1355">
        <v>225</v>
      </c>
      <c r="E1355" t="s">
        <v>9589</v>
      </c>
      <c r="F1355">
        <v>80</v>
      </c>
      <c r="G1355" s="28" t="s">
        <v>9590</v>
      </c>
    </row>
    <row r="1356" spans="1:7" ht="72" x14ac:dyDescent="0.3">
      <c r="A1356" t="s">
        <v>9582</v>
      </c>
      <c r="B1356" t="s">
        <v>10984</v>
      </c>
      <c r="C1356" s="20" t="s">
        <v>10985</v>
      </c>
      <c r="D1356">
        <v>226</v>
      </c>
      <c r="E1356" t="s">
        <v>9633</v>
      </c>
      <c r="F1356">
        <v>3.2</v>
      </c>
      <c r="G1356" s="28" t="s">
        <v>9590</v>
      </c>
    </row>
    <row r="1357" spans="1:7" ht="72" x14ac:dyDescent="0.3">
      <c r="A1357" t="s">
        <v>9582</v>
      </c>
      <c r="B1357" t="s">
        <v>10984</v>
      </c>
      <c r="C1357" s="20" t="s">
        <v>10985</v>
      </c>
      <c r="D1357">
        <v>226</v>
      </c>
      <c r="E1357" t="s">
        <v>9633</v>
      </c>
      <c r="F1357">
        <v>3.2</v>
      </c>
      <c r="G1357" s="28" t="s">
        <v>9590</v>
      </c>
    </row>
    <row r="1358" spans="1:7" ht="72" x14ac:dyDescent="0.3">
      <c r="A1358" t="s">
        <v>9582</v>
      </c>
      <c r="B1358" t="s">
        <v>10984</v>
      </c>
      <c r="C1358" s="20" t="s">
        <v>10985</v>
      </c>
      <c r="D1358">
        <v>226</v>
      </c>
      <c r="E1358" t="s">
        <v>9633</v>
      </c>
      <c r="F1358">
        <v>3.2</v>
      </c>
      <c r="G1358" s="28" t="s">
        <v>9590</v>
      </c>
    </row>
    <row r="1359" spans="1:7" ht="43.2" x14ac:dyDescent="0.3">
      <c r="A1359" t="s">
        <v>9582</v>
      </c>
      <c r="B1359" t="s">
        <v>10986</v>
      </c>
      <c r="C1359" s="20" t="s">
        <v>10987</v>
      </c>
      <c r="D1359">
        <v>228</v>
      </c>
      <c r="E1359" t="s">
        <v>9589</v>
      </c>
      <c r="F1359">
        <v>80</v>
      </c>
      <c r="G1359" s="28" t="s">
        <v>9590</v>
      </c>
    </row>
    <row r="1360" spans="1:7" ht="43.2" x14ac:dyDescent="0.3">
      <c r="A1360" t="s">
        <v>9582</v>
      </c>
      <c r="B1360" t="s">
        <v>10986</v>
      </c>
      <c r="C1360" s="20" t="s">
        <v>10987</v>
      </c>
      <c r="D1360">
        <v>228</v>
      </c>
      <c r="E1360" t="s">
        <v>9589</v>
      </c>
      <c r="F1360">
        <v>80</v>
      </c>
      <c r="G1360" s="28" t="s">
        <v>9590</v>
      </c>
    </row>
    <row r="1361" spans="1:7" ht="43.2" x14ac:dyDescent="0.3">
      <c r="A1361" t="s">
        <v>9582</v>
      </c>
      <c r="B1361" t="s">
        <v>10986</v>
      </c>
      <c r="C1361" s="20" t="s">
        <v>10987</v>
      </c>
      <c r="D1361">
        <v>228</v>
      </c>
      <c r="E1361" t="s">
        <v>9589</v>
      </c>
      <c r="F1361">
        <v>80</v>
      </c>
      <c r="G1361" s="28" t="s">
        <v>9590</v>
      </c>
    </row>
    <row r="1362" spans="1:7" ht="57.6" x14ac:dyDescent="0.3">
      <c r="A1362" t="s">
        <v>9582</v>
      </c>
      <c r="B1362" t="s">
        <v>10988</v>
      </c>
      <c r="C1362" s="20" t="s">
        <v>10989</v>
      </c>
      <c r="D1362">
        <v>698</v>
      </c>
      <c r="E1362" t="s">
        <v>9585</v>
      </c>
      <c r="F1362">
        <v>5</v>
      </c>
      <c r="G1362" s="28" t="s">
        <v>12632</v>
      </c>
    </row>
    <row r="1363" spans="1:7" ht="187.2" x14ac:dyDescent="0.3">
      <c r="A1363" t="s">
        <v>9582</v>
      </c>
      <c r="B1363" t="s">
        <v>10990</v>
      </c>
      <c r="C1363" s="20" t="s">
        <v>10991</v>
      </c>
      <c r="D1363">
        <v>795</v>
      </c>
      <c r="E1363" t="s">
        <v>9585</v>
      </c>
      <c r="F1363">
        <v>5</v>
      </c>
      <c r="G1363" s="28" t="s">
        <v>12633</v>
      </c>
    </row>
    <row r="1364" spans="1:7" ht="28.8" x14ac:dyDescent="0.3">
      <c r="A1364" t="s">
        <v>9582</v>
      </c>
      <c r="B1364" t="s">
        <v>10992</v>
      </c>
      <c r="C1364" s="20" t="s">
        <v>12376</v>
      </c>
      <c r="D1364">
        <v>1221</v>
      </c>
      <c r="E1364" t="s">
        <v>9616</v>
      </c>
      <c r="F1364">
        <v>8</v>
      </c>
      <c r="G1364" s="28" t="s">
        <v>9590</v>
      </c>
    </row>
    <row r="1365" spans="1:7" ht="43.2" x14ac:dyDescent="0.3">
      <c r="A1365" t="s">
        <v>9582</v>
      </c>
      <c r="B1365" t="s">
        <v>10993</v>
      </c>
      <c r="C1365" s="20" t="s">
        <v>10994</v>
      </c>
      <c r="D1365">
        <v>1217</v>
      </c>
      <c r="E1365" t="s">
        <v>9616</v>
      </c>
      <c r="F1365">
        <v>8</v>
      </c>
      <c r="G1365" s="28" t="s">
        <v>9590</v>
      </c>
    </row>
    <row r="1366" spans="1:7" ht="28.8" x14ac:dyDescent="0.3">
      <c r="A1366" t="s">
        <v>9582</v>
      </c>
      <c r="B1366" t="s">
        <v>10995</v>
      </c>
      <c r="C1366" s="20" t="s">
        <v>12377</v>
      </c>
      <c r="D1366">
        <v>1218</v>
      </c>
      <c r="E1366" t="s">
        <v>9616</v>
      </c>
      <c r="F1366">
        <v>8</v>
      </c>
      <c r="G1366" s="28" t="s">
        <v>9590</v>
      </c>
    </row>
    <row r="1367" spans="1:7" ht="72" x14ac:dyDescent="0.3">
      <c r="A1367" t="s">
        <v>9582</v>
      </c>
      <c r="B1367" t="s">
        <v>10996</v>
      </c>
      <c r="C1367" s="20" t="s">
        <v>10997</v>
      </c>
      <c r="D1367">
        <v>1244</v>
      </c>
      <c r="E1367" t="s">
        <v>9585</v>
      </c>
      <c r="F1367">
        <v>5</v>
      </c>
      <c r="G1367" s="28" t="s">
        <v>12555</v>
      </c>
    </row>
    <row r="1368" spans="1:7" ht="86.4" x14ac:dyDescent="0.3">
      <c r="A1368" t="s">
        <v>9582</v>
      </c>
      <c r="B1368" t="s">
        <v>10998</v>
      </c>
      <c r="C1368" s="20" t="s">
        <v>10999</v>
      </c>
      <c r="D1368">
        <v>1429</v>
      </c>
      <c r="E1368" t="s">
        <v>9585</v>
      </c>
      <c r="F1368">
        <v>5</v>
      </c>
      <c r="G1368" s="28" t="s">
        <v>12550</v>
      </c>
    </row>
    <row r="1369" spans="1:7" ht="86.4" x14ac:dyDescent="0.3">
      <c r="A1369" t="s">
        <v>9582</v>
      </c>
      <c r="B1369" t="s">
        <v>11000</v>
      </c>
      <c r="C1369" s="20" t="s">
        <v>11001</v>
      </c>
      <c r="D1369">
        <v>789</v>
      </c>
      <c r="E1369" t="s">
        <v>9585</v>
      </c>
      <c r="F1369">
        <v>5</v>
      </c>
      <c r="G1369" s="28" t="s">
        <v>12634</v>
      </c>
    </row>
    <row r="1370" spans="1:7" ht="72" x14ac:dyDescent="0.3">
      <c r="A1370" t="s">
        <v>9582</v>
      </c>
      <c r="B1370" t="s">
        <v>11002</v>
      </c>
      <c r="C1370" s="20" t="s">
        <v>11003</v>
      </c>
      <c r="D1370">
        <v>787</v>
      </c>
      <c r="E1370" t="s">
        <v>9589</v>
      </c>
      <c r="F1370">
        <v>35</v>
      </c>
      <c r="G1370" s="28" t="s">
        <v>9590</v>
      </c>
    </row>
    <row r="1371" spans="1:7" ht="72" x14ac:dyDescent="0.3">
      <c r="A1371" t="s">
        <v>9582</v>
      </c>
      <c r="B1371" t="s">
        <v>11004</v>
      </c>
      <c r="C1371" s="20" t="s">
        <v>11005</v>
      </c>
      <c r="D1371">
        <v>788</v>
      </c>
      <c r="E1371" t="s">
        <v>9589</v>
      </c>
      <c r="F1371">
        <v>35</v>
      </c>
      <c r="G1371" s="28" t="s">
        <v>9590</v>
      </c>
    </row>
    <row r="1372" spans="1:7" ht="57.6" x14ac:dyDescent="0.3">
      <c r="A1372" t="s">
        <v>9582</v>
      </c>
      <c r="B1372" t="s">
        <v>11006</v>
      </c>
      <c r="C1372" s="20" t="s">
        <v>11007</v>
      </c>
      <c r="D1372">
        <v>2204</v>
      </c>
      <c r="E1372" t="s">
        <v>9589</v>
      </c>
      <c r="F1372">
        <v>80</v>
      </c>
      <c r="G1372" s="17" t="s">
        <v>32</v>
      </c>
    </row>
    <row r="1373" spans="1:7" ht="57.6" x14ac:dyDescent="0.3">
      <c r="A1373" t="s">
        <v>9582</v>
      </c>
      <c r="B1373" t="s">
        <v>11008</v>
      </c>
      <c r="C1373" s="20" t="s">
        <v>11009</v>
      </c>
      <c r="D1373">
        <v>428</v>
      </c>
      <c r="E1373" t="s">
        <v>9589</v>
      </c>
      <c r="F1373">
        <v>60</v>
      </c>
      <c r="G1373" s="28" t="s">
        <v>9590</v>
      </c>
    </row>
    <row r="1374" spans="1:7" ht="144" x14ac:dyDescent="0.3">
      <c r="A1374" t="s">
        <v>9582</v>
      </c>
      <c r="B1374" t="s">
        <v>11010</v>
      </c>
      <c r="C1374" s="20" t="s">
        <v>11011</v>
      </c>
      <c r="D1374">
        <v>427</v>
      </c>
      <c r="E1374" t="s">
        <v>9585</v>
      </c>
      <c r="F1374">
        <v>5</v>
      </c>
      <c r="G1374" s="28" t="s">
        <v>12635</v>
      </c>
    </row>
    <row r="1375" spans="1:7" ht="28.8" x14ac:dyDescent="0.3">
      <c r="A1375" t="s">
        <v>9582</v>
      </c>
      <c r="B1375" t="s">
        <v>11012</v>
      </c>
      <c r="C1375" s="20" t="s">
        <v>11013</v>
      </c>
      <c r="D1375">
        <v>1110</v>
      </c>
      <c r="E1375" t="s">
        <v>9616</v>
      </c>
      <c r="F1375">
        <v>8</v>
      </c>
      <c r="G1375" s="28" t="s">
        <v>9590</v>
      </c>
    </row>
    <row r="1376" spans="1:7" ht="28.8" x14ac:dyDescent="0.3">
      <c r="A1376" t="s">
        <v>9582</v>
      </c>
      <c r="B1376" t="s">
        <v>11012</v>
      </c>
      <c r="C1376" s="20" t="s">
        <v>11013</v>
      </c>
      <c r="D1376">
        <v>1110</v>
      </c>
      <c r="E1376" t="s">
        <v>9616</v>
      </c>
      <c r="F1376">
        <v>8</v>
      </c>
      <c r="G1376" s="28" t="s">
        <v>9590</v>
      </c>
    </row>
    <row r="1377" spans="1:7" ht="28.8" x14ac:dyDescent="0.3">
      <c r="A1377" t="s">
        <v>9582</v>
      </c>
      <c r="B1377" t="s">
        <v>11012</v>
      </c>
      <c r="C1377" s="20" t="s">
        <v>11013</v>
      </c>
      <c r="D1377">
        <v>1110</v>
      </c>
      <c r="E1377" t="s">
        <v>9616</v>
      </c>
      <c r="F1377">
        <v>8</v>
      </c>
      <c r="G1377" s="28" t="s">
        <v>9590</v>
      </c>
    </row>
    <row r="1378" spans="1:7" ht="100.8" x14ac:dyDescent="0.3">
      <c r="A1378" t="s">
        <v>9582</v>
      </c>
      <c r="B1378" t="s">
        <v>11014</v>
      </c>
      <c r="C1378" s="20" t="s">
        <v>11015</v>
      </c>
      <c r="D1378">
        <v>1156</v>
      </c>
      <c r="E1378" t="s">
        <v>9585</v>
      </c>
      <c r="F1378">
        <v>5</v>
      </c>
      <c r="G1378" s="28" t="s">
        <v>12636</v>
      </c>
    </row>
    <row r="1379" spans="1:7" ht="144" x14ac:dyDescent="0.3">
      <c r="A1379" t="s">
        <v>9582</v>
      </c>
      <c r="B1379" t="s">
        <v>11016</v>
      </c>
      <c r="C1379" s="20" t="s">
        <v>11017</v>
      </c>
      <c r="D1379">
        <v>771</v>
      </c>
      <c r="E1379" t="s">
        <v>9585</v>
      </c>
      <c r="F1379">
        <v>5</v>
      </c>
      <c r="G1379" s="28" t="s">
        <v>9586</v>
      </c>
    </row>
    <row r="1380" spans="1:7" ht="72" x14ac:dyDescent="0.3">
      <c r="A1380" t="s">
        <v>9582</v>
      </c>
      <c r="B1380" t="s">
        <v>11018</v>
      </c>
      <c r="C1380" s="20" t="s">
        <v>11019</v>
      </c>
      <c r="D1380">
        <v>1243</v>
      </c>
      <c r="E1380" t="s">
        <v>9589</v>
      </c>
      <c r="F1380">
        <v>80</v>
      </c>
      <c r="G1380" s="28" t="s">
        <v>9590</v>
      </c>
    </row>
    <row r="1381" spans="1:7" ht="28.8" x14ac:dyDescent="0.3">
      <c r="A1381" t="s">
        <v>9582</v>
      </c>
      <c r="B1381" t="s">
        <v>11020</v>
      </c>
      <c r="C1381" s="20" t="s">
        <v>11021</v>
      </c>
      <c r="D1381">
        <v>2152</v>
      </c>
      <c r="E1381" t="s">
        <v>9653</v>
      </c>
      <c r="G1381" s="28" t="s">
        <v>9590</v>
      </c>
    </row>
    <row r="1382" spans="1:7" ht="28.8" x14ac:dyDescent="0.3">
      <c r="A1382" t="s">
        <v>9582</v>
      </c>
      <c r="B1382" t="s">
        <v>11022</v>
      </c>
      <c r="C1382" s="20" t="s">
        <v>11023</v>
      </c>
      <c r="D1382">
        <v>2153</v>
      </c>
      <c r="E1382" t="s">
        <v>9616</v>
      </c>
      <c r="F1382">
        <v>8</v>
      </c>
      <c r="G1382" s="28" t="s">
        <v>9590</v>
      </c>
    </row>
    <row r="1383" spans="1:7" ht="28.8" x14ac:dyDescent="0.3">
      <c r="A1383" t="s">
        <v>9582</v>
      </c>
      <c r="B1383" t="s">
        <v>11024</v>
      </c>
      <c r="C1383" s="20" t="s">
        <v>11025</v>
      </c>
      <c r="D1383">
        <v>2154</v>
      </c>
      <c r="E1383" t="s">
        <v>9616</v>
      </c>
      <c r="F1383">
        <v>8</v>
      </c>
      <c r="G1383" s="28" t="s">
        <v>9590</v>
      </c>
    </row>
    <row r="1384" spans="1:7" ht="129.6" x14ac:dyDescent="0.3">
      <c r="A1384" t="s">
        <v>9582</v>
      </c>
      <c r="B1384" t="s">
        <v>11026</v>
      </c>
      <c r="C1384" s="20" t="s">
        <v>11027</v>
      </c>
      <c r="D1384">
        <v>849</v>
      </c>
      <c r="E1384" t="s">
        <v>9585</v>
      </c>
      <c r="F1384">
        <v>5</v>
      </c>
      <c r="G1384" s="28" t="s">
        <v>12637</v>
      </c>
    </row>
    <row r="1385" spans="1:7" ht="129.6" x14ac:dyDescent="0.3">
      <c r="A1385" t="s">
        <v>9582</v>
      </c>
      <c r="B1385" t="s">
        <v>11026</v>
      </c>
      <c r="C1385" s="20" t="s">
        <v>11027</v>
      </c>
      <c r="D1385">
        <v>849</v>
      </c>
      <c r="E1385" t="s">
        <v>9585</v>
      </c>
      <c r="F1385">
        <v>5</v>
      </c>
      <c r="G1385" s="28" t="s">
        <v>12637</v>
      </c>
    </row>
    <row r="1386" spans="1:7" ht="86.4" x14ac:dyDescent="0.3">
      <c r="A1386" t="s">
        <v>9582</v>
      </c>
      <c r="B1386" t="s">
        <v>11028</v>
      </c>
      <c r="C1386" s="20" t="s">
        <v>11029</v>
      </c>
      <c r="D1386">
        <v>569</v>
      </c>
      <c r="E1386" t="s">
        <v>9585</v>
      </c>
      <c r="F1386">
        <v>5</v>
      </c>
      <c r="G1386" s="28" t="s">
        <v>12638</v>
      </c>
    </row>
    <row r="1387" spans="1:7" ht="187.2" x14ac:dyDescent="0.3">
      <c r="A1387" t="s">
        <v>9582</v>
      </c>
      <c r="B1387" t="s">
        <v>11030</v>
      </c>
      <c r="C1387" s="20" t="s">
        <v>11031</v>
      </c>
      <c r="D1387">
        <v>230</v>
      </c>
      <c r="E1387" t="s">
        <v>9585</v>
      </c>
      <c r="F1387">
        <v>5</v>
      </c>
      <c r="G1387" s="28" t="s">
        <v>12639</v>
      </c>
    </row>
    <row r="1388" spans="1:7" ht="187.2" x14ac:dyDescent="0.3">
      <c r="A1388" t="s">
        <v>9582</v>
      </c>
      <c r="B1388" t="s">
        <v>11030</v>
      </c>
      <c r="C1388" s="20" t="s">
        <v>11031</v>
      </c>
      <c r="D1388">
        <v>230</v>
      </c>
      <c r="E1388" t="s">
        <v>9585</v>
      </c>
      <c r="F1388">
        <v>5</v>
      </c>
      <c r="G1388" s="28" t="s">
        <v>12639</v>
      </c>
    </row>
    <row r="1389" spans="1:7" ht="187.2" x14ac:dyDescent="0.3">
      <c r="A1389" t="s">
        <v>9582</v>
      </c>
      <c r="B1389" t="s">
        <v>11030</v>
      </c>
      <c r="C1389" s="20" t="s">
        <v>11031</v>
      </c>
      <c r="D1389">
        <v>230</v>
      </c>
      <c r="E1389" t="s">
        <v>9585</v>
      </c>
      <c r="F1389">
        <v>5</v>
      </c>
      <c r="G1389" s="28" t="s">
        <v>12639</v>
      </c>
    </row>
    <row r="1390" spans="1:7" ht="28.8" x14ac:dyDescent="0.3">
      <c r="A1390" t="s">
        <v>9582</v>
      </c>
      <c r="B1390" t="s">
        <v>11032</v>
      </c>
      <c r="C1390" s="20" t="s">
        <v>11033</v>
      </c>
      <c r="D1390">
        <v>1371</v>
      </c>
      <c r="E1390" t="s">
        <v>9589</v>
      </c>
      <c r="F1390">
        <v>30</v>
      </c>
      <c r="G1390" s="28" t="s">
        <v>9590</v>
      </c>
    </row>
    <row r="1391" spans="1:7" ht="28.8" x14ac:dyDescent="0.3">
      <c r="A1391" t="s">
        <v>9582</v>
      </c>
      <c r="B1391" t="s">
        <v>11032</v>
      </c>
      <c r="C1391" s="20" t="s">
        <v>11033</v>
      </c>
      <c r="D1391">
        <v>1371</v>
      </c>
      <c r="E1391" t="s">
        <v>9589</v>
      </c>
      <c r="F1391">
        <v>30</v>
      </c>
      <c r="G1391" s="28" t="s">
        <v>9590</v>
      </c>
    </row>
    <row r="1392" spans="1:7" ht="28.8" x14ac:dyDescent="0.3">
      <c r="A1392" t="s">
        <v>9582</v>
      </c>
      <c r="B1392" t="s">
        <v>11032</v>
      </c>
      <c r="C1392" s="20" t="s">
        <v>11033</v>
      </c>
      <c r="D1392">
        <v>1371</v>
      </c>
      <c r="E1392" t="s">
        <v>9589</v>
      </c>
      <c r="F1392">
        <v>30</v>
      </c>
      <c r="G1392" s="28" t="s">
        <v>9590</v>
      </c>
    </row>
    <row r="1393" spans="1:7" ht="158.4" x14ac:dyDescent="0.3">
      <c r="A1393" t="s">
        <v>9582</v>
      </c>
      <c r="B1393" t="s">
        <v>11034</v>
      </c>
      <c r="C1393" s="20" t="s">
        <v>11035</v>
      </c>
      <c r="D1393">
        <v>654</v>
      </c>
      <c r="E1393" t="s">
        <v>9585</v>
      </c>
      <c r="F1393">
        <v>5</v>
      </c>
      <c r="G1393" s="28" t="s">
        <v>12640</v>
      </c>
    </row>
    <row r="1394" spans="1:7" ht="72" x14ac:dyDescent="0.3">
      <c r="A1394" t="s">
        <v>9582</v>
      </c>
      <c r="B1394" t="s">
        <v>11036</v>
      </c>
      <c r="C1394" s="20" t="s">
        <v>11037</v>
      </c>
      <c r="D1394">
        <v>1237</v>
      </c>
      <c r="E1394" t="s">
        <v>9585</v>
      </c>
      <c r="F1394">
        <v>5</v>
      </c>
      <c r="G1394" s="28" t="s">
        <v>12641</v>
      </c>
    </row>
    <row r="1395" spans="1:7" ht="57.6" x14ac:dyDescent="0.3">
      <c r="A1395" t="s">
        <v>9582</v>
      </c>
      <c r="B1395" t="s">
        <v>11038</v>
      </c>
      <c r="C1395" s="20" t="s">
        <v>11039</v>
      </c>
      <c r="D1395">
        <v>583</v>
      </c>
      <c r="E1395" t="s">
        <v>9589</v>
      </c>
      <c r="F1395">
        <v>60</v>
      </c>
      <c r="G1395" s="28" t="s">
        <v>9590</v>
      </c>
    </row>
    <row r="1396" spans="1:7" ht="57.6" x14ac:dyDescent="0.3">
      <c r="A1396" t="s">
        <v>9582</v>
      </c>
      <c r="B1396" t="s">
        <v>11040</v>
      </c>
      <c r="C1396" s="20" t="s">
        <v>11041</v>
      </c>
      <c r="D1396">
        <v>172</v>
      </c>
      <c r="E1396" t="s">
        <v>9589</v>
      </c>
      <c r="F1396">
        <v>45</v>
      </c>
      <c r="G1396" s="28" t="s">
        <v>9590</v>
      </c>
    </row>
    <row r="1397" spans="1:7" ht="57.6" x14ac:dyDescent="0.3">
      <c r="A1397" t="s">
        <v>9582</v>
      </c>
      <c r="B1397" t="s">
        <v>11040</v>
      </c>
      <c r="C1397" s="20" t="s">
        <v>11041</v>
      </c>
      <c r="D1397">
        <v>172</v>
      </c>
      <c r="E1397" t="s">
        <v>9589</v>
      </c>
      <c r="F1397">
        <v>45</v>
      </c>
      <c r="G1397" s="28" t="s">
        <v>9590</v>
      </c>
    </row>
    <row r="1398" spans="1:7" ht="57.6" x14ac:dyDescent="0.3">
      <c r="A1398" t="s">
        <v>9582</v>
      </c>
      <c r="B1398" t="s">
        <v>11040</v>
      </c>
      <c r="C1398" s="20" t="s">
        <v>11041</v>
      </c>
      <c r="D1398">
        <v>172</v>
      </c>
      <c r="E1398" t="s">
        <v>9589</v>
      </c>
      <c r="F1398">
        <v>45</v>
      </c>
      <c r="G1398" s="28" t="s">
        <v>9590</v>
      </c>
    </row>
    <row r="1399" spans="1:7" ht="57.6" x14ac:dyDescent="0.3">
      <c r="A1399" t="s">
        <v>9582</v>
      </c>
      <c r="B1399" t="s">
        <v>11040</v>
      </c>
      <c r="C1399" s="20" t="s">
        <v>11041</v>
      </c>
      <c r="D1399">
        <v>172</v>
      </c>
      <c r="E1399" t="s">
        <v>9589</v>
      </c>
      <c r="F1399">
        <v>45</v>
      </c>
      <c r="G1399" s="28" t="s">
        <v>9590</v>
      </c>
    </row>
    <row r="1400" spans="1:7" ht="57.6" x14ac:dyDescent="0.3">
      <c r="A1400" t="s">
        <v>9582</v>
      </c>
      <c r="B1400" t="s">
        <v>11040</v>
      </c>
      <c r="C1400" s="20" t="s">
        <v>11041</v>
      </c>
      <c r="D1400">
        <v>172</v>
      </c>
      <c r="E1400" t="s">
        <v>9589</v>
      </c>
      <c r="F1400">
        <v>45</v>
      </c>
      <c r="G1400" s="28" t="s">
        <v>9590</v>
      </c>
    </row>
    <row r="1401" spans="1:7" ht="72" x14ac:dyDescent="0.3">
      <c r="A1401" t="s">
        <v>9582</v>
      </c>
      <c r="B1401" t="s">
        <v>11042</v>
      </c>
      <c r="C1401" s="20" t="s">
        <v>11043</v>
      </c>
      <c r="D1401">
        <v>582</v>
      </c>
      <c r="E1401" t="s">
        <v>9585</v>
      </c>
      <c r="F1401">
        <v>5</v>
      </c>
      <c r="G1401" s="28" t="s">
        <v>12642</v>
      </c>
    </row>
    <row r="1402" spans="1:7" ht="43.2" x14ac:dyDescent="0.3">
      <c r="A1402" t="s">
        <v>9582</v>
      </c>
      <c r="B1402" t="s">
        <v>11044</v>
      </c>
      <c r="C1402" s="20" t="s">
        <v>11045</v>
      </c>
      <c r="D1402">
        <v>1214</v>
      </c>
      <c r="E1402" t="s">
        <v>9616</v>
      </c>
      <c r="F1402">
        <v>8</v>
      </c>
      <c r="G1402" s="28" t="s">
        <v>9590</v>
      </c>
    </row>
    <row r="1403" spans="1:7" ht="43.2" x14ac:dyDescent="0.3">
      <c r="A1403" t="s">
        <v>9582</v>
      </c>
      <c r="B1403" t="s">
        <v>11044</v>
      </c>
      <c r="C1403" s="20" t="s">
        <v>11045</v>
      </c>
      <c r="D1403">
        <v>1214</v>
      </c>
      <c r="E1403" t="s">
        <v>9616</v>
      </c>
      <c r="F1403">
        <v>8</v>
      </c>
      <c r="G1403" s="28" t="s">
        <v>9590</v>
      </c>
    </row>
    <row r="1404" spans="1:7" ht="72" x14ac:dyDescent="0.3">
      <c r="A1404" t="s">
        <v>9582</v>
      </c>
      <c r="B1404" t="s">
        <v>11046</v>
      </c>
      <c r="C1404" s="20" t="s">
        <v>11047</v>
      </c>
      <c r="D1404">
        <v>779</v>
      </c>
      <c r="E1404" t="s">
        <v>9589</v>
      </c>
      <c r="F1404">
        <v>35</v>
      </c>
      <c r="G1404" s="28" t="s">
        <v>9590</v>
      </c>
    </row>
    <row r="1405" spans="1:7" ht="72" x14ac:dyDescent="0.3">
      <c r="A1405" t="s">
        <v>9582</v>
      </c>
      <c r="B1405" t="s">
        <v>11046</v>
      </c>
      <c r="C1405" s="20" t="s">
        <v>11047</v>
      </c>
      <c r="D1405">
        <v>779</v>
      </c>
      <c r="E1405" t="s">
        <v>9589</v>
      </c>
      <c r="F1405">
        <v>35</v>
      </c>
      <c r="G1405" s="28" t="s">
        <v>9590</v>
      </c>
    </row>
    <row r="1406" spans="1:7" ht="43.2" x14ac:dyDescent="0.3">
      <c r="A1406" t="s">
        <v>9582</v>
      </c>
      <c r="B1406" t="s">
        <v>11048</v>
      </c>
      <c r="C1406" s="20" t="s">
        <v>11049</v>
      </c>
      <c r="D1406">
        <v>781</v>
      </c>
      <c r="E1406" t="s">
        <v>9616</v>
      </c>
      <c r="F1406">
        <v>8</v>
      </c>
      <c r="G1406" s="28" t="s">
        <v>9590</v>
      </c>
    </row>
    <row r="1407" spans="1:7" ht="43.2" x14ac:dyDescent="0.3">
      <c r="A1407" t="s">
        <v>9582</v>
      </c>
      <c r="B1407" t="s">
        <v>11048</v>
      </c>
      <c r="C1407" s="20" t="s">
        <v>11049</v>
      </c>
      <c r="D1407">
        <v>781</v>
      </c>
      <c r="E1407" t="s">
        <v>9616</v>
      </c>
      <c r="F1407">
        <v>8</v>
      </c>
      <c r="G1407" s="28" t="s">
        <v>9590</v>
      </c>
    </row>
    <row r="1408" spans="1:7" ht="28.8" x14ac:dyDescent="0.3">
      <c r="A1408" t="s">
        <v>9582</v>
      </c>
      <c r="B1408" t="s">
        <v>11050</v>
      </c>
      <c r="C1408" s="20" t="s">
        <v>11051</v>
      </c>
      <c r="D1408">
        <v>782</v>
      </c>
      <c r="E1408" t="s">
        <v>9589</v>
      </c>
      <c r="F1408">
        <v>60</v>
      </c>
      <c r="G1408" s="28" t="s">
        <v>9590</v>
      </c>
    </row>
    <row r="1409" spans="1:7" ht="28.8" x14ac:dyDescent="0.3">
      <c r="A1409" t="s">
        <v>9582</v>
      </c>
      <c r="B1409" t="s">
        <v>11050</v>
      </c>
      <c r="C1409" s="20" t="s">
        <v>11051</v>
      </c>
      <c r="D1409">
        <v>782</v>
      </c>
      <c r="E1409" t="s">
        <v>9589</v>
      </c>
      <c r="F1409">
        <v>60</v>
      </c>
      <c r="G1409" s="28" t="s">
        <v>9590</v>
      </c>
    </row>
    <row r="1410" spans="1:7" ht="57.6" x14ac:dyDescent="0.3">
      <c r="A1410" t="s">
        <v>9582</v>
      </c>
      <c r="B1410" t="s">
        <v>11052</v>
      </c>
      <c r="C1410" s="20" t="s">
        <v>11053</v>
      </c>
      <c r="D1410">
        <v>790</v>
      </c>
      <c r="E1410" t="s">
        <v>9585</v>
      </c>
      <c r="F1410">
        <v>5</v>
      </c>
      <c r="G1410" s="28" t="s">
        <v>12643</v>
      </c>
    </row>
    <row r="1411" spans="1:7" ht="86.4" x14ac:dyDescent="0.3">
      <c r="A1411" t="s">
        <v>9582</v>
      </c>
      <c r="B1411" t="s">
        <v>11054</v>
      </c>
      <c r="C1411" s="20" t="s">
        <v>11055</v>
      </c>
      <c r="D1411">
        <v>778</v>
      </c>
      <c r="E1411" t="s">
        <v>9585</v>
      </c>
      <c r="F1411">
        <v>5</v>
      </c>
      <c r="G1411" s="28" t="s">
        <v>12644</v>
      </c>
    </row>
    <row r="1412" spans="1:7" ht="86.4" x14ac:dyDescent="0.3">
      <c r="A1412" t="s">
        <v>9582</v>
      </c>
      <c r="B1412" t="s">
        <v>11054</v>
      </c>
      <c r="C1412" s="20" t="s">
        <v>11055</v>
      </c>
      <c r="D1412">
        <v>778</v>
      </c>
      <c r="E1412" t="s">
        <v>9585</v>
      </c>
      <c r="F1412">
        <v>5</v>
      </c>
      <c r="G1412" s="28" t="s">
        <v>12644</v>
      </c>
    </row>
    <row r="1413" spans="1:7" ht="57.6" x14ac:dyDescent="0.3">
      <c r="A1413" t="s">
        <v>9582</v>
      </c>
      <c r="B1413" t="s">
        <v>11056</v>
      </c>
      <c r="C1413" s="20" t="s">
        <v>11057</v>
      </c>
      <c r="D1413">
        <v>232</v>
      </c>
      <c r="E1413" t="s">
        <v>9589</v>
      </c>
      <c r="F1413">
        <v>45</v>
      </c>
      <c r="G1413" s="28" t="s">
        <v>9590</v>
      </c>
    </row>
    <row r="1414" spans="1:7" ht="57.6" x14ac:dyDescent="0.3">
      <c r="A1414" t="s">
        <v>9582</v>
      </c>
      <c r="B1414" t="s">
        <v>11056</v>
      </c>
      <c r="C1414" s="20" t="s">
        <v>11057</v>
      </c>
      <c r="D1414">
        <v>232</v>
      </c>
      <c r="E1414" t="s">
        <v>9589</v>
      </c>
      <c r="F1414">
        <v>45</v>
      </c>
      <c r="G1414" s="28" t="s">
        <v>9590</v>
      </c>
    </row>
    <row r="1415" spans="1:7" ht="57.6" x14ac:dyDescent="0.3">
      <c r="A1415" t="s">
        <v>9582</v>
      </c>
      <c r="B1415" t="s">
        <v>11056</v>
      </c>
      <c r="C1415" s="20" t="s">
        <v>11057</v>
      </c>
      <c r="D1415">
        <v>232</v>
      </c>
      <c r="E1415" t="s">
        <v>9589</v>
      </c>
      <c r="F1415">
        <v>45</v>
      </c>
      <c r="G1415" s="28" t="s">
        <v>9590</v>
      </c>
    </row>
    <row r="1416" spans="1:7" ht="100.8" x14ac:dyDescent="0.3">
      <c r="A1416" t="s">
        <v>9582</v>
      </c>
      <c r="B1416" t="s">
        <v>11058</v>
      </c>
      <c r="C1416" s="20" t="s">
        <v>11059</v>
      </c>
      <c r="D1416">
        <v>1282</v>
      </c>
      <c r="E1416" t="s">
        <v>9585</v>
      </c>
      <c r="F1416">
        <v>5</v>
      </c>
      <c r="G1416" s="28" t="s">
        <v>12645</v>
      </c>
    </row>
    <row r="1417" spans="1:7" ht="100.8" x14ac:dyDescent="0.3">
      <c r="A1417" t="s">
        <v>9582</v>
      </c>
      <c r="B1417" t="s">
        <v>11058</v>
      </c>
      <c r="C1417" s="20" t="s">
        <v>11059</v>
      </c>
      <c r="D1417">
        <v>1282</v>
      </c>
      <c r="E1417" t="s">
        <v>9585</v>
      </c>
      <c r="F1417">
        <v>5</v>
      </c>
      <c r="G1417" s="28" t="s">
        <v>12645</v>
      </c>
    </row>
    <row r="1418" spans="1:7" ht="72" x14ac:dyDescent="0.3">
      <c r="A1418" t="s">
        <v>9582</v>
      </c>
      <c r="B1418" t="s">
        <v>11060</v>
      </c>
      <c r="C1418" s="20" t="s">
        <v>11061</v>
      </c>
      <c r="D1418">
        <v>316</v>
      </c>
      <c r="E1418" t="s">
        <v>9585</v>
      </c>
      <c r="F1418">
        <v>5</v>
      </c>
      <c r="G1418" s="28" t="s">
        <v>9586</v>
      </c>
    </row>
    <row r="1419" spans="1:7" ht="43.2" x14ac:dyDescent="0.3">
      <c r="A1419" t="s">
        <v>9582</v>
      </c>
      <c r="B1419" t="s">
        <v>11062</v>
      </c>
      <c r="C1419" s="20" t="s">
        <v>11063</v>
      </c>
      <c r="D1419">
        <v>1462</v>
      </c>
      <c r="E1419" t="s">
        <v>9585</v>
      </c>
      <c r="F1419">
        <v>5</v>
      </c>
      <c r="G1419" s="28" t="s">
        <v>9586</v>
      </c>
    </row>
    <row r="1420" spans="1:7" ht="28.8" x14ac:dyDescent="0.3">
      <c r="A1420" t="s">
        <v>9582</v>
      </c>
      <c r="B1420" t="s">
        <v>11064</v>
      </c>
      <c r="C1420" s="20" t="s">
        <v>11065</v>
      </c>
      <c r="D1420">
        <v>233</v>
      </c>
      <c r="E1420" t="s">
        <v>9616</v>
      </c>
      <c r="F1420">
        <v>8</v>
      </c>
      <c r="G1420" s="28" t="s">
        <v>9590</v>
      </c>
    </row>
    <row r="1421" spans="1:7" ht="28.8" x14ac:dyDescent="0.3">
      <c r="A1421" t="s">
        <v>9582</v>
      </c>
      <c r="B1421" t="s">
        <v>11064</v>
      </c>
      <c r="C1421" s="20" t="s">
        <v>11065</v>
      </c>
      <c r="D1421">
        <v>233</v>
      </c>
      <c r="E1421" t="s">
        <v>9616</v>
      </c>
      <c r="F1421">
        <v>8</v>
      </c>
      <c r="G1421" s="28" t="s">
        <v>9590</v>
      </c>
    </row>
    <row r="1422" spans="1:7" ht="28.8" x14ac:dyDescent="0.3">
      <c r="A1422" t="s">
        <v>9582</v>
      </c>
      <c r="B1422" t="s">
        <v>11064</v>
      </c>
      <c r="C1422" s="20" t="s">
        <v>11065</v>
      </c>
      <c r="D1422">
        <v>233</v>
      </c>
      <c r="E1422" t="s">
        <v>9616</v>
      </c>
      <c r="F1422">
        <v>8</v>
      </c>
      <c r="G1422" s="28" t="s">
        <v>9590</v>
      </c>
    </row>
    <row r="1423" spans="1:7" ht="28.8" x14ac:dyDescent="0.3">
      <c r="A1423" t="s">
        <v>9582</v>
      </c>
      <c r="B1423" t="s">
        <v>11066</v>
      </c>
      <c r="C1423" s="20" t="s">
        <v>11067</v>
      </c>
      <c r="D1423">
        <v>234</v>
      </c>
      <c r="E1423" t="s">
        <v>9589</v>
      </c>
      <c r="F1423">
        <v>80</v>
      </c>
      <c r="G1423" s="28" t="s">
        <v>9590</v>
      </c>
    </row>
    <row r="1424" spans="1:7" ht="28.8" x14ac:dyDescent="0.3">
      <c r="A1424" t="s">
        <v>9582</v>
      </c>
      <c r="B1424" t="s">
        <v>11066</v>
      </c>
      <c r="C1424" s="20" t="s">
        <v>11067</v>
      </c>
      <c r="D1424">
        <v>234</v>
      </c>
      <c r="E1424" t="s">
        <v>9589</v>
      </c>
      <c r="F1424">
        <v>80</v>
      </c>
      <c r="G1424" s="28" t="s">
        <v>9590</v>
      </c>
    </row>
    <row r="1425" spans="1:7" ht="28.8" x14ac:dyDescent="0.3">
      <c r="A1425" t="s">
        <v>9582</v>
      </c>
      <c r="B1425" t="s">
        <v>11066</v>
      </c>
      <c r="C1425" s="20" t="s">
        <v>11067</v>
      </c>
      <c r="D1425">
        <v>234</v>
      </c>
      <c r="E1425" t="s">
        <v>9589</v>
      </c>
      <c r="F1425">
        <v>80</v>
      </c>
      <c r="G1425" s="28" t="s">
        <v>9590</v>
      </c>
    </row>
    <row r="1426" spans="1:7" ht="28.8" x14ac:dyDescent="0.3">
      <c r="A1426" t="s">
        <v>9582</v>
      </c>
      <c r="B1426" t="s">
        <v>11068</v>
      </c>
      <c r="C1426" s="20" t="s">
        <v>11069</v>
      </c>
      <c r="D1426">
        <v>235</v>
      </c>
      <c r="E1426" t="s">
        <v>9616</v>
      </c>
      <c r="F1426">
        <v>8</v>
      </c>
      <c r="G1426" s="28" t="s">
        <v>9590</v>
      </c>
    </row>
    <row r="1427" spans="1:7" ht="28.8" x14ac:dyDescent="0.3">
      <c r="A1427" t="s">
        <v>9582</v>
      </c>
      <c r="B1427" t="s">
        <v>11068</v>
      </c>
      <c r="C1427" s="20" t="s">
        <v>11069</v>
      </c>
      <c r="D1427">
        <v>235</v>
      </c>
      <c r="E1427" t="s">
        <v>9616</v>
      </c>
      <c r="F1427">
        <v>8</v>
      </c>
      <c r="G1427" s="28" t="s">
        <v>9590</v>
      </c>
    </row>
    <row r="1428" spans="1:7" ht="28.8" x14ac:dyDescent="0.3">
      <c r="A1428" t="s">
        <v>9582</v>
      </c>
      <c r="B1428" t="s">
        <v>11068</v>
      </c>
      <c r="C1428" s="20" t="s">
        <v>11069</v>
      </c>
      <c r="D1428">
        <v>235</v>
      </c>
      <c r="E1428" t="s">
        <v>9616</v>
      </c>
      <c r="F1428">
        <v>8</v>
      </c>
      <c r="G1428" s="28" t="s">
        <v>9590</v>
      </c>
    </row>
    <row r="1429" spans="1:7" ht="28.8" x14ac:dyDescent="0.3">
      <c r="A1429" t="s">
        <v>9582</v>
      </c>
      <c r="B1429" t="s">
        <v>11070</v>
      </c>
      <c r="C1429" s="20" t="s">
        <v>11071</v>
      </c>
      <c r="D1429">
        <v>236</v>
      </c>
      <c r="E1429" t="s">
        <v>9589</v>
      </c>
      <c r="F1429">
        <v>80</v>
      </c>
      <c r="G1429" s="28" t="s">
        <v>9590</v>
      </c>
    </row>
    <row r="1430" spans="1:7" ht="28.8" x14ac:dyDescent="0.3">
      <c r="A1430" t="s">
        <v>9582</v>
      </c>
      <c r="B1430" t="s">
        <v>11070</v>
      </c>
      <c r="C1430" s="20" t="s">
        <v>11071</v>
      </c>
      <c r="D1430">
        <v>236</v>
      </c>
      <c r="E1430" t="s">
        <v>9589</v>
      </c>
      <c r="F1430">
        <v>80</v>
      </c>
      <c r="G1430" s="28" t="s">
        <v>9590</v>
      </c>
    </row>
    <row r="1431" spans="1:7" ht="28.8" x14ac:dyDescent="0.3">
      <c r="A1431" t="s">
        <v>9582</v>
      </c>
      <c r="B1431" t="s">
        <v>11070</v>
      </c>
      <c r="C1431" s="20" t="s">
        <v>11071</v>
      </c>
      <c r="D1431">
        <v>236</v>
      </c>
      <c r="E1431" t="s">
        <v>9589</v>
      </c>
      <c r="F1431">
        <v>80</v>
      </c>
      <c r="G1431" s="28" t="s">
        <v>9590</v>
      </c>
    </row>
    <row r="1432" spans="1:7" ht="129.6" x14ac:dyDescent="0.3">
      <c r="A1432" t="s">
        <v>9582</v>
      </c>
      <c r="B1432" t="s">
        <v>11072</v>
      </c>
      <c r="C1432" s="20" t="s">
        <v>11073</v>
      </c>
      <c r="D1432">
        <v>237</v>
      </c>
      <c r="E1432" t="s">
        <v>9585</v>
      </c>
      <c r="F1432">
        <v>5</v>
      </c>
      <c r="G1432" s="28" t="s">
        <v>12646</v>
      </c>
    </row>
    <row r="1433" spans="1:7" ht="129.6" x14ac:dyDescent="0.3">
      <c r="A1433" t="s">
        <v>9582</v>
      </c>
      <c r="B1433" t="s">
        <v>11072</v>
      </c>
      <c r="C1433" s="20" t="s">
        <v>11073</v>
      </c>
      <c r="D1433">
        <v>237</v>
      </c>
      <c r="E1433" t="s">
        <v>9585</v>
      </c>
      <c r="F1433">
        <v>5</v>
      </c>
      <c r="G1433" s="28" t="s">
        <v>12646</v>
      </c>
    </row>
    <row r="1434" spans="1:7" ht="129.6" x14ac:dyDescent="0.3">
      <c r="A1434" t="s">
        <v>9582</v>
      </c>
      <c r="B1434" t="s">
        <v>11072</v>
      </c>
      <c r="C1434" s="20" t="s">
        <v>11073</v>
      </c>
      <c r="D1434">
        <v>237</v>
      </c>
      <c r="E1434" t="s">
        <v>9585</v>
      </c>
      <c r="F1434">
        <v>5</v>
      </c>
      <c r="G1434" s="28" t="s">
        <v>12646</v>
      </c>
    </row>
    <row r="1435" spans="1:7" ht="43.2" x14ac:dyDescent="0.3">
      <c r="A1435" t="s">
        <v>9582</v>
      </c>
      <c r="B1435" t="s">
        <v>11074</v>
      </c>
      <c r="C1435" s="20" t="s">
        <v>11075</v>
      </c>
      <c r="D1435">
        <v>238</v>
      </c>
      <c r="E1435" t="s">
        <v>9589</v>
      </c>
      <c r="F1435">
        <v>45</v>
      </c>
      <c r="G1435" s="28" t="s">
        <v>9590</v>
      </c>
    </row>
    <row r="1436" spans="1:7" ht="43.2" x14ac:dyDescent="0.3">
      <c r="A1436" t="s">
        <v>9582</v>
      </c>
      <c r="B1436" t="s">
        <v>11074</v>
      </c>
      <c r="C1436" s="20" t="s">
        <v>11075</v>
      </c>
      <c r="D1436">
        <v>238</v>
      </c>
      <c r="E1436" t="s">
        <v>9589</v>
      </c>
      <c r="F1436">
        <v>45</v>
      </c>
      <c r="G1436" s="28" t="s">
        <v>9590</v>
      </c>
    </row>
    <row r="1437" spans="1:7" ht="43.2" x14ac:dyDescent="0.3">
      <c r="A1437" t="s">
        <v>9582</v>
      </c>
      <c r="B1437" t="s">
        <v>11074</v>
      </c>
      <c r="C1437" s="20" t="s">
        <v>11075</v>
      </c>
      <c r="D1437">
        <v>238</v>
      </c>
      <c r="E1437" t="s">
        <v>9589</v>
      </c>
      <c r="F1437">
        <v>45</v>
      </c>
      <c r="G1437" s="28" t="s">
        <v>9590</v>
      </c>
    </row>
    <row r="1438" spans="1:7" ht="43.2" x14ac:dyDescent="0.3">
      <c r="A1438" t="s">
        <v>9582</v>
      </c>
      <c r="B1438" t="s">
        <v>11074</v>
      </c>
      <c r="C1438" s="20" t="s">
        <v>11075</v>
      </c>
      <c r="D1438">
        <v>238</v>
      </c>
      <c r="E1438" t="s">
        <v>9589</v>
      </c>
      <c r="F1438">
        <v>45</v>
      </c>
      <c r="G1438" s="28" t="s">
        <v>9590</v>
      </c>
    </row>
    <row r="1439" spans="1:7" ht="43.2" x14ac:dyDescent="0.3">
      <c r="A1439" t="s">
        <v>9582</v>
      </c>
      <c r="B1439" t="s">
        <v>11074</v>
      </c>
      <c r="C1439" s="20" t="s">
        <v>11075</v>
      </c>
      <c r="D1439">
        <v>238</v>
      </c>
      <c r="E1439" t="s">
        <v>9589</v>
      </c>
      <c r="F1439">
        <v>45</v>
      </c>
      <c r="G1439" s="28" t="s">
        <v>9590</v>
      </c>
    </row>
    <row r="1440" spans="1:7" ht="28.8" x14ac:dyDescent="0.3">
      <c r="A1440" t="s">
        <v>9582</v>
      </c>
      <c r="B1440" t="s">
        <v>11076</v>
      </c>
      <c r="C1440" s="20" t="s">
        <v>11077</v>
      </c>
      <c r="D1440">
        <v>791</v>
      </c>
      <c r="E1440" t="s">
        <v>9589</v>
      </c>
      <c r="F1440">
        <v>60</v>
      </c>
      <c r="G1440" s="28" t="s">
        <v>9590</v>
      </c>
    </row>
    <row r="1441" spans="1:7" ht="72" x14ac:dyDescent="0.3">
      <c r="A1441" t="s">
        <v>9582</v>
      </c>
      <c r="B1441" t="s">
        <v>11078</v>
      </c>
      <c r="C1441" s="20" t="s">
        <v>11079</v>
      </c>
      <c r="D1441">
        <v>1058</v>
      </c>
      <c r="E1441" t="s">
        <v>9585</v>
      </c>
      <c r="F1441">
        <v>5</v>
      </c>
      <c r="G1441" s="28" t="s">
        <v>9586</v>
      </c>
    </row>
    <row r="1442" spans="1:7" ht="57.6" x14ac:dyDescent="0.3">
      <c r="A1442" t="s">
        <v>9582</v>
      </c>
      <c r="B1442" t="s">
        <v>11080</v>
      </c>
      <c r="C1442" s="20" t="s">
        <v>11081</v>
      </c>
      <c r="D1442">
        <v>522</v>
      </c>
      <c r="E1442" t="s">
        <v>9589</v>
      </c>
      <c r="F1442">
        <v>60</v>
      </c>
      <c r="G1442" s="28" t="s">
        <v>9590</v>
      </c>
    </row>
    <row r="1443" spans="1:7" ht="57.6" x14ac:dyDescent="0.3">
      <c r="A1443" t="s">
        <v>9582</v>
      </c>
      <c r="B1443" t="s">
        <v>11080</v>
      </c>
      <c r="C1443" s="20" t="s">
        <v>11081</v>
      </c>
      <c r="D1443">
        <v>522</v>
      </c>
      <c r="E1443" t="s">
        <v>9589</v>
      </c>
      <c r="F1443">
        <v>60</v>
      </c>
      <c r="G1443" s="28" t="s">
        <v>9590</v>
      </c>
    </row>
    <row r="1444" spans="1:7" ht="129.6" x14ac:dyDescent="0.3">
      <c r="A1444" t="s">
        <v>9582</v>
      </c>
      <c r="B1444" t="s">
        <v>11082</v>
      </c>
      <c r="C1444" s="20" t="s">
        <v>11083</v>
      </c>
      <c r="D1444">
        <v>641</v>
      </c>
      <c r="E1444" t="s">
        <v>9589</v>
      </c>
      <c r="F1444">
        <v>5</v>
      </c>
      <c r="G1444" s="28" t="s">
        <v>9590</v>
      </c>
    </row>
    <row r="1445" spans="1:7" ht="409.6" x14ac:dyDescent="0.3">
      <c r="A1445" t="s">
        <v>9582</v>
      </c>
      <c r="B1445" t="s">
        <v>11084</v>
      </c>
      <c r="C1445" s="20" t="s">
        <v>11085</v>
      </c>
      <c r="D1445">
        <v>240</v>
      </c>
      <c r="E1445" t="s">
        <v>9585</v>
      </c>
      <c r="F1445">
        <v>5</v>
      </c>
      <c r="G1445" s="28" t="s">
        <v>12647</v>
      </c>
    </row>
    <row r="1446" spans="1:7" ht="409.6" x14ac:dyDescent="0.3">
      <c r="A1446" t="s">
        <v>9582</v>
      </c>
      <c r="B1446" t="s">
        <v>11084</v>
      </c>
      <c r="C1446" s="20" t="s">
        <v>11085</v>
      </c>
      <c r="D1446">
        <v>240</v>
      </c>
      <c r="E1446" t="s">
        <v>9585</v>
      </c>
      <c r="F1446">
        <v>5</v>
      </c>
      <c r="G1446" s="28" t="s">
        <v>12647</v>
      </c>
    </row>
    <row r="1447" spans="1:7" ht="409.6" x14ac:dyDescent="0.3">
      <c r="A1447" t="s">
        <v>9582</v>
      </c>
      <c r="B1447" t="s">
        <v>11084</v>
      </c>
      <c r="C1447" s="20" t="s">
        <v>11085</v>
      </c>
      <c r="D1447">
        <v>240</v>
      </c>
      <c r="E1447" t="s">
        <v>9585</v>
      </c>
      <c r="F1447">
        <v>5</v>
      </c>
      <c r="G1447" s="28" t="s">
        <v>12647</v>
      </c>
    </row>
    <row r="1448" spans="1:7" ht="409.6" x14ac:dyDescent="0.3">
      <c r="A1448" t="s">
        <v>9582</v>
      </c>
      <c r="B1448" t="s">
        <v>11084</v>
      </c>
      <c r="C1448" s="20" t="s">
        <v>11085</v>
      </c>
      <c r="D1448">
        <v>240</v>
      </c>
      <c r="E1448" t="s">
        <v>9585</v>
      </c>
      <c r="F1448">
        <v>5</v>
      </c>
      <c r="G1448" s="28" t="s">
        <v>12647</v>
      </c>
    </row>
    <row r="1449" spans="1:7" ht="409.6" x14ac:dyDescent="0.3">
      <c r="A1449" t="s">
        <v>9582</v>
      </c>
      <c r="B1449" t="s">
        <v>11084</v>
      </c>
      <c r="C1449" s="20" t="s">
        <v>11085</v>
      </c>
      <c r="D1449">
        <v>240</v>
      </c>
      <c r="E1449" t="s">
        <v>9585</v>
      </c>
      <c r="F1449">
        <v>5</v>
      </c>
      <c r="G1449" s="28" t="s">
        <v>12647</v>
      </c>
    </row>
    <row r="1450" spans="1:7" ht="43.2" x14ac:dyDescent="0.3">
      <c r="A1450" t="s">
        <v>9582</v>
      </c>
      <c r="B1450" t="s">
        <v>11086</v>
      </c>
      <c r="C1450" s="20" t="s">
        <v>11087</v>
      </c>
      <c r="D1450">
        <v>345</v>
      </c>
      <c r="E1450" t="s">
        <v>9589</v>
      </c>
      <c r="F1450">
        <v>35</v>
      </c>
      <c r="G1450" s="28" t="s">
        <v>9590</v>
      </c>
    </row>
    <row r="1451" spans="1:7" ht="43.2" x14ac:dyDescent="0.3">
      <c r="A1451" t="s">
        <v>9582</v>
      </c>
      <c r="B1451" t="s">
        <v>11086</v>
      </c>
      <c r="C1451" s="20" t="s">
        <v>11087</v>
      </c>
      <c r="D1451">
        <v>345</v>
      </c>
      <c r="E1451" t="s">
        <v>9589</v>
      </c>
      <c r="F1451">
        <v>35</v>
      </c>
      <c r="G1451" s="28" t="s">
        <v>9590</v>
      </c>
    </row>
    <row r="1452" spans="1:7" ht="86.4" x14ac:dyDescent="0.3">
      <c r="A1452" t="s">
        <v>9582</v>
      </c>
      <c r="B1452" t="s">
        <v>11088</v>
      </c>
      <c r="C1452" s="20" t="s">
        <v>11089</v>
      </c>
      <c r="D1452">
        <v>813</v>
      </c>
      <c r="E1452" t="s">
        <v>9589</v>
      </c>
      <c r="F1452">
        <v>60</v>
      </c>
      <c r="G1452" s="28" t="s">
        <v>9590</v>
      </c>
    </row>
    <row r="1453" spans="1:7" ht="28.8" x14ac:dyDescent="0.3">
      <c r="A1453" t="s">
        <v>9582</v>
      </c>
      <c r="B1453" t="s">
        <v>6424</v>
      </c>
      <c r="C1453" s="20" t="s">
        <v>7054</v>
      </c>
      <c r="D1453">
        <v>241</v>
      </c>
      <c r="E1453" t="s">
        <v>9616</v>
      </c>
      <c r="F1453">
        <v>8</v>
      </c>
      <c r="G1453" s="28" t="s">
        <v>9590</v>
      </c>
    </row>
    <row r="1454" spans="1:7" ht="28.8" x14ac:dyDescent="0.3">
      <c r="A1454" t="s">
        <v>9582</v>
      </c>
      <c r="B1454" t="s">
        <v>6424</v>
      </c>
      <c r="C1454" s="20" t="s">
        <v>7054</v>
      </c>
      <c r="D1454">
        <v>241</v>
      </c>
      <c r="E1454" t="s">
        <v>9616</v>
      </c>
      <c r="F1454">
        <v>8</v>
      </c>
      <c r="G1454" s="28" t="s">
        <v>9590</v>
      </c>
    </row>
    <row r="1455" spans="1:7" ht="28.8" x14ac:dyDescent="0.3">
      <c r="A1455" t="s">
        <v>9582</v>
      </c>
      <c r="B1455" t="s">
        <v>6424</v>
      </c>
      <c r="C1455" s="20" t="s">
        <v>7054</v>
      </c>
      <c r="D1455">
        <v>241</v>
      </c>
      <c r="E1455" t="s">
        <v>9616</v>
      </c>
      <c r="F1455">
        <v>8</v>
      </c>
      <c r="G1455" s="28" t="s">
        <v>9590</v>
      </c>
    </row>
    <row r="1456" spans="1:7" ht="28.8" x14ac:dyDescent="0.3">
      <c r="A1456" t="s">
        <v>9582</v>
      </c>
      <c r="B1456" t="s">
        <v>11090</v>
      </c>
      <c r="C1456" s="20" t="s">
        <v>11091</v>
      </c>
      <c r="D1456">
        <v>242</v>
      </c>
      <c r="E1456" t="s">
        <v>9589</v>
      </c>
      <c r="F1456">
        <v>45</v>
      </c>
      <c r="G1456" s="28" t="s">
        <v>9590</v>
      </c>
    </row>
    <row r="1457" spans="1:7" ht="28.8" x14ac:dyDescent="0.3">
      <c r="A1457" t="s">
        <v>9582</v>
      </c>
      <c r="B1457" t="s">
        <v>11090</v>
      </c>
      <c r="C1457" s="20" t="s">
        <v>11091</v>
      </c>
      <c r="D1457">
        <v>242</v>
      </c>
      <c r="E1457" t="s">
        <v>9589</v>
      </c>
      <c r="F1457">
        <v>45</v>
      </c>
      <c r="G1457" s="28" t="s">
        <v>9590</v>
      </c>
    </row>
    <row r="1458" spans="1:7" ht="28.8" x14ac:dyDescent="0.3">
      <c r="A1458" t="s">
        <v>9582</v>
      </c>
      <c r="B1458" t="s">
        <v>11090</v>
      </c>
      <c r="C1458" s="20" t="s">
        <v>11091</v>
      </c>
      <c r="D1458">
        <v>242</v>
      </c>
      <c r="E1458" t="s">
        <v>9589</v>
      </c>
      <c r="F1458">
        <v>45</v>
      </c>
      <c r="G1458" s="28" t="s">
        <v>9590</v>
      </c>
    </row>
    <row r="1459" spans="1:7" ht="115.2" x14ac:dyDescent="0.3">
      <c r="A1459" t="s">
        <v>9582</v>
      </c>
      <c r="B1459" t="s">
        <v>11092</v>
      </c>
      <c r="C1459" s="20" t="s">
        <v>11093</v>
      </c>
      <c r="D1459">
        <v>243</v>
      </c>
      <c r="E1459" t="s">
        <v>9585</v>
      </c>
      <c r="F1459">
        <v>5</v>
      </c>
      <c r="G1459" s="28" t="s">
        <v>12648</v>
      </c>
    </row>
    <row r="1460" spans="1:7" ht="115.2" x14ac:dyDescent="0.3">
      <c r="A1460" t="s">
        <v>9582</v>
      </c>
      <c r="B1460" t="s">
        <v>11092</v>
      </c>
      <c r="C1460" s="20" t="s">
        <v>11093</v>
      </c>
      <c r="D1460">
        <v>243</v>
      </c>
      <c r="E1460" t="s">
        <v>9585</v>
      </c>
      <c r="F1460">
        <v>5</v>
      </c>
      <c r="G1460" s="28" t="s">
        <v>12648</v>
      </c>
    </row>
    <row r="1461" spans="1:7" ht="115.2" x14ac:dyDescent="0.3">
      <c r="A1461" t="s">
        <v>9582</v>
      </c>
      <c r="B1461" t="s">
        <v>11092</v>
      </c>
      <c r="C1461" s="20" t="s">
        <v>11093</v>
      </c>
      <c r="D1461">
        <v>243</v>
      </c>
      <c r="E1461" t="s">
        <v>9585</v>
      </c>
      <c r="F1461">
        <v>5</v>
      </c>
      <c r="G1461" s="28" t="s">
        <v>12648</v>
      </c>
    </row>
    <row r="1462" spans="1:7" ht="72" x14ac:dyDescent="0.3">
      <c r="A1462" t="s">
        <v>9582</v>
      </c>
      <c r="B1462" t="s">
        <v>11094</v>
      </c>
      <c r="C1462" s="20" t="s">
        <v>11095</v>
      </c>
      <c r="D1462">
        <v>1047</v>
      </c>
      <c r="E1462" t="s">
        <v>9585</v>
      </c>
      <c r="F1462">
        <v>5</v>
      </c>
      <c r="G1462" s="28" t="s">
        <v>9586</v>
      </c>
    </row>
    <row r="1463" spans="1:7" ht="115.2" x14ac:dyDescent="0.3">
      <c r="A1463" t="s">
        <v>9582</v>
      </c>
      <c r="B1463" t="s">
        <v>11096</v>
      </c>
      <c r="C1463" s="20" t="s">
        <v>11097</v>
      </c>
      <c r="D1463">
        <v>718</v>
      </c>
      <c r="E1463" t="s">
        <v>9589</v>
      </c>
      <c r="F1463">
        <v>60</v>
      </c>
      <c r="G1463" s="28" t="s">
        <v>9590</v>
      </c>
    </row>
    <row r="1464" spans="1:7" ht="115.2" x14ac:dyDescent="0.3">
      <c r="A1464" t="s">
        <v>9582</v>
      </c>
      <c r="B1464" t="s">
        <v>11096</v>
      </c>
      <c r="C1464" s="20" t="s">
        <v>11097</v>
      </c>
      <c r="D1464">
        <v>718</v>
      </c>
      <c r="E1464" t="s">
        <v>9589</v>
      </c>
      <c r="F1464">
        <v>60</v>
      </c>
      <c r="G1464" s="28" t="s">
        <v>9590</v>
      </c>
    </row>
    <row r="1465" spans="1:7" ht="115.2" x14ac:dyDescent="0.3">
      <c r="A1465" t="s">
        <v>9582</v>
      </c>
      <c r="B1465" t="s">
        <v>11096</v>
      </c>
      <c r="C1465" s="20" t="s">
        <v>11097</v>
      </c>
      <c r="D1465">
        <v>718</v>
      </c>
      <c r="E1465" t="s">
        <v>9589</v>
      </c>
      <c r="F1465">
        <v>60</v>
      </c>
      <c r="G1465" s="28" t="s">
        <v>9590</v>
      </c>
    </row>
    <row r="1466" spans="1:7" ht="100.8" x14ac:dyDescent="0.3">
      <c r="A1466" t="s">
        <v>9582</v>
      </c>
      <c r="B1466" t="s">
        <v>11098</v>
      </c>
      <c r="C1466" s="20" t="s">
        <v>11099</v>
      </c>
      <c r="D1466">
        <v>244</v>
      </c>
      <c r="E1466" t="s">
        <v>9585</v>
      </c>
      <c r="F1466">
        <v>5</v>
      </c>
      <c r="G1466" s="28" t="s">
        <v>12649</v>
      </c>
    </row>
    <row r="1467" spans="1:7" ht="172.8" x14ac:dyDescent="0.3">
      <c r="A1467" t="s">
        <v>9582</v>
      </c>
      <c r="B1467" t="s">
        <v>11100</v>
      </c>
      <c r="C1467" s="20" t="s">
        <v>11101</v>
      </c>
      <c r="D1467">
        <v>245</v>
      </c>
      <c r="E1467" t="s">
        <v>9585</v>
      </c>
      <c r="F1467">
        <v>5</v>
      </c>
      <c r="G1467" s="28" t="s">
        <v>12650</v>
      </c>
    </row>
    <row r="1468" spans="1:7" ht="28.8" x14ac:dyDescent="0.3">
      <c r="A1468" t="s">
        <v>9582</v>
      </c>
      <c r="B1468" t="s">
        <v>11102</v>
      </c>
      <c r="C1468" s="20" t="s">
        <v>11103</v>
      </c>
      <c r="D1468">
        <v>1502</v>
      </c>
      <c r="E1468" t="s">
        <v>9616</v>
      </c>
      <c r="F1468">
        <v>8</v>
      </c>
      <c r="G1468" s="28" t="s">
        <v>9590</v>
      </c>
    </row>
    <row r="1469" spans="1:7" ht="28.8" x14ac:dyDescent="0.3">
      <c r="A1469" t="s">
        <v>9582</v>
      </c>
      <c r="B1469" t="s">
        <v>11102</v>
      </c>
      <c r="C1469" s="20" t="s">
        <v>11103</v>
      </c>
      <c r="D1469">
        <v>1502</v>
      </c>
      <c r="E1469" t="s">
        <v>9616</v>
      </c>
      <c r="F1469">
        <v>8</v>
      </c>
      <c r="G1469" s="28" t="s">
        <v>9590</v>
      </c>
    </row>
    <row r="1470" spans="1:7" ht="28.8" x14ac:dyDescent="0.3">
      <c r="A1470" t="s">
        <v>9582</v>
      </c>
      <c r="B1470" t="s">
        <v>11102</v>
      </c>
      <c r="C1470" s="20" t="s">
        <v>11103</v>
      </c>
      <c r="D1470">
        <v>1502</v>
      </c>
      <c r="E1470" t="s">
        <v>9616</v>
      </c>
      <c r="F1470">
        <v>8</v>
      </c>
      <c r="G1470" s="28" t="s">
        <v>9590</v>
      </c>
    </row>
    <row r="1471" spans="1:7" ht="28.8" x14ac:dyDescent="0.3">
      <c r="A1471" t="s">
        <v>9582</v>
      </c>
      <c r="B1471" t="s">
        <v>11102</v>
      </c>
      <c r="C1471" s="20" t="s">
        <v>11103</v>
      </c>
      <c r="D1471">
        <v>1502</v>
      </c>
      <c r="E1471" t="s">
        <v>9616</v>
      </c>
      <c r="F1471">
        <v>8</v>
      </c>
      <c r="G1471" s="28" t="s">
        <v>9590</v>
      </c>
    </row>
    <row r="1472" spans="1:7" ht="43.2" x14ac:dyDescent="0.3">
      <c r="A1472" t="s">
        <v>9582</v>
      </c>
      <c r="B1472" t="s">
        <v>11104</v>
      </c>
      <c r="C1472" s="20" t="s">
        <v>11105</v>
      </c>
      <c r="D1472">
        <v>989</v>
      </c>
      <c r="E1472" t="s">
        <v>9616</v>
      </c>
      <c r="F1472">
        <v>8</v>
      </c>
      <c r="G1472" s="28" t="s">
        <v>9590</v>
      </c>
    </row>
    <row r="1473" spans="1:7" ht="57.6" x14ac:dyDescent="0.3">
      <c r="A1473" t="s">
        <v>9582</v>
      </c>
      <c r="B1473" t="s">
        <v>11106</v>
      </c>
      <c r="C1473" s="20" t="s">
        <v>11107</v>
      </c>
      <c r="D1473">
        <v>465</v>
      </c>
      <c r="E1473" t="s">
        <v>9589</v>
      </c>
      <c r="F1473">
        <v>35</v>
      </c>
      <c r="G1473" s="28" t="s">
        <v>9590</v>
      </c>
    </row>
    <row r="1474" spans="1:7" ht="72" x14ac:dyDescent="0.3">
      <c r="A1474" t="s">
        <v>9582</v>
      </c>
      <c r="B1474" t="s">
        <v>11108</v>
      </c>
      <c r="C1474" s="20" t="s">
        <v>11109</v>
      </c>
      <c r="D1474">
        <v>463</v>
      </c>
      <c r="E1474" t="s">
        <v>9589</v>
      </c>
      <c r="F1474">
        <v>60</v>
      </c>
      <c r="G1474" s="28" t="s">
        <v>9590</v>
      </c>
    </row>
    <row r="1475" spans="1:7" ht="43.2" x14ac:dyDescent="0.3">
      <c r="A1475" t="s">
        <v>9582</v>
      </c>
      <c r="B1475" t="s">
        <v>11110</v>
      </c>
      <c r="C1475" s="20" t="s">
        <v>11111</v>
      </c>
      <c r="D1475">
        <v>464</v>
      </c>
      <c r="E1475" t="s">
        <v>9589</v>
      </c>
      <c r="F1475">
        <v>45</v>
      </c>
      <c r="G1475" s="28" t="s">
        <v>9590</v>
      </c>
    </row>
    <row r="1476" spans="1:7" ht="144" x14ac:dyDescent="0.3">
      <c r="A1476" t="s">
        <v>9582</v>
      </c>
      <c r="B1476" t="s">
        <v>11112</v>
      </c>
      <c r="C1476" s="20" t="s">
        <v>11113</v>
      </c>
      <c r="D1476">
        <v>652</v>
      </c>
      <c r="E1476" t="s">
        <v>9585</v>
      </c>
      <c r="F1476">
        <v>5</v>
      </c>
      <c r="G1476" s="28" t="s">
        <v>12651</v>
      </c>
    </row>
    <row r="1477" spans="1:7" ht="28.8" x14ac:dyDescent="0.3">
      <c r="A1477" t="s">
        <v>9582</v>
      </c>
      <c r="B1477" t="s">
        <v>11114</v>
      </c>
      <c r="C1477" s="20" t="s">
        <v>11115</v>
      </c>
      <c r="D1477">
        <v>597</v>
      </c>
      <c r="E1477" t="s">
        <v>9589</v>
      </c>
      <c r="F1477">
        <v>15</v>
      </c>
      <c r="G1477" s="28" t="s">
        <v>9590</v>
      </c>
    </row>
    <row r="1478" spans="1:7" ht="72" x14ac:dyDescent="0.3">
      <c r="A1478" t="s">
        <v>9582</v>
      </c>
      <c r="B1478" t="s">
        <v>11116</v>
      </c>
      <c r="C1478" s="20" t="s">
        <v>11117</v>
      </c>
      <c r="D1478">
        <v>1470</v>
      </c>
      <c r="E1478" t="s">
        <v>9585</v>
      </c>
      <c r="F1478">
        <v>5</v>
      </c>
      <c r="G1478" s="28" t="s">
        <v>9586</v>
      </c>
    </row>
    <row r="1479" spans="1:7" ht="57.6" x14ac:dyDescent="0.3">
      <c r="A1479" t="s">
        <v>9582</v>
      </c>
      <c r="B1479" t="s">
        <v>11118</v>
      </c>
      <c r="C1479" s="20" t="s">
        <v>11119</v>
      </c>
      <c r="D1479">
        <v>578</v>
      </c>
      <c r="E1479" t="s">
        <v>9589</v>
      </c>
      <c r="F1479">
        <v>80</v>
      </c>
      <c r="G1479" s="28" t="s">
        <v>9590</v>
      </c>
    </row>
    <row r="1480" spans="1:7" ht="28.8" x14ac:dyDescent="0.3">
      <c r="A1480" t="s">
        <v>9582</v>
      </c>
      <c r="B1480" t="s">
        <v>11120</v>
      </c>
      <c r="C1480" s="20" t="s">
        <v>11121</v>
      </c>
      <c r="D1480">
        <v>246</v>
      </c>
      <c r="E1480" t="s">
        <v>9589</v>
      </c>
      <c r="F1480">
        <v>35</v>
      </c>
      <c r="G1480" s="28" t="s">
        <v>9590</v>
      </c>
    </row>
    <row r="1481" spans="1:7" ht="28.8" x14ac:dyDescent="0.3">
      <c r="A1481" t="s">
        <v>9582</v>
      </c>
      <c r="B1481" t="s">
        <v>11120</v>
      </c>
      <c r="C1481" s="20" t="s">
        <v>11121</v>
      </c>
      <c r="D1481">
        <v>246</v>
      </c>
      <c r="E1481" t="s">
        <v>9589</v>
      </c>
      <c r="F1481">
        <v>35</v>
      </c>
      <c r="G1481" s="28" t="s">
        <v>9590</v>
      </c>
    </row>
    <row r="1482" spans="1:7" ht="28.8" x14ac:dyDescent="0.3">
      <c r="A1482" t="s">
        <v>9582</v>
      </c>
      <c r="B1482" t="s">
        <v>11122</v>
      </c>
      <c r="C1482" s="20" t="s">
        <v>11123</v>
      </c>
      <c r="D1482">
        <v>1197</v>
      </c>
      <c r="E1482" t="s">
        <v>9616</v>
      </c>
      <c r="F1482">
        <v>8</v>
      </c>
      <c r="G1482" s="28" t="s">
        <v>9590</v>
      </c>
    </row>
    <row r="1483" spans="1:7" ht="28.8" x14ac:dyDescent="0.3">
      <c r="A1483" t="s">
        <v>9582</v>
      </c>
      <c r="B1483" t="s">
        <v>11124</v>
      </c>
      <c r="C1483" s="20" t="s">
        <v>11125</v>
      </c>
      <c r="D1483">
        <v>247</v>
      </c>
      <c r="E1483" t="s">
        <v>9633</v>
      </c>
      <c r="F1483">
        <v>6.2</v>
      </c>
      <c r="G1483" s="28" t="s">
        <v>9590</v>
      </c>
    </row>
    <row r="1484" spans="1:7" ht="28.8" x14ac:dyDescent="0.3">
      <c r="A1484" t="s">
        <v>9582</v>
      </c>
      <c r="B1484" t="s">
        <v>11124</v>
      </c>
      <c r="C1484" s="20" t="s">
        <v>11125</v>
      </c>
      <c r="D1484">
        <v>247</v>
      </c>
      <c r="E1484" t="s">
        <v>9633</v>
      </c>
      <c r="F1484">
        <v>6.2</v>
      </c>
      <c r="G1484" s="28" t="s">
        <v>9590</v>
      </c>
    </row>
    <row r="1485" spans="1:7" ht="28.8" x14ac:dyDescent="0.3">
      <c r="A1485" t="s">
        <v>9582</v>
      </c>
      <c r="B1485" t="s">
        <v>11126</v>
      </c>
      <c r="C1485" s="20" t="s">
        <v>11127</v>
      </c>
      <c r="D1485">
        <v>248</v>
      </c>
      <c r="E1485" t="s">
        <v>9589</v>
      </c>
      <c r="F1485">
        <v>60</v>
      </c>
      <c r="G1485" s="28" t="s">
        <v>9590</v>
      </c>
    </row>
    <row r="1486" spans="1:7" ht="28.8" x14ac:dyDescent="0.3">
      <c r="A1486" t="s">
        <v>9582</v>
      </c>
      <c r="B1486" t="s">
        <v>11126</v>
      </c>
      <c r="C1486" s="20" t="s">
        <v>11127</v>
      </c>
      <c r="D1486">
        <v>248</v>
      </c>
      <c r="E1486" t="s">
        <v>9589</v>
      </c>
      <c r="F1486">
        <v>60</v>
      </c>
      <c r="G1486" s="28" t="s">
        <v>9590</v>
      </c>
    </row>
    <row r="1487" spans="1:7" ht="43.2" x14ac:dyDescent="0.3">
      <c r="A1487" t="s">
        <v>9582</v>
      </c>
      <c r="B1487" t="s">
        <v>11128</v>
      </c>
      <c r="C1487" s="20" t="s">
        <v>11129</v>
      </c>
      <c r="D1487">
        <v>1198</v>
      </c>
      <c r="E1487" t="s">
        <v>9616</v>
      </c>
      <c r="F1487">
        <v>8</v>
      </c>
      <c r="G1487" s="28" t="s">
        <v>9590</v>
      </c>
    </row>
    <row r="1488" spans="1:7" ht="57.6" x14ac:dyDescent="0.3">
      <c r="A1488" t="s">
        <v>9582</v>
      </c>
      <c r="B1488" t="s">
        <v>11130</v>
      </c>
      <c r="C1488" s="20" t="s">
        <v>11131</v>
      </c>
      <c r="D1488">
        <v>249</v>
      </c>
      <c r="E1488" t="s">
        <v>9589</v>
      </c>
      <c r="F1488">
        <v>45</v>
      </c>
      <c r="G1488" s="28" t="s">
        <v>9590</v>
      </c>
    </row>
    <row r="1489" spans="1:7" ht="57.6" x14ac:dyDescent="0.3">
      <c r="A1489" t="s">
        <v>9582</v>
      </c>
      <c r="B1489" t="s">
        <v>11130</v>
      </c>
      <c r="C1489" s="20" t="s">
        <v>11131</v>
      </c>
      <c r="D1489">
        <v>249</v>
      </c>
      <c r="E1489" t="s">
        <v>9589</v>
      </c>
      <c r="F1489">
        <v>45</v>
      </c>
      <c r="G1489" s="28" t="s">
        <v>9590</v>
      </c>
    </row>
    <row r="1490" spans="1:7" ht="172.8" x14ac:dyDescent="0.3">
      <c r="A1490" t="s">
        <v>9582</v>
      </c>
      <c r="B1490" t="s">
        <v>11132</v>
      </c>
      <c r="C1490" s="20" t="s">
        <v>11133</v>
      </c>
      <c r="D1490">
        <v>250</v>
      </c>
      <c r="E1490" t="s">
        <v>9585</v>
      </c>
      <c r="F1490">
        <v>5</v>
      </c>
      <c r="G1490" s="28" t="s">
        <v>12652</v>
      </c>
    </row>
    <row r="1491" spans="1:7" ht="172.8" x14ac:dyDescent="0.3">
      <c r="A1491" t="s">
        <v>9582</v>
      </c>
      <c r="B1491" t="s">
        <v>11132</v>
      </c>
      <c r="C1491" s="20" t="s">
        <v>11133</v>
      </c>
      <c r="D1491">
        <v>250</v>
      </c>
      <c r="E1491" t="s">
        <v>9585</v>
      </c>
      <c r="F1491">
        <v>5</v>
      </c>
      <c r="G1491" s="28" t="s">
        <v>12652</v>
      </c>
    </row>
    <row r="1492" spans="1:7" ht="28.8" x14ac:dyDescent="0.3">
      <c r="A1492" t="s">
        <v>9582</v>
      </c>
      <c r="B1492" t="s">
        <v>11134</v>
      </c>
      <c r="C1492" s="20" t="s">
        <v>11135</v>
      </c>
      <c r="D1492">
        <v>251</v>
      </c>
      <c r="E1492" t="s">
        <v>9589</v>
      </c>
      <c r="F1492">
        <v>60</v>
      </c>
      <c r="G1492" s="28" t="s">
        <v>9590</v>
      </c>
    </row>
    <row r="1493" spans="1:7" ht="28.8" x14ac:dyDescent="0.3">
      <c r="A1493" t="s">
        <v>9582</v>
      </c>
      <c r="B1493" t="s">
        <v>11134</v>
      </c>
      <c r="C1493" s="20" t="s">
        <v>11135</v>
      </c>
      <c r="D1493">
        <v>251</v>
      </c>
      <c r="E1493" t="s">
        <v>9589</v>
      </c>
      <c r="F1493">
        <v>60</v>
      </c>
      <c r="G1493" s="28" t="s">
        <v>9590</v>
      </c>
    </row>
    <row r="1494" spans="1:7" ht="28.8" x14ac:dyDescent="0.3">
      <c r="A1494" t="s">
        <v>9582</v>
      </c>
      <c r="B1494" t="s">
        <v>11136</v>
      </c>
      <c r="C1494" s="20" t="s">
        <v>11137</v>
      </c>
      <c r="D1494">
        <v>252</v>
      </c>
      <c r="E1494" t="s">
        <v>9589</v>
      </c>
      <c r="F1494">
        <v>45</v>
      </c>
      <c r="G1494" s="28" t="s">
        <v>9590</v>
      </c>
    </row>
    <row r="1495" spans="1:7" ht="43.2" x14ac:dyDescent="0.3">
      <c r="A1495" t="s">
        <v>9582</v>
      </c>
      <c r="B1495" t="s">
        <v>11138</v>
      </c>
      <c r="C1495" s="20" t="s">
        <v>11139</v>
      </c>
      <c r="D1495">
        <v>253</v>
      </c>
      <c r="E1495" t="s">
        <v>9589</v>
      </c>
      <c r="F1495">
        <v>45</v>
      </c>
      <c r="G1495" s="28" t="s">
        <v>9590</v>
      </c>
    </row>
    <row r="1496" spans="1:7" ht="43.2" x14ac:dyDescent="0.3">
      <c r="A1496" t="s">
        <v>9582</v>
      </c>
      <c r="B1496" t="s">
        <v>11138</v>
      </c>
      <c r="C1496" s="20" t="s">
        <v>11139</v>
      </c>
      <c r="D1496">
        <v>253</v>
      </c>
      <c r="E1496" t="s">
        <v>9589</v>
      </c>
      <c r="F1496">
        <v>45</v>
      </c>
      <c r="G1496" s="28" t="s">
        <v>9590</v>
      </c>
    </row>
    <row r="1497" spans="1:7" ht="28.8" x14ac:dyDescent="0.3">
      <c r="A1497" t="s">
        <v>9582</v>
      </c>
      <c r="B1497" t="s">
        <v>11140</v>
      </c>
      <c r="C1497" s="20" t="s">
        <v>11141</v>
      </c>
      <c r="D1497">
        <v>1196</v>
      </c>
      <c r="E1497" t="s">
        <v>9589</v>
      </c>
      <c r="F1497">
        <v>60</v>
      </c>
      <c r="G1497" s="28" t="s">
        <v>9590</v>
      </c>
    </row>
    <row r="1498" spans="1:7" ht="158.4" x14ac:dyDescent="0.3">
      <c r="A1498" t="s">
        <v>9582</v>
      </c>
      <c r="B1498" t="s">
        <v>11142</v>
      </c>
      <c r="C1498" s="20" t="s">
        <v>11143</v>
      </c>
      <c r="D1498">
        <v>254</v>
      </c>
      <c r="E1498" t="s">
        <v>9585</v>
      </c>
      <c r="F1498">
        <v>5</v>
      </c>
      <c r="G1498" s="28" t="s">
        <v>12653</v>
      </c>
    </row>
    <row r="1499" spans="1:7" ht="115.2" x14ac:dyDescent="0.3">
      <c r="A1499" t="s">
        <v>9582</v>
      </c>
      <c r="B1499" t="s">
        <v>11144</v>
      </c>
      <c r="C1499" s="20" t="s">
        <v>11145</v>
      </c>
      <c r="D1499">
        <v>1577</v>
      </c>
      <c r="E1499" t="s">
        <v>9585</v>
      </c>
      <c r="F1499">
        <v>5</v>
      </c>
      <c r="G1499" s="28" t="s">
        <v>12654</v>
      </c>
    </row>
    <row r="1500" spans="1:7" ht="28.8" x14ac:dyDescent="0.3">
      <c r="A1500" t="s">
        <v>9582</v>
      </c>
      <c r="B1500" t="s">
        <v>11146</v>
      </c>
      <c r="C1500" s="20" t="s">
        <v>11147</v>
      </c>
      <c r="D1500">
        <v>1540</v>
      </c>
      <c r="E1500" t="s">
        <v>9589</v>
      </c>
      <c r="F1500">
        <v>80</v>
      </c>
      <c r="G1500" s="28" t="s">
        <v>9590</v>
      </c>
    </row>
    <row r="1501" spans="1:7" ht="158.4" x14ac:dyDescent="0.3">
      <c r="A1501" t="s">
        <v>9582</v>
      </c>
      <c r="B1501" t="s">
        <v>11148</v>
      </c>
      <c r="C1501" s="20" t="s">
        <v>11149</v>
      </c>
      <c r="D1501">
        <v>900</v>
      </c>
      <c r="E1501" t="s">
        <v>9585</v>
      </c>
      <c r="F1501">
        <v>5</v>
      </c>
      <c r="G1501" s="28" t="s">
        <v>12655</v>
      </c>
    </row>
    <row r="1502" spans="1:7" ht="100.8" x14ac:dyDescent="0.3">
      <c r="A1502" t="s">
        <v>9582</v>
      </c>
      <c r="B1502" t="s">
        <v>11150</v>
      </c>
      <c r="C1502" s="20" t="s">
        <v>11151</v>
      </c>
      <c r="D1502">
        <v>751</v>
      </c>
      <c r="E1502" t="s">
        <v>9589</v>
      </c>
      <c r="F1502">
        <v>80</v>
      </c>
      <c r="G1502" s="28" t="s">
        <v>9590</v>
      </c>
    </row>
    <row r="1503" spans="1:7" ht="72" x14ac:dyDescent="0.3">
      <c r="A1503" t="s">
        <v>9582</v>
      </c>
      <c r="B1503" t="s">
        <v>11152</v>
      </c>
      <c r="C1503" s="20" t="s">
        <v>11153</v>
      </c>
      <c r="D1503">
        <v>1148</v>
      </c>
      <c r="E1503" t="s">
        <v>9589</v>
      </c>
      <c r="F1503">
        <v>45</v>
      </c>
      <c r="G1503" s="28" t="s">
        <v>9590</v>
      </c>
    </row>
    <row r="1504" spans="1:7" ht="86.4" x14ac:dyDescent="0.3">
      <c r="A1504" t="s">
        <v>9582</v>
      </c>
      <c r="B1504" t="s">
        <v>11154</v>
      </c>
      <c r="C1504" s="20" t="s">
        <v>11155</v>
      </c>
      <c r="D1504">
        <v>1098</v>
      </c>
      <c r="E1504" t="s">
        <v>9585</v>
      </c>
      <c r="F1504">
        <v>5</v>
      </c>
      <c r="G1504" s="28" t="s">
        <v>12656</v>
      </c>
    </row>
    <row r="1505" spans="1:7" ht="86.4" x14ac:dyDescent="0.3">
      <c r="A1505" t="s">
        <v>9582</v>
      </c>
      <c r="B1505" t="s">
        <v>11154</v>
      </c>
      <c r="C1505" s="20" t="s">
        <v>11155</v>
      </c>
      <c r="D1505">
        <v>1098</v>
      </c>
      <c r="E1505" t="s">
        <v>9585</v>
      </c>
      <c r="F1505">
        <v>5</v>
      </c>
      <c r="G1505" s="28" t="s">
        <v>12656</v>
      </c>
    </row>
    <row r="1506" spans="1:7" ht="100.8" x14ac:dyDescent="0.3">
      <c r="A1506" t="s">
        <v>9582</v>
      </c>
      <c r="B1506" t="s">
        <v>11156</v>
      </c>
      <c r="C1506" s="20" t="s">
        <v>11157</v>
      </c>
      <c r="D1506">
        <v>500</v>
      </c>
      <c r="E1506" t="s">
        <v>9633</v>
      </c>
      <c r="F1506">
        <v>6.2</v>
      </c>
      <c r="G1506" s="28" t="s">
        <v>9590</v>
      </c>
    </row>
    <row r="1507" spans="1:7" ht="43.2" x14ac:dyDescent="0.3">
      <c r="A1507" t="s">
        <v>9582</v>
      </c>
      <c r="B1507" t="s">
        <v>11158</v>
      </c>
      <c r="C1507" s="20" t="s">
        <v>11159</v>
      </c>
      <c r="D1507">
        <v>1147</v>
      </c>
      <c r="E1507" t="s">
        <v>9585</v>
      </c>
      <c r="F1507">
        <v>5</v>
      </c>
      <c r="G1507" s="28" t="s">
        <v>9586</v>
      </c>
    </row>
    <row r="1508" spans="1:7" ht="28.8" x14ac:dyDescent="0.3">
      <c r="A1508" t="s">
        <v>9582</v>
      </c>
      <c r="B1508" t="s">
        <v>11160</v>
      </c>
      <c r="C1508" s="20" t="s">
        <v>11161</v>
      </c>
      <c r="D1508">
        <v>1814</v>
      </c>
      <c r="E1508" t="s">
        <v>9589</v>
      </c>
      <c r="F1508">
        <v>20</v>
      </c>
      <c r="G1508" s="28" t="s">
        <v>9590</v>
      </c>
    </row>
    <row r="1509" spans="1:7" ht="28.8" x14ac:dyDescent="0.3">
      <c r="A1509" t="s">
        <v>9582</v>
      </c>
      <c r="B1509" t="s">
        <v>11162</v>
      </c>
      <c r="C1509" s="20" t="s">
        <v>11163</v>
      </c>
      <c r="D1509">
        <v>1815</v>
      </c>
      <c r="E1509" t="s">
        <v>9589</v>
      </c>
      <c r="F1509">
        <v>20</v>
      </c>
      <c r="G1509" s="28" t="s">
        <v>9590</v>
      </c>
    </row>
    <row r="1510" spans="1:7" ht="28.8" x14ac:dyDescent="0.3">
      <c r="A1510" t="s">
        <v>9582</v>
      </c>
      <c r="B1510" t="s">
        <v>11164</v>
      </c>
      <c r="C1510" s="20" t="s">
        <v>11165</v>
      </c>
      <c r="D1510">
        <v>1816</v>
      </c>
      <c r="E1510" t="s">
        <v>9589</v>
      </c>
      <c r="F1510">
        <v>20</v>
      </c>
      <c r="G1510" s="28" t="s">
        <v>9590</v>
      </c>
    </row>
    <row r="1511" spans="1:7" ht="57.6" x14ac:dyDescent="0.3">
      <c r="A1511" t="s">
        <v>9582</v>
      </c>
      <c r="B1511" t="s">
        <v>11166</v>
      </c>
      <c r="C1511" s="20" t="s">
        <v>11167</v>
      </c>
      <c r="D1511">
        <v>481</v>
      </c>
      <c r="E1511" t="s">
        <v>9589</v>
      </c>
      <c r="F1511">
        <v>80</v>
      </c>
      <c r="G1511" s="28" t="s">
        <v>9590</v>
      </c>
    </row>
    <row r="1512" spans="1:7" ht="57.6" x14ac:dyDescent="0.3">
      <c r="A1512" t="s">
        <v>9582</v>
      </c>
      <c r="B1512" t="s">
        <v>11166</v>
      </c>
      <c r="C1512" s="20" t="s">
        <v>11167</v>
      </c>
      <c r="D1512">
        <v>481</v>
      </c>
      <c r="E1512" t="s">
        <v>9589</v>
      </c>
      <c r="F1512">
        <v>80</v>
      </c>
      <c r="G1512" s="28" t="s">
        <v>9590</v>
      </c>
    </row>
    <row r="1513" spans="1:7" ht="57.6" x14ac:dyDescent="0.3">
      <c r="A1513" t="s">
        <v>9582</v>
      </c>
      <c r="B1513" t="s">
        <v>11168</v>
      </c>
      <c r="C1513" s="20" t="s">
        <v>11169</v>
      </c>
      <c r="D1513">
        <v>482</v>
      </c>
      <c r="E1513" t="s">
        <v>9589</v>
      </c>
      <c r="F1513">
        <v>80</v>
      </c>
      <c r="G1513" s="28" t="s">
        <v>9590</v>
      </c>
    </row>
    <row r="1514" spans="1:7" ht="57.6" x14ac:dyDescent="0.3">
      <c r="A1514" t="s">
        <v>9582</v>
      </c>
      <c r="B1514" t="s">
        <v>11168</v>
      </c>
      <c r="C1514" s="20" t="s">
        <v>11169</v>
      </c>
      <c r="D1514">
        <v>482</v>
      </c>
      <c r="E1514" t="s">
        <v>9589</v>
      </c>
      <c r="F1514">
        <v>80</v>
      </c>
      <c r="G1514" s="28" t="s">
        <v>9590</v>
      </c>
    </row>
    <row r="1515" spans="1:7" ht="72" x14ac:dyDescent="0.3">
      <c r="A1515" t="s">
        <v>9582</v>
      </c>
      <c r="B1515" t="s">
        <v>11170</v>
      </c>
      <c r="C1515" s="20" t="s">
        <v>11171</v>
      </c>
      <c r="D1515">
        <v>480</v>
      </c>
      <c r="E1515" t="s">
        <v>9589</v>
      </c>
      <c r="F1515">
        <v>24</v>
      </c>
      <c r="G1515" s="28" t="s">
        <v>9590</v>
      </c>
    </row>
    <row r="1516" spans="1:7" ht="72" x14ac:dyDescent="0.3">
      <c r="A1516" t="s">
        <v>9582</v>
      </c>
      <c r="B1516" t="s">
        <v>11170</v>
      </c>
      <c r="C1516" s="20" t="s">
        <v>11171</v>
      </c>
      <c r="D1516">
        <v>480</v>
      </c>
      <c r="E1516" t="s">
        <v>9589</v>
      </c>
      <c r="F1516">
        <v>24</v>
      </c>
      <c r="G1516" s="28" t="s">
        <v>9590</v>
      </c>
    </row>
    <row r="1517" spans="1:7" ht="43.2" x14ac:dyDescent="0.3">
      <c r="A1517" t="s">
        <v>9582</v>
      </c>
      <c r="B1517" t="s">
        <v>11172</v>
      </c>
      <c r="C1517" s="20" t="s">
        <v>11173</v>
      </c>
      <c r="D1517">
        <v>961</v>
      </c>
      <c r="E1517" t="s">
        <v>9589</v>
      </c>
      <c r="F1517">
        <v>80</v>
      </c>
      <c r="G1517" s="28" t="s">
        <v>9590</v>
      </c>
    </row>
    <row r="1518" spans="1:7" ht="43.2" x14ac:dyDescent="0.3">
      <c r="A1518" t="s">
        <v>9582</v>
      </c>
      <c r="B1518" t="s">
        <v>11174</v>
      </c>
      <c r="C1518" s="20" t="s">
        <v>11175</v>
      </c>
      <c r="D1518">
        <v>1134</v>
      </c>
      <c r="E1518" t="s">
        <v>9589</v>
      </c>
      <c r="F1518">
        <v>30</v>
      </c>
      <c r="G1518" s="28" t="s">
        <v>9590</v>
      </c>
    </row>
    <row r="1519" spans="1:7" ht="43.2" x14ac:dyDescent="0.3">
      <c r="A1519" t="s">
        <v>9582</v>
      </c>
      <c r="B1519" t="s">
        <v>11176</v>
      </c>
      <c r="C1519" s="20" t="s">
        <v>11177</v>
      </c>
      <c r="D1519">
        <v>865</v>
      </c>
      <c r="E1519" t="s">
        <v>9589</v>
      </c>
      <c r="F1519">
        <v>60</v>
      </c>
      <c r="G1519" s="28" t="s">
        <v>9590</v>
      </c>
    </row>
    <row r="1520" spans="1:7" ht="43.2" x14ac:dyDescent="0.3">
      <c r="A1520" t="s">
        <v>9582</v>
      </c>
      <c r="B1520" t="s">
        <v>11178</v>
      </c>
      <c r="C1520" s="20" t="s">
        <v>11179</v>
      </c>
      <c r="D1520">
        <v>1065</v>
      </c>
      <c r="E1520" t="s">
        <v>9616</v>
      </c>
      <c r="F1520">
        <v>8</v>
      </c>
      <c r="G1520" s="28" t="s">
        <v>9590</v>
      </c>
    </row>
    <row r="1521" spans="1:7" ht="86.4" x14ac:dyDescent="0.3">
      <c r="A1521" t="s">
        <v>9582</v>
      </c>
      <c r="B1521" t="s">
        <v>11180</v>
      </c>
      <c r="C1521" s="20" t="s">
        <v>11181</v>
      </c>
      <c r="D1521">
        <v>1067</v>
      </c>
      <c r="E1521" t="s">
        <v>9585</v>
      </c>
      <c r="F1521">
        <v>5</v>
      </c>
      <c r="G1521" s="28" t="s">
        <v>12657</v>
      </c>
    </row>
    <row r="1522" spans="1:7" ht="43.2" x14ac:dyDescent="0.3">
      <c r="A1522" t="s">
        <v>9582</v>
      </c>
      <c r="B1522" t="s">
        <v>11182</v>
      </c>
      <c r="C1522" s="20" t="s">
        <v>11183</v>
      </c>
      <c r="D1522">
        <v>1066</v>
      </c>
      <c r="E1522" t="s">
        <v>9616</v>
      </c>
      <c r="F1522">
        <v>8</v>
      </c>
      <c r="G1522" s="28" t="s">
        <v>9590</v>
      </c>
    </row>
    <row r="1523" spans="1:7" ht="72" x14ac:dyDescent="0.3">
      <c r="A1523" t="s">
        <v>9582</v>
      </c>
      <c r="B1523" t="s">
        <v>11184</v>
      </c>
      <c r="C1523" s="20" t="s">
        <v>11185</v>
      </c>
      <c r="D1523">
        <v>1068</v>
      </c>
      <c r="E1523" t="s">
        <v>9585</v>
      </c>
      <c r="F1523">
        <v>5</v>
      </c>
      <c r="G1523" s="28" t="s">
        <v>12658</v>
      </c>
    </row>
    <row r="1524" spans="1:7" ht="158.4" x14ac:dyDescent="0.3">
      <c r="A1524" t="s">
        <v>9582</v>
      </c>
      <c r="B1524" t="s">
        <v>11186</v>
      </c>
      <c r="C1524" s="20" t="s">
        <v>11187</v>
      </c>
      <c r="D1524">
        <v>1062</v>
      </c>
      <c r="E1524" t="s">
        <v>9585</v>
      </c>
      <c r="F1524">
        <v>5</v>
      </c>
      <c r="G1524" s="28" t="s">
        <v>12659</v>
      </c>
    </row>
    <row r="1525" spans="1:7" ht="144" x14ac:dyDescent="0.3">
      <c r="A1525" t="s">
        <v>9582</v>
      </c>
      <c r="B1525" t="s">
        <v>11188</v>
      </c>
      <c r="C1525" s="20" t="s">
        <v>11189</v>
      </c>
      <c r="D1525">
        <v>749</v>
      </c>
      <c r="E1525" t="s">
        <v>9589</v>
      </c>
      <c r="F1525">
        <v>80</v>
      </c>
      <c r="G1525" s="28" t="s">
        <v>9590</v>
      </c>
    </row>
    <row r="1526" spans="1:7" ht="100.8" x14ac:dyDescent="0.3">
      <c r="A1526" t="s">
        <v>9582</v>
      </c>
      <c r="B1526" t="s">
        <v>11190</v>
      </c>
      <c r="C1526" s="20" t="s">
        <v>11191</v>
      </c>
      <c r="D1526">
        <v>255</v>
      </c>
      <c r="E1526" t="s">
        <v>9585</v>
      </c>
      <c r="F1526">
        <v>5</v>
      </c>
      <c r="G1526" s="28" t="s">
        <v>12660</v>
      </c>
    </row>
    <row r="1527" spans="1:7" ht="100.8" x14ac:dyDescent="0.3">
      <c r="A1527" t="s">
        <v>9582</v>
      </c>
      <c r="B1527" t="s">
        <v>11190</v>
      </c>
      <c r="C1527" s="20" t="s">
        <v>11191</v>
      </c>
      <c r="D1527">
        <v>255</v>
      </c>
      <c r="E1527" t="s">
        <v>9585</v>
      </c>
      <c r="F1527">
        <v>5</v>
      </c>
      <c r="G1527" s="28" t="s">
        <v>12660</v>
      </c>
    </row>
    <row r="1528" spans="1:7" ht="100.8" x14ac:dyDescent="0.3">
      <c r="A1528" t="s">
        <v>9582</v>
      </c>
      <c r="B1528" t="s">
        <v>11190</v>
      </c>
      <c r="C1528" s="20" t="s">
        <v>11191</v>
      </c>
      <c r="D1528">
        <v>255</v>
      </c>
      <c r="E1528" t="s">
        <v>9585</v>
      </c>
      <c r="F1528">
        <v>5</v>
      </c>
      <c r="G1528" s="28" t="s">
        <v>12660</v>
      </c>
    </row>
    <row r="1529" spans="1:7" ht="100.8" x14ac:dyDescent="0.3">
      <c r="A1529" t="s">
        <v>9582</v>
      </c>
      <c r="B1529" t="s">
        <v>11192</v>
      </c>
      <c r="C1529" s="20" t="s">
        <v>12378</v>
      </c>
      <c r="D1529">
        <v>1302</v>
      </c>
      <c r="E1529" t="s">
        <v>9585</v>
      </c>
      <c r="F1529">
        <v>5</v>
      </c>
      <c r="G1529" s="28" t="s">
        <v>12661</v>
      </c>
    </row>
    <row r="1530" spans="1:7" ht="244.8" x14ac:dyDescent="0.3">
      <c r="A1530" t="s">
        <v>9582</v>
      </c>
      <c r="B1530" t="s">
        <v>11193</v>
      </c>
      <c r="C1530" s="20" t="s">
        <v>11194</v>
      </c>
      <c r="D1530">
        <v>944</v>
      </c>
      <c r="E1530" t="s">
        <v>9585</v>
      </c>
      <c r="F1530">
        <v>5</v>
      </c>
      <c r="G1530" s="28" t="s">
        <v>12662</v>
      </c>
    </row>
    <row r="1531" spans="1:7" ht="115.2" x14ac:dyDescent="0.3">
      <c r="A1531" t="s">
        <v>9582</v>
      </c>
      <c r="B1531" t="s">
        <v>11195</v>
      </c>
      <c r="C1531" s="20" t="s">
        <v>11196</v>
      </c>
      <c r="D1531">
        <v>611</v>
      </c>
      <c r="E1531" t="s">
        <v>9585</v>
      </c>
      <c r="F1531">
        <v>5</v>
      </c>
      <c r="G1531" s="28" t="s">
        <v>12663</v>
      </c>
    </row>
    <row r="1532" spans="1:7" ht="115.2" x14ac:dyDescent="0.3">
      <c r="A1532" t="s">
        <v>9582</v>
      </c>
      <c r="B1532" t="s">
        <v>11197</v>
      </c>
      <c r="C1532" s="20" t="s">
        <v>11198</v>
      </c>
      <c r="D1532">
        <v>559</v>
      </c>
      <c r="E1532" t="s">
        <v>9585</v>
      </c>
      <c r="F1532">
        <v>5</v>
      </c>
      <c r="G1532" s="28" t="s">
        <v>12664</v>
      </c>
    </row>
    <row r="1533" spans="1:7" ht="158.4" x14ac:dyDescent="0.3">
      <c r="A1533" t="s">
        <v>9582</v>
      </c>
      <c r="B1533" t="s">
        <v>11199</v>
      </c>
      <c r="C1533" s="20" t="s">
        <v>11200</v>
      </c>
      <c r="D1533">
        <v>717</v>
      </c>
      <c r="E1533" t="s">
        <v>9585</v>
      </c>
      <c r="F1533">
        <v>5</v>
      </c>
      <c r="G1533" s="28" t="s">
        <v>12665</v>
      </c>
    </row>
    <row r="1534" spans="1:7" ht="158.4" x14ac:dyDescent="0.3">
      <c r="A1534" t="s">
        <v>9582</v>
      </c>
      <c r="B1534" t="s">
        <v>11199</v>
      </c>
      <c r="C1534" s="20" t="s">
        <v>11200</v>
      </c>
      <c r="D1534">
        <v>717</v>
      </c>
      <c r="E1534" t="s">
        <v>9585</v>
      </c>
      <c r="F1534">
        <v>5</v>
      </c>
      <c r="G1534" s="28" t="s">
        <v>12665</v>
      </c>
    </row>
    <row r="1535" spans="1:7" ht="158.4" x14ac:dyDescent="0.3">
      <c r="A1535" t="s">
        <v>9582</v>
      </c>
      <c r="B1535" t="s">
        <v>11199</v>
      </c>
      <c r="C1535" s="20" t="s">
        <v>11200</v>
      </c>
      <c r="D1535">
        <v>717</v>
      </c>
      <c r="E1535" t="s">
        <v>9585</v>
      </c>
      <c r="F1535">
        <v>5</v>
      </c>
      <c r="G1535" s="28" t="s">
        <v>12665</v>
      </c>
    </row>
    <row r="1536" spans="1:7" ht="43.2" x14ac:dyDescent="0.3">
      <c r="A1536" t="s">
        <v>9582</v>
      </c>
      <c r="B1536" t="s">
        <v>11201</v>
      </c>
      <c r="C1536" s="20" t="s">
        <v>11202</v>
      </c>
      <c r="D1536">
        <v>258</v>
      </c>
      <c r="E1536" t="s">
        <v>9589</v>
      </c>
      <c r="F1536">
        <v>35</v>
      </c>
      <c r="G1536" s="28" t="s">
        <v>9590</v>
      </c>
    </row>
    <row r="1537" spans="1:7" ht="28.8" x14ac:dyDescent="0.3">
      <c r="A1537" t="s">
        <v>9582</v>
      </c>
      <c r="B1537" t="s">
        <v>11203</v>
      </c>
      <c r="C1537" s="20" t="s">
        <v>11204</v>
      </c>
      <c r="D1537">
        <v>1228</v>
      </c>
      <c r="E1537" t="s">
        <v>9616</v>
      </c>
      <c r="F1537">
        <v>8</v>
      </c>
      <c r="G1537" s="28" t="s">
        <v>9590</v>
      </c>
    </row>
    <row r="1538" spans="1:7" ht="57.6" x14ac:dyDescent="0.3">
      <c r="A1538" t="s">
        <v>9582</v>
      </c>
      <c r="B1538" t="s">
        <v>11205</v>
      </c>
      <c r="C1538" s="20" t="s">
        <v>11206</v>
      </c>
      <c r="D1538">
        <v>1229</v>
      </c>
      <c r="E1538" t="s">
        <v>9589</v>
      </c>
      <c r="F1538">
        <v>45</v>
      </c>
      <c r="G1538" s="28" t="s">
        <v>9590</v>
      </c>
    </row>
    <row r="1539" spans="1:7" ht="216" x14ac:dyDescent="0.3">
      <c r="A1539" t="s">
        <v>9582</v>
      </c>
      <c r="B1539" t="s">
        <v>11207</v>
      </c>
      <c r="C1539" s="20" t="s">
        <v>11208</v>
      </c>
      <c r="D1539">
        <v>1230</v>
      </c>
      <c r="E1539" t="s">
        <v>9585</v>
      </c>
      <c r="F1539">
        <v>5</v>
      </c>
      <c r="G1539" s="28" t="s">
        <v>12499</v>
      </c>
    </row>
    <row r="1540" spans="1:7" ht="28.8" x14ac:dyDescent="0.3">
      <c r="A1540" t="s">
        <v>9582</v>
      </c>
      <c r="B1540" t="s">
        <v>11209</v>
      </c>
      <c r="C1540" s="20" t="s">
        <v>11210</v>
      </c>
      <c r="D1540">
        <v>1319</v>
      </c>
      <c r="E1540" t="s">
        <v>9653</v>
      </c>
      <c r="F1540">
        <v>3</v>
      </c>
      <c r="G1540" s="28" t="s">
        <v>9590</v>
      </c>
    </row>
    <row r="1541" spans="1:7" ht="216" x14ac:dyDescent="0.3">
      <c r="A1541" t="s">
        <v>9582</v>
      </c>
      <c r="B1541" t="s">
        <v>11211</v>
      </c>
      <c r="C1541" s="20" t="s">
        <v>11212</v>
      </c>
      <c r="D1541">
        <v>773</v>
      </c>
      <c r="E1541" t="s">
        <v>9585</v>
      </c>
      <c r="F1541">
        <v>5</v>
      </c>
      <c r="G1541" s="28" t="s">
        <v>12666</v>
      </c>
    </row>
    <row r="1542" spans="1:7" ht="43.2" x14ac:dyDescent="0.3">
      <c r="A1542" t="s">
        <v>9582</v>
      </c>
      <c r="B1542" t="s">
        <v>11213</v>
      </c>
      <c r="C1542" s="20" t="s">
        <v>11214</v>
      </c>
      <c r="D1542">
        <v>1465</v>
      </c>
      <c r="E1542" t="s">
        <v>9585</v>
      </c>
      <c r="F1542">
        <v>5</v>
      </c>
      <c r="G1542" s="28" t="s">
        <v>9586</v>
      </c>
    </row>
    <row r="1543" spans="1:7" ht="43.2" x14ac:dyDescent="0.3">
      <c r="A1543" t="s">
        <v>9582</v>
      </c>
      <c r="B1543" t="s">
        <v>11215</v>
      </c>
      <c r="C1543" s="20" t="s">
        <v>11216</v>
      </c>
      <c r="D1543">
        <v>471</v>
      </c>
      <c r="E1543" t="s">
        <v>9616</v>
      </c>
      <c r="F1543">
        <v>8</v>
      </c>
      <c r="G1543" s="28" t="s">
        <v>9590</v>
      </c>
    </row>
    <row r="1544" spans="1:7" ht="72" x14ac:dyDescent="0.3">
      <c r="A1544" t="s">
        <v>9582</v>
      </c>
      <c r="B1544" t="s">
        <v>11217</v>
      </c>
      <c r="C1544" s="20" t="s">
        <v>11218</v>
      </c>
      <c r="D1544">
        <v>1102</v>
      </c>
      <c r="E1544" t="s">
        <v>9589</v>
      </c>
      <c r="F1544">
        <v>30</v>
      </c>
      <c r="G1544" s="28" t="s">
        <v>9590</v>
      </c>
    </row>
    <row r="1545" spans="1:7" ht="72" x14ac:dyDescent="0.3">
      <c r="A1545" t="s">
        <v>9582</v>
      </c>
      <c r="B1545" t="s">
        <v>11219</v>
      </c>
      <c r="C1545" s="20" t="s">
        <v>11220</v>
      </c>
      <c r="D1545">
        <v>763</v>
      </c>
      <c r="E1545" t="s">
        <v>9585</v>
      </c>
      <c r="F1545">
        <v>5</v>
      </c>
      <c r="G1545" s="28" t="s">
        <v>12667</v>
      </c>
    </row>
    <row r="1546" spans="1:7" ht="43.2" x14ac:dyDescent="0.3">
      <c r="A1546" t="s">
        <v>9582</v>
      </c>
      <c r="B1546" t="s">
        <v>11221</v>
      </c>
      <c r="C1546" s="20" t="s">
        <v>11222</v>
      </c>
      <c r="D1546">
        <v>1880</v>
      </c>
      <c r="E1546" t="s">
        <v>9589</v>
      </c>
      <c r="F1546">
        <v>50</v>
      </c>
      <c r="G1546" s="28" t="s">
        <v>9590</v>
      </c>
    </row>
    <row r="1547" spans="1:7" ht="100.8" x14ac:dyDescent="0.3">
      <c r="A1547" t="s">
        <v>9582</v>
      </c>
      <c r="B1547" t="s">
        <v>11223</v>
      </c>
      <c r="C1547" s="20" t="s">
        <v>11224</v>
      </c>
      <c r="D1547">
        <v>1448</v>
      </c>
      <c r="E1547" t="s">
        <v>9585</v>
      </c>
      <c r="F1547">
        <v>5</v>
      </c>
      <c r="G1547" s="28" t="s">
        <v>12668</v>
      </c>
    </row>
    <row r="1548" spans="1:7" ht="100.8" x14ac:dyDescent="0.3">
      <c r="A1548" t="s">
        <v>9582</v>
      </c>
      <c r="B1548" t="s">
        <v>11223</v>
      </c>
      <c r="C1548" s="20" t="s">
        <v>11224</v>
      </c>
      <c r="D1548">
        <v>1448</v>
      </c>
      <c r="E1548" t="s">
        <v>9585</v>
      </c>
      <c r="F1548">
        <v>5</v>
      </c>
      <c r="G1548" s="28" t="s">
        <v>12668</v>
      </c>
    </row>
    <row r="1549" spans="1:7" ht="100.8" x14ac:dyDescent="0.3">
      <c r="A1549" t="s">
        <v>9582</v>
      </c>
      <c r="B1549" t="s">
        <v>11223</v>
      </c>
      <c r="C1549" s="20" t="s">
        <v>11224</v>
      </c>
      <c r="D1549">
        <v>1448</v>
      </c>
      <c r="E1549" t="s">
        <v>9585</v>
      </c>
      <c r="F1549">
        <v>5</v>
      </c>
      <c r="G1549" s="28" t="s">
        <v>12668</v>
      </c>
    </row>
    <row r="1550" spans="1:7" ht="28.8" x14ac:dyDescent="0.3">
      <c r="A1550" t="s">
        <v>9582</v>
      </c>
      <c r="B1550" t="s">
        <v>11225</v>
      </c>
      <c r="C1550" s="20" t="s">
        <v>11226</v>
      </c>
      <c r="D1550">
        <v>811</v>
      </c>
      <c r="E1550" t="s">
        <v>9589</v>
      </c>
      <c r="F1550">
        <v>60</v>
      </c>
      <c r="G1550" s="28" t="s">
        <v>9590</v>
      </c>
    </row>
    <row r="1551" spans="1:7" ht="28.8" x14ac:dyDescent="0.3">
      <c r="A1551" t="s">
        <v>9582</v>
      </c>
      <c r="B1551" t="s">
        <v>11225</v>
      </c>
      <c r="C1551" s="20" t="s">
        <v>11226</v>
      </c>
      <c r="D1551">
        <v>811</v>
      </c>
      <c r="E1551" t="s">
        <v>9589</v>
      </c>
      <c r="F1551">
        <v>60</v>
      </c>
      <c r="G1551" s="28" t="s">
        <v>9590</v>
      </c>
    </row>
    <row r="1552" spans="1:7" ht="43.2" x14ac:dyDescent="0.3">
      <c r="A1552" t="s">
        <v>9582</v>
      </c>
      <c r="B1552" t="s">
        <v>11227</v>
      </c>
      <c r="C1552" s="20" t="s">
        <v>11228</v>
      </c>
      <c r="D1552">
        <v>1238</v>
      </c>
      <c r="E1552" t="s">
        <v>9616</v>
      </c>
      <c r="F1552">
        <v>8</v>
      </c>
      <c r="G1552" s="28" t="s">
        <v>9590</v>
      </c>
    </row>
    <row r="1553" spans="1:7" ht="43.2" x14ac:dyDescent="0.3">
      <c r="A1553" t="s">
        <v>9582</v>
      </c>
      <c r="B1553" t="s">
        <v>11227</v>
      </c>
      <c r="C1553" s="20" t="s">
        <v>11228</v>
      </c>
      <c r="D1553">
        <v>1238</v>
      </c>
      <c r="E1553" t="s">
        <v>9616</v>
      </c>
      <c r="F1553">
        <v>8</v>
      </c>
      <c r="G1553" s="28" t="s">
        <v>9590</v>
      </c>
    </row>
    <row r="1554" spans="1:7" ht="216" x14ac:dyDescent="0.3">
      <c r="A1554" t="s">
        <v>9582</v>
      </c>
      <c r="B1554" t="s">
        <v>11229</v>
      </c>
      <c r="C1554" s="20" t="s">
        <v>11230</v>
      </c>
      <c r="D1554">
        <v>1239</v>
      </c>
      <c r="E1554" t="s">
        <v>9585</v>
      </c>
      <c r="F1554">
        <v>5</v>
      </c>
      <c r="G1554" s="28" t="s">
        <v>12499</v>
      </c>
    </row>
    <row r="1555" spans="1:7" ht="216" x14ac:dyDescent="0.3">
      <c r="A1555" t="s">
        <v>9582</v>
      </c>
      <c r="B1555" t="s">
        <v>11229</v>
      </c>
      <c r="C1555" s="20" t="s">
        <v>11230</v>
      </c>
      <c r="D1555">
        <v>1239</v>
      </c>
      <c r="E1555" t="s">
        <v>9585</v>
      </c>
      <c r="F1555">
        <v>5</v>
      </c>
      <c r="G1555" s="28" t="s">
        <v>12499</v>
      </c>
    </row>
    <row r="1556" spans="1:7" ht="28.8" x14ac:dyDescent="0.3">
      <c r="A1556" t="s">
        <v>9582</v>
      </c>
      <c r="B1556" t="s">
        <v>11231</v>
      </c>
      <c r="C1556" s="20" t="s">
        <v>11232</v>
      </c>
      <c r="D1556">
        <v>1242</v>
      </c>
      <c r="E1556" t="s">
        <v>9616</v>
      </c>
      <c r="F1556">
        <v>8</v>
      </c>
      <c r="G1556" s="28" t="s">
        <v>9590</v>
      </c>
    </row>
    <row r="1557" spans="1:7" ht="28.8" x14ac:dyDescent="0.3">
      <c r="A1557" t="s">
        <v>9582</v>
      </c>
      <c r="B1557" t="s">
        <v>11231</v>
      </c>
      <c r="C1557" s="20" t="s">
        <v>11232</v>
      </c>
      <c r="D1557">
        <v>1242</v>
      </c>
      <c r="E1557" t="s">
        <v>9616</v>
      </c>
      <c r="F1557">
        <v>8</v>
      </c>
      <c r="G1557" s="28" t="s">
        <v>9590</v>
      </c>
    </row>
    <row r="1558" spans="1:7" ht="57.6" x14ac:dyDescent="0.3">
      <c r="A1558" t="s">
        <v>9582</v>
      </c>
      <c r="B1558" t="s">
        <v>11233</v>
      </c>
      <c r="C1558" s="20" t="s">
        <v>11234</v>
      </c>
      <c r="D1558">
        <v>959</v>
      </c>
      <c r="E1558" t="s">
        <v>9653</v>
      </c>
      <c r="F1558">
        <v>4</v>
      </c>
      <c r="G1558" s="28" t="s">
        <v>9590</v>
      </c>
    </row>
    <row r="1559" spans="1:7" ht="57.6" x14ac:dyDescent="0.3">
      <c r="A1559" t="s">
        <v>9582</v>
      </c>
      <c r="B1559" t="s">
        <v>11233</v>
      </c>
      <c r="C1559" s="20" t="s">
        <v>11234</v>
      </c>
      <c r="D1559">
        <v>959</v>
      </c>
      <c r="E1559" t="s">
        <v>9653</v>
      </c>
      <c r="F1559">
        <v>4</v>
      </c>
      <c r="G1559" s="28" t="s">
        <v>9590</v>
      </c>
    </row>
    <row r="1560" spans="1:7" ht="100.8" x14ac:dyDescent="0.3">
      <c r="A1560" t="s">
        <v>9582</v>
      </c>
      <c r="B1560" t="s">
        <v>11235</v>
      </c>
      <c r="C1560" s="20" t="s">
        <v>11236</v>
      </c>
      <c r="D1560">
        <v>1277</v>
      </c>
      <c r="E1560" t="s">
        <v>9585</v>
      </c>
      <c r="F1560">
        <v>5</v>
      </c>
      <c r="G1560" s="28" t="s">
        <v>12505</v>
      </c>
    </row>
    <row r="1561" spans="1:7" ht="316.8" x14ac:dyDescent="0.3">
      <c r="A1561" t="s">
        <v>9582</v>
      </c>
      <c r="B1561" t="s">
        <v>11237</v>
      </c>
      <c r="C1561" s="20" t="s">
        <v>11238</v>
      </c>
      <c r="D1561">
        <v>307</v>
      </c>
      <c r="E1561" t="s">
        <v>9585</v>
      </c>
      <c r="F1561">
        <v>5</v>
      </c>
      <c r="G1561" s="28" t="s">
        <v>12669</v>
      </c>
    </row>
    <row r="1562" spans="1:7" ht="316.8" x14ac:dyDescent="0.3">
      <c r="A1562" t="s">
        <v>9582</v>
      </c>
      <c r="B1562" t="s">
        <v>11237</v>
      </c>
      <c r="C1562" s="20" t="s">
        <v>11238</v>
      </c>
      <c r="D1562">
        <v>307</v>
      </c>
      <c r="E1562" t="s">
        <v>9585</v>
      </c>
      <c r="F1562">
        <v>5</v>
      </c>
      <c r="G1562" s="28" t="s">
        <v>12669</v>
      </c>
    </row>
    <row r="1563" spans="1:7" ht="316.8" x14ac:dyDescent="0.3">
      <c r="A1563" t="s">
        <v>9582</v>
      </c>
      <c r="B1563" t="s">
        <v>11237</v>
      </c>
      <c r="C1563" s="20" t="s">
        <v>11238</v>
      </c>
      <c r="D1563">
        <v>307</v>
      </c>
      <c r="E1563" t="s">
        <v>9585</v>
      </c>
      <c r="F1563">
        <v>5</v>
      </c>
      <c r="G1563" s="28" t="s">
        <v>12669</v>
      </c>
    </row>
    <row r="1564" spans="1:7" ht="216" x14ac:dyDescent="0.3">
      <c r="A1564" t="s">
        <v>9582</v>
      </c>
      <c r="B1564" t="s">
        <v>11239</v>
      </c>
      <c r="C1564" s="20" t="s">
        <v>11240</v>
      </c>
      <c r="D1564">
        <v>1167</v>
      </c>
      <c r="E1564" t="s">
        <v>9585</v>
      </c>
      <c r="F1564">
        <v>5</v>
      </c>
      <c r="G1564" s="28" t="s">
        <v>12670</v>
      </c>
    </row>
    <row r="1565" spans="1:7" ht="216" x14ac:dyDescent="0.3">
      <c r="A1565" t="s">
        <v>9582</v>
      </c>
      <c r="B1565" t="s">
        <v>11239</v>
      </c>
      <c r="C1565" s="20" t="s">
        <v>11240</v>
      </c>
      <c r="D1565">
        <v>1167</v>
      </c>
      <c r="E1565" t="s">
        <v>9585</v>
      </c>
      <c r="F1565">
        <v>5</v>
      </c>
      <c r="G1565" s="28" t="s">
        <v>12670</v>
      </c>
    </row>
    <row r="1566" spans="1:7" ht="302.39999999999998" x14ac:dyDescent="0.3">
      <c r="A1566" t="s">
        <v>9582</v>
      </c>
      <c r="B1566" t="s">
        <v>11241</v>
      </c>
      <c r="C1566" s="20" t="s">
        <v>11242</v>
      </c>
      <c r="D1566">
        <v>1260</v>
      </c>
      <c r="E1566" t="s">
        <v>9585</v>
      </c>
      <c r="F1566">
        <v>5</v>
      </c>
      <c r="G1566" s="28" t="s">
        <v>12484</v>
      </c>
    </row>
    <row r="1567" spans="1:7" ht="302.39999999999998" x14ac:dyDescent="0.3">
      <c r="A1567" t="s">
        <v>9582</v>
      </c>
      <c r="B1567" t="s">
        <v>11243</v>
      </c>
      <c r="C1567" s="20" t="s">
        <v>11244</v>
      </c>
      <c r="D1567">
        <v>1262</v>
      </c>
      <c r="E1567" t="s">
        <v>9585</v>
      </c>
      <c r="F1567">
        <v>5</v>
      </c>
      <c r="G1567" s="28" t="s">
        <v>12484</v>
      </c>
    </row>
    <row r="1568" spans="1:7" ht="302.39999999999998" x14ac:dyDescent="0.3">
      <c r="A1568" t="s">
        <v>9582</v>
      </c>
      <c r="B1568" t="s">
        <v>11245</v>
      </c>
      <c r="C1568" s="20" t="s">
        <v>11246</v>
      </c>
      <c r="D1568">
        <v>1261</v>
      </c>
      <c r="E1568" t="s">
        <v>9585</v>
      </c>
      <c r="F1568">
        <v>5</v>
      </c>
      <c r="G1568" s="28" t="s">
        <v>12484</v>
      </c>
    </row>
    <row r="1569" spans="1:7" ht="43.2" x14ac:dyDescent="0.3">
      <c r="A1569" t="s">
        <v>9582</v>
      </c>
      <c r="B1569" t="s">
        <v>11247</v>
      </c>
      <c r="C1569" s="20" t="s">
        <v>11248</v>
      </c>
      <c r="D1569">
        <v>1395</v>
      </c>
      <c r="E1569" t="s">
        <v>9589</v>
      </c>
      <c r="F1569">
        <v>25</v>
      </c>
      <c r="G1569" s="28" t="s">
        <v>9590</v>
      </c>
    </row>
    <row r="1570" spans="1:7" ht="43.2" x14ac:dyDescent="0.3">
      <c r="A1570" t="s">
        <v>9582</v>
      </c>
      <c r="B1570" t="s">
        <v>11247</v>
      </c>
      <c r="C1570" s="20" t="s">
        <v>11248</v>
      </c>
      <c r="D1570">
        <v>1395</v>
      </c>
      <c r="E1570" t="s">
        <v>9589</v>
      </c>
      <c r="F1570">
        <v>25</v>
      </c>
      <c r="G1570" s="28" t="s">
        <v>9590</v>
      </c>
    </row>
    <row r="1571" spans="1:7" ht="43.2" x14ac:dyDescent="0.3">
      <c r="A1571" t="s">
        <v>9582</v>
      </c>
      <c r="B1571" t="s">
        <v>11247</v>
      </c>
      <c r="C1571" s="20" t="s">
        <v>11248</v>
      </c>
      <c r="D1571">
        <v>1395</v>
      </c>
      <c r="E1571" t="s">
        <v>9589</v>
      </c>
      <c r="F1571">
        <v>25</v>
      </c>
      <c r="G1571" s="28" t="s">
        <v>9590</v>
      </c>
    </row>
    <row r="1572" spans="1:7" ht="43.2" x14ac:dyDescent="0.3">
      <c r="A1572" t="s">
        <v>9582</v>
      </c>
      <c r="B1572" t="s">
        <v>11247</v>
      </c>
      <c r="C1572" s="20" t="s">
        <v>11248</v>
      </c>
      <c r="D1572">
        <v>1395</v>
      </c>
      <c r="E1572" t="s">
        <v>9589</v>
      </c>
      <c r="F1572">
        <v>25</v>
      </c>
      <c r="G1572" s="28" t="s">
        <v>9590</v>
      </c>
    </row>
    <row r="1573" spans="1:7" ht="43.2" x14ac:dyDescent="0.3">
      <c r="A1573" t="s">
        <v>9582</v>
      </c>
      <c r="B1573" t="s">
        <v>11247</v>
      </c>
      <c r="C1573" s="20" t="s">
        <v>11248</v>
      </c>
      <c r="D1573">
        <v>1395</v>
      </c>
      <c r="E1573" t="s">
        <v>9589</v>
      </c>
      <c r="F1573">
        <v>25</v>
      </c>
      <c r="G1573" s="28" t="s">
        <v>9590</v>
      </c>
    </row>
    <row r="1574" spans="1:7" ht="43.2" x14ac:dyDescent="0.3">
      <c r="A1574" t="s">
        <v>9582</v>
      </c>
      <c r="B1574" t="s">
        <v>11247</v>
      </c>
      <c r="C1574" s="20" t="s">
        <v>11248</v>
      </c>
      <c r="D1574">
        <v>1395</v>
      </c>
      <c r="E1574" t="s">
        <v>9589</v>
      </c>
      <c r="F1574">
        <v>25</v>
      </c>
      <c r="G1574" s="28" t="s">
        <v>9590</v>
      </c>
    </row>
    <row r="1575" spans="1:7" ht="43.2" x14ac:dyDescent="0.3">
      <c r="A1575" t="s">
        <v>9582</v>
      </c>
      <c r="B1575" t="s">
        <v>11247</v>
      </c>
      <c r="C1575" s="20" t="s">
        <v>11248</v>
      </c>
      <c r="D1575">
        <v>1395</v>
      </c>
      <c r="E1575" t="s">
        <v>9589</v>
      </c>
      <c r="F1575">
        <v>25</v>
      </c>
      <c r="G1575" s="28" t="s">
        <v>9590</v>
      </c>
    </row>
    <row r="1576" spans="1:7" ht="43.2" x14ac:dyDescent="0.3">
      <c r="A1576" t="s">
        <v>9582</v>
      </c>
      <c r="B1576" t="s">
        <v>11247</v>
      </c>
      <c r="C1576" s="20" t="s">
        <v>11248</v>
      </c>
      <c r="D1576">
        <v>1395</v>
      </c>
      <c r="E1576" t="s">
        <v>9589</v>
      </c>
      <c r="F1576">
        <v>25</v>
      </c>
      <c r="G1576" s="28" t="s">
        <v>9590</v>
      </c>
    </row>
    <row r="1577" spans="1:7" ht="129.6" x14ac:dyDescent="0.3">
      <c r="A1577" t="s">
        <v>9582</v>
      </c>
      <c r="B1577" t="s">
        <v>11249</v>
      </c>
      <c r="C1577" s="20" t="s">
        <v>11250</v>
      </c>
      <c r="D1577">
        <v>581</v>
      </c>
      <c r="E1577" t="s">
        <v>9633</v>
      </c>
      <c r="F1577">
        <v>6.2</v>
      </c>
      <c r="G1577" s="28" t="s">
        <v>9590</v>
      </c>
    </row>
    <row r="1578" spans="1:7" ht="86.4" x14ac:dyDescent="0.3">
      <c r="A1578" t="s">
        <v>9582</v>
      </c>
      <c r="B1578" t="s">
        <v>11251</v>
      </c>
      <c r="C1578" s="20" t="s">
        <v>11252</v>
      </c>
      <c r="D1578">
        <v>1543</v>
      </c>
      <c r="E1578" t="s">
        <v>9585</v>
      </c>
      <c r="F1578">
        <v>5</v>
      </c>
      <c r="G1578" s="28" t="s">
        <v>12671</v>
      </c>
    </row>
    <row r="1579" spans="1:7" ht="100.8" x14ac:dyDescent="0.3">
      <c r="A1579" t="s">
        <v>9582</v>
      </c>
      <c r="B1579" t="s">
        <v>11253</v>
      </c>
      <c r="C1579" s="20" t="s">
        <v>11254</v>
      </c>
      <c r="D1579">
        <v>1544</v>
      </c>
      <c r="E1579" t="s">
        <v>9585</v>
      </c>
      <c r="F1579">
        <v>5</v>
      </c>
      <c r="G1579" s="28" t="s">
        <v>12672</v>
      </c>
    </row>
    <row r="1580" spans="1:7" ht="86.4" x14ac:dyDescent="0.3">
      <c r="A1580" t="s">
        <v>9582</v>
      </c>
      <c r="B1580" t="s">
        <v>11255</v>
      </c>
      <c r="C1580" s="20" t="s">
        <v>11256</v>
      </c>
      <c r="D1580">
        <v>1545</v>
      </c>
      <c r="E1580" t="s">
        <v>9585</v>
      </c>
      <c r="F1580">
        <v>5</v>
      </c>
      <c r="G1580" s="28" t="s">
        <v>12673</v>
      </c>
    </row>
    <row r="1581" spans="1:7" ht="57.6" x14ac:dyDescent="0.3">
      <c r="A1581" t="s">
        <v>9582</v>
      </c>
      <c r="B1581" t="s">
        <v>11257</v>
      </c>
      <c r="C1581" s="20" t="s">
        <v>11258</v>
      </c>
      <c r="D1581">
        <v>1091</v>
      </c>
      <c r="E1581" t="s">
        <v>9589</v>
      </c>
      <c r="F1581">
        <v>30</v>
      </c>
      <c r="G1581" s="28" t="s">
        <v>9590</v>
      </c>
    </row>
    <row r="1582" spans="1:7" ht="57.6" x14ac:dyDescent="0.3">
      <c r="A1582" t="s">
        <v>9582</v>
      </c>
      <c r="B1582" t="s">
        <v>11257</v>
      </c>
      <c r="C1582" s="20" t="s">
        <v>11258</v>
      </c>
      <c r="D1582">
        <v>1091</v>
      </c>
      <c r="E1582" t="s">
        <v>9589</v>
      </c>
      <c r="F1582">
        <v>30</v>
      </c>
      <c r="G1582" s="28" t="s">
        <v>9590</v>
      </c>
    </row>
    <row r="1583" spans="1:7" ht="288" x14ac:dyDescent="0.3">
      <c r="A1583" t="s">
        <v>9582</v>
      </c>
      <c r="B1583" t="s">
        <v>11259</v>
      </c>
      <c r="C1583" s="20" t="s">
        <v>11260</v>
      </c>
      <c r="D1583">
        <v>1090</v>
      </c>
      <c r="E1583" t="s">
        <v>9585</v>
      </c>
      <c r="F1583">
        <v>5</v>
      </c>
      <c r="G1583" s="28" t="s">
        <v>12674</v>
      </c>
    </row>
    <row r="1584" spans="1:7" ht="288" x14ac:dyDescent="0.3">
      <c r="A1584" t="s">
        <v>9582</v>
      </c>
      <c r="B1584" t="s">
        <v>11259</v>
      </c>
      <c r="C1584" s="20" t="s">
        <v>11260</v>
      </c>
      <c r="D1584">
        <v>1090</v>
      </c>
      <c r="E1584" t="s">
        <v>9585</v>
      </c>
      <c r="F1584">
        <v>5</v>
      </c>
      <c r="G1584" s="28" t="s">
        <v>12674</v>
      </c>
    </row>
    <row r="1585" spans="1:7" ht="230.4" x14ac:dyDescent="0.3">
      <c r="A1585" t="s">
        <v>9582</v>
      </c>
      <c r="B1585" t="s">
        <v>11261</v>
      </c>
      <c r="C1585" s="20" t="s">
        <v>11262</v>
      </c>
      <c r="D1585">
        <v>1092</v>
      </c>
      <c r="E1585" t="s">
        <v>9589</v>
      </c>
      <c r="F1585">
        <v>30</v>
      </c>
      <c r="G1585" s="28" t="s">
        <v>9590</v>
      </c>
    </row>
    <row r="1586" spans="1:7" ht="230.4" x14ac:dyDescent="0.3">
      <c r="A1586" t="s">
        <v>9582</v>
      </c>
      <c r="B1586" t="s">
        <v>11261</v>
      </c>
      <c r="C1586" s="20" t="s">
        <v>11262</v>
      </c>
      <c r="D1586">
        <v>1092</v>
      </c>
      <c r="E1586" t="s">
        <v>9589</v>
      </c>
      <c r="F1586">
        <v>30</v>
      </c>
      <c r="G1586" s="28" t="s">
        <v>9590</v>
      </c>
    </row>
    <row r="1587" spans="1:7" ht="57.6" x14ac:dyDescent="0.3">
      <c r="A1587" t="s">
        <v>9582</v>
      </c>
      <c r="B1587" t="s">
        <v>11263</v>
      </c>
      <c r="C1587" s="20" t="s">
        <v>11264</v>
      </c>
      <c r="D1587">
        <v>575</v>
      </c>
      <c r="E1587" t="s">
        <v>9589</v>
      </c>
      <c r="F1587">
        <v>45</v>
      </c>
      <c r="G1587" s="28" t="s">
        <v>9590</v>
      </c>
    </row>
    <row r="1588" spans="1:7" ht="72" x14ac:dyDescent="0.3">
      <c r="A1588" t="s">
        <v>9582</v>
      </c>
      <c r="B1588" t="s">
        <v>11265</v>
      </c>
      <c r="C1588" s="20" t="s">
        <v>11266</v>
      </c>
      <c r="D1588">
        <v>722</v>
      </c>
      <c r="E1588" t="s">
        <v>9589</v>
      </c>
      <c r="F1588">
        <v>60</v>
      </c>
      <c r="G1588" s="28" t="s">
        <v>9590</v>
      </c>
    </row>
    <row r="1589" spans="1:7" ht="57.6" x14ac:dyDescent="0.3">
      <c r="A1589" t="s">
        <v>9582</v>
      </c>
      <c r="B1589" t="s">
        <v>11267</v>
      </c>
      <c r="C1589" s="20" t="s">
        <v>11268</v>
      </c>
      <c r="D1589">
        <v>346</v>
      </c>
      <c r="E1589" t="s">
        <v>9589</v>
      </c>
      <c r="F1589">
        <v>80</v>
      </c>
      <c r="G1589" s="28" t="s">
        <v>9590</v>
      </c>
    </row>
    <row r="1590" spans="1:7" ht="259.2" x14ac:dyDescent="0.3">
      <c r="A1590" t="s">
        <v>9582</v>
      </c>
      <c r="B1590" t="s">
        <v>11269</v>
      </c>
      <c r="C1590" s="20" t="s">
        <v>11270</v>
      </c>
      <c r="D1590">
        <v>810</v>
      </c>
      <c r="E1590" t="s">
        <v>9589</v>
      </c>
      <c r="F1590">
        <v>60</v>
      </c>
      <c r="G1590" s="28" t="s">
        <v>9590</v>
      </c>
    </row>
    <row r="1591" spans="1:7" ht="100.8" x14ac:dyDescent="0.3">
      <c r="A1591" t="s">
        <v>9582</v>
      </c>
      <c r="B1591" t="s">
        <v>11271</v>
      </c>
      <c r="C1591" s="20" t="s">
        <v>11272</v>
      </c>
      <c r="D1591">
        <v>1546</v>
      </c>
      <c r="E1591" t="s">
        <v>9585</v>
      </c>
      <c r="F1591">
        <v>5</v>
      </c>
      <c r="G1591" s="28" t="s">
        <v>12675</v>
      </c>
    </row>
    <row r="1592" spans="1:7" ht="86.4" x14ac:dyDescent="0.3">
      <c r="A1592" t="s">
        <v>9582</v>
      </c>
      <c r="B1592" t="s">
        <v>11271</v>
      </c>
      <c r="C1592" s="20" t="s">
        <v>11272</v>
      </c>
      <c r="D1592">
        <v>1546</v>
      </c>
      <c r="E1592" t="s">
        <v>9585</v>
      </c>
      <c r="F1592">
        <v>5</v>
      </c>
      <c r="G1592" s="28" t="s">
        <v>12673</v>
      </c>
    </row>
    <row r="1593" spans="1:7" ht="57.6" x14ac:dyDescent="0.3">
      <c r="A1593" t="s">
        <v>9582</v>
      </c>
      <c r="B1593" t="s">
        <v>11273</v>
      </c>
      <c r="C1593" s="20" t="s">
        <v>11274</v>
      </c>
      <c r="D1593">
        <v>452</v>
      </c>
      <c r="E1593" t="s">
        <v>9589</v>
      </c>
      <c r="F1593">
        <v>60</v>
      </c>
      <c r="G1593" s="28" t="s">
        <v>9590</v>
      </c>
    </row>
    <row r="1594" spans="1:7" ht="57.6" x14ac:dyDescent="0.3">
      <c r="A1594" t="s">
        <v>9582</v>
      </c>
      <c r="B1594" t="s">
        <v>11275</v>
      </c>
      <c r="C1594" s="20" t="s">
        <v>11276</v>
      </c>
      <c r="D1594">
        <v>837</v>
      </c>
      <c r="E1594" t="s">
        <v>9589</v>
      </c>
      <c r="F1594">
        <v>35</v>
      </c>
      <c r="G1594" s="28" t="s">
        <v>9590</v>
      </c>
    </row>
    <row r="1595" spans="1:7" ht="72" x14ac:dyDescent="0.3">
      <c r="A1595" t="s">
        <v>9582</v>
      </c>
      <c r="B1595" t="s">
        <v>6821</v>
      </c>
      <c r="C1595" s="20" t="s">
        <v>11277</v>
      </c>
      <c r="D1595">
        <v>1444</v>
      </c>
      <c r="E1595" t="s">
        <v>9633</v>
      </c>
      <c r="F1595">
        <v>1.2</v>
      </c>
      <c r="G1595" s="28" t="s">
        <v>9590</v>
      </c>
    </row>
    <row r="1596" spans="1:7" ht="72" x14ac:dyDescent="0.3">
      <c r="A1596" t="s">
        <v>9582</v>
      </c>
      <c r="B1596" t="s">
        <v>6821</v>
      </c>
      <c r="C1596" s="20" t="s">
        <v>11277</v>
      </c>
      <c r="D1596">
        <v>1444</v>
      </c>
      <c r="E1596" t="s">
        <v>9633</v>
      </c>
      <c r="F1596">
        <v>1.2</v>
      </c>
      <c r="G1596" s="28" t="s">
        <v>9590</v>
      </c>
    </row>
    <row r="1597" spans="1:7" ht="172.8" x14ac:dyDescent="0.3">
      <c r="A1597" t="s">
        <v>9582</v>
      </c>
      <c r="B1597" t="s">
        <v>11278</v>
      </c>
      <c r="C1597" s="20" t="s">
        <v>11279</v>
      </c>
      <c r="D1597">
        <v>840</v>
      </c>
      <c r="E1597" t="s">
        <v>9585</v>
      </c>
      <c r="F1597">
        <v>5</v>
      </c>
      <c r="G1597" s="28" t="s">
        <v>9586</v>
      </c>
    </row>
    <row r="1598" spans="1:7" ht="374.4" x14ac:dyDescent="0.3">
      <c r="A1598" t="s">
        <v>9582</v>
      </c>
      <c r="B1598" t="s">
        <v>11280</v>
      </c>
      <c r="C1598" s="20" t="s">
        <v>11281</v>
      </c>
      <c r="D1598">
        <v>1168</v>
      </c>
      <c r="E1598" t="s">
        <v>9585</v>
      </c>
      <c r="F1598">
        <v>5</v>
      </c>
      <c r="G1598" s="28" t="s">
        <v>12676</v>
      </c>
    </row>
    <row r="1599" spans="1:7" ht="374.4" x14ac:dyDescent="0.3">
      <c r="A1599" t="s">
        <v>9582</v>
      </c>
      <c r="B1599" t="s">
        <v>11280</v>
      </c>
      <c r="C1599" s="20" t="s">
        <v>11281</v>
      </c>
      <c r="D1599">
        <v>1168</v>
      </c>
      <c r="E1599" t="s">
        <v>9585</v>
      </c>
      <c r="F1599">
        <v>5</v>
      </c>
      <c r="G1599" s="28" t="s">
        <v>12676</v>
      </c>
    </row>
    <row r="1600" spans="1:7" ht="43.2" x14ac:dyDescent="0.3">
      <c r="A1600" t="s">
        <v>9582</v>
      </c>
      <c r="B1600" t="s">
        <v>11282</v>
      </c>
      <c r="C1600" s="20" t="s">
        <v>11283</v>
      </c>
      <c r="D1600">
        <v>512</v>
      </c>
      <c r="E1600" t="s">
        <v>9589</v>
      </c>
      <c r="F1600">
        <v>80</v>
      </c>
      <c r="G1600" s="28" t="s">
        <v>9590</v>
      </c>
    </row>
    <row r="1601" spans="1:7" ht="43.2" x14ac:dyDescent="0.3">
      <c r="A1601" t="s">
        <v>9582</v>
      </c>
      <c r="B1601" t="s">
        <v>11284</v>
      </c>
      <c r="C1601" s="20" t="s">
        <v>11285</v>
      </c>
      <c r="D1601">
        <v>409</v>
      </c>
      <c r="E1601" t="s">
        <v>9589</v>
      </c>
      <c r="F1601">
        <v>35</v>
      </c>
      <c r="G1601" s="28" t="s">
        <v>9590</v>
      </c>
    </row>
    <row r="1602" spans="1:7" ht="43.2" x14ac:dyDescent="0.3">
      <c r="A1602" t="s">
        <v>9582</v>
      </c>
      <c r="B1602" t="s">
        <v>11286</v>
      </c>
      <c r="C1602" s="20" t="s">
        <v>11287</v>
      </c>
      <c r="D1602">
        <v>858</v>
      </c>
      <c r="E1602" t="s">
        <v>9589</v>
      </c>
      <c r="F1602">
        <v>60</v>
      </c>
      <c r="G1602" s="28" t="s">
        <v>9590</v>
      </c>
    </row>
    <row r="1603" spans="1:7" ht="28.8" x14ac:dyDescent="0.3">
      <c r="A1603" t="s">
        <v>9582</v>
      </c>
      <c r="B1603" t="s">
        <v>11288</v>
      </c>
      <c r="C1603" s="20" t="s">
        <v>11289</v>
      </c>
      <c r="D1603">
        <v>1541</v>
      </c>
      <c r="E1603" t="s">
        <v>9589</v>
      </c>
      <c r="F1603">
        <v>80</v>
      </c>
      <c r="G1603" s="28" t="s">
        <v>9590</v>
      </c>
    </row>
    <row r="1604" spans="1:7" ht="158.4" x14ac:dyDescent="0.3">
      <c r="A1604" t="s">
        <v>9582</v>
      </c>
      <c r="B1604" t="s">
        <v>11290</v>
      </c>
      <c r="C1604" s="20" t="s">
        <v>11291</v>
      </c>
      <c r="D1604">
        <v>1542</v>
      </c>
      <c r="E1604" t="s">
        <v>9585</v>
      </c>
      <c r="F1604">
        <v>5</v>
      </c>
      <c r="G1604" s="28" t="s">
        <v>12562</v>
      </c>
    </row>
    <row r="1605" spans="1:7" ht="57.6" x14ac:dyDescent="0.3">
      <c r="A1605" t="s">
        <v>9582</v>
      </c>
      <c r="B1605" t="s">
        <v>11292</v>
      </c>
      <c r="C1605" s="20" t="s">
        <v>11293</v>
      </c>
      <c r="D1605">
        <v>1547</v>
      </c>
      <c r="E1605" t="s">
        <v>9585</v>
      </c>
      <c r="F1605">
        <v>5</v>
      </c>
      <c r="G1605" s="28" t="s">
        <v>12677</v>
      </c>
    </row>
    <row r="1606" spans="1:7" ht="158.4" x14ac:dyDescent="0.3">
      <c r="A1606" t="s">
        <v>9582</v>
      </c>
      <c r="B1606" t="s">
        <v>11294</v>
      </c>
      <c r="C1606" s="20" t="s">
        <v>11295</v>
      </c>
      <c r="D1606">
        <v>190</v>
      </c>
      <c r="E1606" t="s">
        <v>9585</v>
      </c>
      <c r="F1606">
        <v>5</v>
      </c>
      <c r="G1606" s="28" t="s">
        <v>12678</v>
      </c>
    </row>
    <row r="1607" spans="1:7" ht="57.6" x14ac:dyDescent="0.3">
      <c r="A1607" t="s">
        <v>9582</v>
      </c>
      <c r="B1607" t="s">
        <v>11296</v>
      </c>
      <c r="C1607" s="20" t="s">
        <v>11297</v>
      </c>
      <c r="D1607">
        <v>191</v>
      </c>
      <c r="E1607" t="s">
        <v>9616</v>
      </c>
      <c r="F1607">
        <v>4</v>
      </c>
      <c r="G1607" s="28" t="s">
        <v>9590</v>
      </c>
    </row>
    <row r="1608" spans="1:7" ht="43.2" x14ac:dyDescent="0.3">
      <c r="A1608" t="s">
        <v>9582</v>
      </c>
      <c r="B1608" t="s">
        <v>11298</v>
      </c>
      <c r="C1608" s="20" t="s">
        <v>11299</v>
      </c>
      <c r="D1608">
        <v>1466</v>
      </c>
      <c r="E1608" t="s">
        <v>9616</v>
      </c>
      <c r="F1608">
        <v>8</v>
      </c>
      <c r="G1608" s="28" t="s">
        <v>9590</v>
      </c>
    </row>
    <row r="1609" spans="1:7" ht="43.2" x14ac:dyDescent="0.3">
      <c r="A1609" t="s">
        <v>9582</v>
      </c>
      <c r="B1609" t="s">
        <v>11300</v>
      </c>
      <c r="C1609" s="20" t="s">
        <v>11301</v>
      </c>
      <c r="D1609">
        <v>1467</v>
      </c>
      <c r="E1609" t="s">
        <v>9653</v>
      </c>
      <c r="F1609">
        <v>5</v>
      </c>
      <c r="G1609" s="28" t="s">
        <v>9590</v>
      </c>
    </row>
    <row r="1610" spans="1:7" ht="409.6" x14ac:dyDescent="0.3">
      <c r="A1610" t="s">
        <v>9582</v>
      </c>
      <c r="B1610" t="s">
        <v>11302</v>
      </c>
      <c r="C1610" s="20" t="s">
        <v>11303</v>
      </c>
      <c r="D1610">
        <v>268</v>
      </c>
      <c r="E1610" t="s">
        <v>9585</v>
      </c>
      <c r="F1610">
        <v>5</v>
      </c>
      <c r="G1610" s="28" t="s">
        <v>12679</v>
      </c>
    </row>
    <row r="1611" spans="1:7" ht="409.6" x14ac:dyDescent="0.3">
      <c r="A1611" t="s">
        <v>9582</v>
      </c>
      <c r="B1611" t="s">
        <v>11302</v>
      </c>
      <c r="C1611" s="20" t="s">
        <v>11303</v>
      </c>
      <c r="D1611">
        <v>268</v>
      </c>
      <c r="E1611" t="s">
        <v>9585</v>
      </c>
      <c r="F1611">
        <v>5</v>
      </c>
      <c r="G1611" s="28" t="s">
        <v>12679</v>
      </c>
    </row>
    <row r="1612" spans="1:7" ht="115.2" x14ac:dyDescent="0.3">
      <c r="A1612" t="s">
        <v>9582</v>
      </c>
      <c r="B1612" t="s">
        <v>11304</v>
      </c>
      <c r="C1612" s="20" t="s">
        <v>11305</v>
      </c>
      <c r="D1612">
        <v>1281</v>
      </c>
      <c r="E1612" t="s">
        <v>9585</v>
      </c>
      <c r="F1612">
        <v>5</v>
      </c>
      <c r="G1612" s="28" t="s">
        <v>12680</v>
      </c>
    </row>
    <row r="1613" spans="1:7" ht="115.2" x14ac:dyDescent="0.3">
      <c r="A1613" t="s">
        <v>9582</v>
      </c>
      <c r="B1613" t="s">
        <v>11304</v>
      </c>
      <c r="C1613" s="20" t="s">
        <v>11305</v>
      </c>
      <c r="D1613">
        <v>1281</v>
      </c>
      <c r="E1613" t="s">
        <v>9585</v>
      </c>
      <c r="F1613">
        <v>5</v>
      </c>
      <c r="G1613" s="28" t="s">
        <v>12680</v>
      </c>
    </row>
    <row r="1614" spans="1:7" ht="43.2" x14ac:dyDescent="0.3">
      <c r="A1614" t="s">
        <v>9582</v>
      </c>
      <c r="B1614" t="s">
        <v>11306</v>
      </c>
      <c r="C1614" s="20" t="s">
        <v>11307</v>
      </c>
      <c r="D1614">
        <v>270</v>
      </c>
      <c r="E1614" t="s">
        <v>9585</v>
      </c>
      <c r="F1614">
        <v>5</v>
      </c>
      <c r="G1614" s="28" t="s">
        <v>9586</v>
      </c>
    </row>
    <row r="1615" spans="1:7" ht="72" x14ac:dyDescent="0.3">
      <c r="A1615" t="s">
        <v>9582</v>
      </c>
      <c r="B1615" t="s">
        <v>11306</v>
      </c>
      <c r="C1615" s="20" t="s">
        <v>11307</v>
      </c>
      <c r="D1615">
        <v>270</v>
      </c>
      <c r="E1615" t="s">
        <v>9585</v>
      </c>
      <c r="F1615">
        <v>5</v>
      </c>
      <c r="G1615" s="28" t="s">
        <v>12451</v>
      </c>
    </row>
    <row r="1616" spans="1:7" ht="43.2" x14ac:dyDescent="0.3">
      <c r="A1616" t="s">
        <v>9582</v>
      </c>
      <c r="B1616" t="s">
        <v>11306</v>
      </c>
      <c r="C1616" s="20" t="s">
        <v>11307</v>
      </c>
      <c r="D1616">
        <v>270</v>
      </c>
      <c r="E1616" t="s">
        <v>9585</v>
      </c>
      <c r="F1616">
        <v>5</v>
      </c>
      <c r="G1616" s="28" t="s">
        <v>9586</v>
      </c>
    </row>
    <row r="1617" spans="1:7" ht="72" x14ac:dyDescent="0.3">
      <c r="A1617" t="s">
        <v>9582</v>
      </c>
      <c r="B1617" t="s">
        <v>11306</v>
      </c>
      <c r="C1617" s="20" t="s">
        <v>11307</v>
      </c>
      <c r="D1617">
        <v>270</v>
      </c>
      <c r="E1617" t="s">
        <v>9585</v>
      </c>
      <c r="F1617">
        <v>5</v>
      </c>
      <c r="G1617" s="28" t="s">
        <v>12451</v>
      </c>
    </row>
    <row r="1618" spans="1:7" ht="43.2" x14ac:dyDescent="0.3">
      <c r="A1618" t="s">
        <v>9582</v>
      </c>
      <c r="B1618" t="s">
        <v>11306</v>
      </c>
      <c r="C1618" s="20" t="s">
        <v>11307</v>
      </c>
      <c r="D1618">
        <v>270</v>
      </c>
      <c r="E1618" t="s">
        <v>9585</v>
      </c>
      <c r="F1618">
        <v>5</v>
      </c>
      <c r="G1618" s="28" t="s">
        <v>9586</v>
      </c>
    </row>
    <row r="1619" spans="1:7" ht="72" x14ac:dyDescent="0.3">
      <c r="A1619" t="s">
        <v>9582</v>
      </c>
      <c r="B1619" t="s">
        <v>11306</v>
      </c>
      <c r="C1619" s="20" t="s">
        <v>11307</v>
      </c>
      <c r="D1619">
        <v>270</v>
      </c>
      <c r="E1619" t="s">
        <v>9585</v>
      </c>
      <c r="F1619">
        <v>5</v>
      </c>
      <c r="G1619" s="28" t="s">
        <v>12451</v>
      </c>
    </row>
    <row r="1620" spans="1:7" ht="43.2" x14ac:dyDescent="0.3">
      <c r="A1620" t="s">
        <v>9582</v>
      </c>
      <c r="B1620" t="s">
        <v>11306</v>
      </c>
      <c r="C1620" s="20" t="s">
        <v>11307</v>
      </c>
      <c r="D1620">
        <v>270</v>
      </c>
      <c r="E1620" t="s">
        <v>9585</v>
      </c>
      <c r="F1620">
        <v>5</v>
      </c>
      <c r="G1620" s="28" t="s">
        <v>9586</v>
      </c>
    </row>
    <row r="1621" spans="1:7" ht="72" x14ac:dyDescent="0.3">
      <c r="A1621" t="s">
        <v>9582</v>
      </c>
      <c r="B1621" t="s">
        <v>11306</v>
      </c>
      <c r="C1621" s="20" t="s">
        <v>11307</v>
      </c>
      <c r="D1621">
        <v>270</v>
      </c>
      <c r="E1621" t="s">
        <v>9585</v>
      </c>
      <c r="F1621">
        <v>5</v>
      </c>
      <c r="G1621" s="28" t="s">
        <v>12451</v>
      </c>
    </row>
    <row r="1622" spans="1:7" ht="86.4" x14ac:dyDescent="0.3">
      <c r="A1622" t="s">
        <v>9582</v>
      </c>
      <c r="B1622" t="s">
        <v>11308</v>
      </c>
      <c r="C1622" s="20" t="s">
        <v>11309</v>
      </c>
      <c r="D1622">
        <v>720</v>
      </c>
      <c r="E1622" t="s">
        <v>9585</v>
      </c>
      <c r="F1622">
        <v>5</v>
      </c>
      <c r="G1622" s="28" t="s">
        <v>12681</v>
      </c>
    </row>
    <row r="1623" spans="1:7" ht="28.8" x14ac:dyDescent="0.3">
      <c r="A1623" t="s">
        <v>9582</v>
      </c>
      <c r="B1623" t="s">
        <v>11310</v>
      </c>
      <c r="C1623" s="20" t="s">
        <v>11311</v>
      </c>
      <c r="D1623">
        <v>1136</v>
      </c>
      <c r="E1623" t="s">
        <v>9589</v>
      </c>
      <c r="F1623">
        <v>30</v>
      </c>
      <c r="G1623" s="28" t="s">
        <v>9590</v>
      </c>
    </row>
    <row r="1624" spans="1:7" ht="28.8" x14ac:dyDescent="0.3">
      <c r="A1624" t="s">
        <v>9582</v>
      </c>
      <c r="B1624" t="s">
        <v>11310</v>
      </c>
      <c r="C1624" s="20" t="s">
        <v>11311</v>
      </c>
      <c r="D1624">
        <v>1136</v>
      </c>
      <c r="E1624" t="s">
        <v>9589</v>
      </c>
      <c r="F1624">
        <v>30</v>
      </c>
      <c r="G1624" s="28" t="s">
        <v>9590</v>
      </c>
    </row>
    <row r="1625" spans="1:7" ht="28.8" x14ac:dyDescent="0.3">
      <c r="A1625" t="s">
        <v>9582</v>
      </c>
      <c r="B1625" t="s">
        <v>11312</v>
      </c>
      <c r="C1625" s="20" t="s">
        <v>11313</v>
      </c>
      <c r="D1625">
        <v>1133</v>
      </c>
      <c r="E1625" t="s">
        <v>9589</v>
      </c>
      <c r="F1625">
        <v>30</v>
      </c>
      <c r="G1625" s="28" t="s">
        <v>9590</v>
      </c>
    </row>
    <row r="1626" spans="1:7" ht="28.8" x14ac:dyDescent="0.3">
      <c r="A1626" t="s">
        <v>9582</v>
      </c>
      <c r="B1626" t="s">
        <v>11312</v>
      </c>
      <c r="C1626" s="20" t="s">
        <v>11313</v>
      </c>
      <c r="D1626">
        <v>1133</v>
      </c>
      <c r="E1626" t="s">
        <v>9589</v>
      </c>
      <c r="F1626">
        <v>30</v>
      </c>
      <c r="G1626" s="28" t="s">
        <v>9590</v>
      </c>
    </row>
    <row r="1627" spans="1:7" ht="28.8" x14ac:dyDescent="0.3">
      <c r="A1627" t="s">
        <v>9582</v>
      </c>
      <c r="B1627" t="s">
        <v>11312</v>
      </c>
      <c r="C1627" s="20" t="s">
        <v>11313</v>
      </c>
      <c r="D1627">
        <v>1133</v>
      </c>
      <c r="E1627" t="s">
        <v>9589</v>
      </c>
      <c r="F1627">
        <v>30</v>
      </c>
      <c r="G1627" s="28" t="s">
        <v>9590</v>
      </c>
    </row>
    <row r="1628" spans="1:7" ht="100.8" x14ac:dyDescent="0.3">
      <c r="A1628" t="s">
        <v>9582</v>
      </c>
      <c r="B1628" t="s">
        <v>11314</v>
      </c>
      <c r="C1628" s="20" t="s">
        <v>11315</v>
      </c>
      <c r="D1628">
        <v>993</v>
      </c>
      <c r="E1628" t="s">
        <v>9585</v>
      </c>
      <c r="F1628">
        <v>5</v>
      </c>
      <c r="G1628" s="28" t="s">
        <v>12682</v>
      </c>
    </row>
    <row r="1629" spans="1:7" ht="72" x14ac:dyDescent="0.3">
      <c r="A1629" t="s">
        <v>9582</v>
      </c>
      <c r="B1629" t="s">
        <v>11316</v>
      </c>
      <c r="C1629" s="20" t="s">
        <v>11317</v>
      </c>
      <c r="D1629">
        <v>271</v>
      </c>
      <c r="E1629" t="s">
        <v>9589</v>
      </c>
      <c r="F1629">
        <v>45</v>
      </c>
      <c r="G1629" s="28" t="s">
        <v>9590</v>
      </c>
    </row>
    <row r="1630" spans="1:7" ht="72" x14ac:dyDescent="0.3">
      <c r="A1630" t="s">
        <v>9582</v>
      </c>
      <c r="B1630" t="s">
        <v>11316</v>
      </c>
      <c r="C1630" s="20" t="s">
        <v>11317</v>
      </c>
      <c r="D1630">
        <v>271</v>
      </c>
      <c r="E1630" t="s">
        <v>9589</v>
      </c>
      <c r="F1630">
        <v>45</v>
      </c>
      <c r="G1630" s="28" t="s">
        <v>9590</v>
      </c>
    </row>
    <row r="1631" spans="1:7" ht="72" x14ac:dyDescent="0.3">
      <c r="A1631" t="s">
        <v>9582</v>
      </c>
      <c r="B1631" t="s">
        <v>11316</v>
      </c>
      <c r="C1631" s="20" t="s">
        <v>11317</v>
      </c>
      <c r="D1631">
        <v>271</v>
      </c>
      <c r="E1631" t="s">
        <v>9589</v>
      </c>
      <c r="F1631">
        <v>45</v>
      </c>
      <c r="G1631" s="28" t="s">
        <v>9590</v>
      </c>
    </row>
    <row r="1632" spans="1:7" ht="43.2" x14ac:dyDescent="0.3">
      <c r="A1632" t="s">
        <v>9582</v>
      </c>
      <c r="B1632" t="s">
        <v>11318</v>
      </c>
      <c r="C1632" s="20" t="s">
        <v>11319</v>
      </c>
      <c r="D1632">
        <v>1428</v>
      </c>
      <c r="E1632" t="s">
        <v>9585</v>
      </c>
      <c r="F1632">
        <v>5</v>
      </c>
      <c r="G1632" s="28" t="s">
        <v>9586</v>
      </c>
    </row>
    <row r="1633" spans="1:7" ht="28.8" x14ac:dyDescent="0.3">
      <c r="A1633" t="s">
        <v>9582</v>
      </c>
      <c r="B1633" t="s">
        <v>11320</v>
      </c>
      <c r="C1633" s="20" t="s">
        <v>11321</v>
      </c>
      <c r="D1633">
        <v>2205</v>
      </c>
      <c r="E1633" t="s">
        <v>9589</v>
      </c>
      <c r="G1633" s="17" t="s">
        <v>32</v>
      </c>
    </row>
    <row r="1634" spans="1:7" ht="57.6" x14ac:dyDescent="0.3">
      <c r="A1634" t="s">
        <v>9582</v>
      </c>
      <c r="B1634" t="s">
        <v>11322</v>
      </c>
      <c r="C1634" s="20" t="s">
        <v>11323</v>
      </c>
      <c r="D1634">
        <v>621</v>
      </c>
      <c r="E1634" t="s">
        <v>9585</v>
      </c>
      <c r="F1634">
        <v>5</v>
      </c>
      <c r="G1634" s="28" t="s">
        <v>12683</v>
      </c>
    </row>
    <row r="1635" spans="1:7" ht="72" x14ac:dyDescent="0.3">
      <c r="A1635" t="s">
        <v>9582</v>
      </c>
      <c r="B1635" t="s">
        <v>11324</v>
      </c>
      <c r="C1635" s="20" t="s">
        <v>11325</v>
      </c>
      <c r="D1635">
        <v>1844</v>
      </c>
      <c r="E1635" t="s">
        <v>9589</v>
      </c>
      <c r="F1635">
        <v>30</v>
      </c>
      <c r="G1635" s="28" t="s">
        <v>9590</v>
      </c>
    </row>
    <row r="1636" spans="1:7" ht="72" x14ac:dyDescent="0.3">
      <c r="A1636" t="s">
        <v>9582</v>
      </c>
      <c r="B1636" t="s">
        <v>11326</v>
      </c>
      <c r="C1636" s="20" t="s">
        <v>11327</v>
      </c>
      <c r="D1636">
        <v>628</v>
      </c>
      <c r="E1636" t="s">
        <v>9585</v>
      </c>
      <c r="F1636">
        <v>5</v>
      </c>
      <c r="G1636" s="28" t="s">
        <v>12684</v>
      </c>
    </row>
    <row r="1637" spans="1:7" ht="43.2" x14ac:dyDescent="0.3">
      <c r="A1637" t="s">
        <v>9582</v>
      </c>
      <c r="B1637" t="s">
        <v>11328</v>
      </c>
      <c r="C1637" s="20" t="s">
        <v>11329</v>
      </c>
      <c r="D1637">
        <v>2206</v>
      </c>
      <c r="E1637" t="s">
        <v>9589</v>
      </c>
      <c r="G1637" s="17" t="s">
        <v>32</v>
      </c>
    </row>
    <row r="1638" spans="1:7" ht="57.6" x14ac:dyDescent="0.3">
      <c r="A1638" t="s">
        <v>9582</v>
      </c>
      <c r="B1638" t="s">
        <v>11330</v>
      </c>
      <c r="C1638" s="20" t="s">
        <v>11331</v>
      </c>
      <c r="D1638">
        <v>1846</v>
      </c>
      <c r="E1638" t="s">
        <v>9589</v>
      </c>
      <c r="F1638">
        <v>200</v>
      </c>
      <c r="G1638" s="28" t="s">
        <v>9590</v>
      </c>
    </row>
    <row r="1639" spans="1:7" ht="129.6" x14ac:dyDescent="0.3">
      <c r="A1639" t="s">
        <v>9582</v>
      </c>
      <c r="B1639" t="s">
        <v>11332</v>
      </c>
      <c r="C1639" s="20" t="s">
        <v>11333</v>
      </c>
      <c r="D1639">
        <v>719</v>
      </c>
      <c r="E1639" t="s">
        <v>9585</v>
      </c>
      <c r="F1639">
        <v>5</v>
      </c>
      <c r="G1639" s="28" t="s">
        <v>12685</v>
      </c>
    </row>
    <row r="1640" spans="1:7" ht="115.2" x14ac:dyDescent="0.3">
      <c r="A1640" t="s">
        <v>9582</v>
      </c>
      <c r="B1640" t="s">
        <v>11334</v>
      </c>
      <c r="C1640" s="20" t="s">
        <v>11335</v>
      </c>
      <c r="D1640">
        <v>750</v>
      </c>
      <c r="E1640" t="s">
        <v>9589</v>
      </c>
      <c r="F1640">
        <v>80</v>
      </c>
      <c r="G1640" s="28" t="s">
        <v>9590</v>
      </c>
    </row>
    <row r="1641" spans="1:7" ht="72" x14ac:dyDescent="0.3">
      <c r="A1641" t="s">
        <v>9582</v>
      </c>
      <c r="B1641" t="s">
        <v>11336</v>
      </c>
      <c r="C1641" s="20" t="s">
        <v>11337</v>
      </c>
      <c r="D1641">
        <v>486</v>
      </c>
      <c r="E1641" t="s">
        <v>9585</v>
      </c>
      <c r="F1641">
        <v>5</v>
      </c>
      <c r="G1641" s="28" t="s">
        <v>12686</v>
      </c>
    </row>
    <row r="1642" spans="1:7" ht="72" x14ac:dyDescent="0.3">
      <c r="A1642" t="s">
        <v>9582</v>
      </c>
      <c r="B1642" t="s">
        <v>11338</v>
      </c>
      <c r="C1642" s="20" t="s">
        <v>12379</v>
      </c>
      <c r="D1642">
        <v>1303</v>
      </c>
      <c r="E1642" t="s">
        <v>9585</v>
      </c>
      <c r="F1642">
        <v>5</v>
      </c>
      <c r="G1642" s="28" t="s">
        <v>12687</v>
      </c>
    </row>
    <row r="1643" spans="1:7" ht="409.6" x14ac:dyDescent="0.3">
      <c r="A1643" t="s">
        <v>9582</v>
      </c>
      <c r="B1643" t="s">
        <v>11339</v>
      </c>
      <c r="C1643" s="20" t="s">
        <v>11340</v>
      </c>
      <c r="D1643">
        <v>499</v>
      </c>
      <c r="E1643" t="s">
        <v>9585</v>
      </c>
      <c r="F1643">
        <v>5</v>
      </c>
      <c r="G1643" s="28" t="s">
        <v>12688</v>
      </c>
    </row>
    <row r="1644" spans="1:7" ht="28.8" x14ac:dyDescent="0.3">
      <c r="A1644" t="s">
        <v>9582</v>
      </c>
      <c r="B1644" t="s">
        <v>11341</v>
      </c>
      <c r="C1644" s="20" t="s">
        <v>11342</v>
      </c>
      <c r="D1644">
        <v>1111</v>
      </c>
      <c r="E1644" t="s">
        <v>9616</v>
      </c>
      <c r="F1644">
        <v>8</v>
      </c>
      <c r="G1644" s="28" t="s">
        <v>9590</v>
      </c>
    </row>
    <row r="1645" spans="1:7" ht="28.8" x14ac:dyDescent="0.3">
      <c r="A1645" t="s">
        <v>9582</v>
      </c>
      <c r="B1645" t="s">
        <v>11341</v>
      </c>
      <c r="C1645" s="20" t="s">
        <v>11342</v>
      </c>
      <c r="D1645">
        <v>1111</v>
      </c>
      <c r="E1645" t="s">
        <v>9616</v>
      </c>
      <c r="F1645">
        <v>8</v>
      </c>
      <c r="G1645" s="28" t="s">
        <v>9590</v>
      </c>
    </row>
    <row r="1646" spans="1:7" ht="28.8" x14ac:dyDescent="0.3">
      <c r="A1646" t="s">
        <v>9582</v>
      </c>
      <c r="B1646" t="s">
        <v>11341</v>
      </c>
      <c r="C1646" s="20" t="s">
        <v>11342</v>
      </c>
      <c r="D1646">
        <v>1111</v>
      </c>
      <c r="E1646" t="s">
        <v>9616</v>
      </c>
      <c r="F1646">
        <v>8</v>
      </c>
      <c r="G1646" s="28" t="s">
        <v>9590</v>
      </c>
    </row>
    <row r="1647" spans="1:7" ht="230.4" x14ac:dyDescent="0.3">
      <c r="A1647" t="s">
        <v>9582</v>
      </c>
      <c r="B1647" t="s">
        <v>11343</v>
      </c>
      <c r="C1647" s="20" t="s">
        <v>11344</v>
      </c>
      <c r="D1647">
        <v>1024</v>
      </c>
      <c r="E1647" t="s">
        <v>9585</v>
      </c>
      <c r="F1647">
        <v>5</v>
      </c>
      <c r="G1647" s="28" t="s">
        <v>12689</v>
      </c>
    </row>
    <row r="1648" spans="1:7" ht="158.4" x14ac:dyDescent="0.3">
      <c r="A1648" t="s">
        <v>9582</v>
      </c>
      <c r="B1648" t="s">
        <v>11345</v>
      </c>
      <c r="C1648" s="20" t="s">
        <v>11346</v>
      </c>
      <c r="D1648">
        <v>278</v>
      </c>
      <c r="E1648" t="s">
        <v>9585</v>
      </c>
      <c r="F1648">
        <v>5</v>
      </c>
      <c r="G1648" s="28" t="s">
        <v>12690</v>
      </c>
    </row>
    <row r="1649" spans="1:7" ht="409.6" x14ac:dyDescent="0.3">
      <c r="A1649" t="s">
        <v>9582</v>
      </c>
      <c r="B1649" t="s">
        <v>11347</v>
      </c>
      <c r="C1649" s="20" t="s">
        <v>11348</v>
      </c>
      <c r="D1649">
        <v>436</v>
      </c>
      <c r="E1649" t="s">
        <v>9585</v>
      </c>
      <c r="F1649">
        <v>5</v>
      </c>
      <c r="G1649" s="28" t="s">
        <v>12691</v>
      </c>
    </row>
    <row r="1650" spans="1:7" ht="409.6" x14ac:dyDescent="0.3">
      <c r="A1650" t="s">
        <v>9582</v>
      </c>
      <c r="B1650" t="s">
        <v>11347</v>
      </c>
      <c r="C1650" s="20" t="s">
        <v>11348</v>
      </c>
      <c r="D1650">
        <v>436</v>
      </c>
      <c r="E1650" t="s">
        <v>9585</v>
      </c>
      <c r="F1650">
        <v>5</v>
      </c>
      <c r="G1650" s="28" t="s">
        <v>12691</v>
      </c>
    </row>
    <row r="1651" spans="1:7" ht="409.6" x14ac:dyDescent="0.3">
      <c r="A1651" t="s">
        <v>9582</v>
      </c>
      <c r="B1651" t="s">
        <v>11349</v>
      </c>
      <c r="C1651" s="20" t="s">
        <v>11350</v>
      </c>
      <c r="D1651">
        <v>421</v>
      </c>
      <c r="E1651" t="s">
        <v>9585</v>
      </c>
      <c r="F1651">
        <v>5</v>
      </c>
      <c r="G1651" s="28" t="s">
        <v>12691</v>
      </c>
    </row>
    <row r="1652" spans="1:7" ht="230.4" x14ac:dyDescent="0.3">
      <c r="A1652" t="s">
        <v>9582</v>
      </c>
      <c r="B1652" t="s">
        <v>11351</v>
      </c>
      <c r="C1652" s="20" t="s">
        <v>12380</v>
      </c>
      <c r="D1652">
        <v>1162</v>
      </c>
      <c r="E1652" t="s">
        <v>9585</v>
      </c>
      <c r="F1652">
        <v>5</v>
      </c>
      <c r="G1652" s="28" t="s">
        <v>12606</v>
      </c>
    </row>
    <row r="1653" spans="1:7" ht="273.60000000000002" x14ac:dyDescent="0.3">
      <c r="A1653" t="s">
        <v>9582</v>
      </c>
      <c r="B1653" t="s">
        <v>11352</v>
      </c>
      <c r="C1653" s="20" t="s">
        <v>11353</v>
      </c>
      <c r="D1653">
        <v>1085</v>
      </c>
      <c r="E1653" t="s">
        <v>9585</v>
      </c>
      <c r="F1653">
        <v>5</v>
      </c>
      <c r="G1653" s="28" t="s">
        <v>12692</v>
      </c>
    </row>
    <row r="1654" spans="1:7" ht="273.60000000000002" x14ac:dyDescent="0.3">
      <c r="A1654" t="s">
        <v>9582</v>
      </c>
      <c r="B1654" t="s">
        <v>11352</v>
      </c>
      <c r="C1654" s="20" t="s">
        <v>11353</v>
      </c>
      <c r="D1654">
        <v>1085</v>
      </c>
      <c r="E1654" t="s">
        <v>9585</v>
      </c>
      <c r="F1654">
        <v>5</v>
      </c>
      <c r="G1654" s="28" t="s">
        <v>12692</v>
      </c>
    </row>
    <row r="1655" spans="1:7" ht="273.60000000000002" x14ac:dyDescent="0.3">
      <c r="A1655" t="s">
        <v>9582</v>
      </c>
      <c r="B1655" t="s">
        <v>11352</v>
      </c>
      <c r="C1655" s="20" t="s">
        <v>11353</v>
      </c>
      <c r="D1655">
        <v>1085</v>
      </c>
      <c r="E1655" t="s">
        <v>9585</v>
      </c>
      <c r="F1655">
        <v>5</v>
      </c>
      <c r="G1655" s="28" t="s">
        <v>12692</v>
      </c>
    </row>
    <row r="1656" spans="1:7" ht="100.8" x14ac:dyDescent="0.3">
      <c r="A1656" t="s">
        <v>9582</v>
      </c>
      <c r="B1656" t="s">
        <v>11354</v>
      </c>
      <c r="C1656" s="20" t="s">
        <v>11355</v>
      </c>
      <c r="D1656">
        <v>1087</v>
      </c>
      <c r="E1656" t="s">
        <v>9585</v>
      </c>
      <c r="F1656">
        <v>5</v>
      </c>
      <c r="G1656" s="28" t="s">
        <v>12693</v>
      </c>
    </row>
    <row r="1657" spans="1:7" ht="100.8" x14ac:dyDescent="0.3">
      <c r="A1657" t="s">
        <v>9582</v>
      </c>
      <c r="B1657" t="s">
        <v>11354</v>
      </c>
      <c r="C1657" s="20" t="s">
        <v>11355</v>
      </c>
      <c r="D1657">
        <v>1087</v>
      </c>
      <c r="E1657" t="s">
        <v>9585</v>
      </c>
      <c r="F1657">
        <v>5</v>
      </c>
      <c r="G1657" s="28" t="s">
        <v>12693</v>
      </c>
    </row>
    <row r="1658" spans="1:7" ht="100.8" x14ac:dyDescent="0.3">
      <c r="A1658" t="s">
        <v>9582</v>
      </c>
      <c r="B1658" t="s">
        <v>11354</v>
      </c>
      <c r="C1658" s="20" t="s">
        <v>11355</v>
      </c>
      <c r="D1658">
        <v>1087</v>
      </c>
      <c r="E1658" t="s">
        <v>9585</v>
      </c>
      <c r="F1658">
        <v>5</v>
      </c>
      <c r="G1658" s="28" t="s">
        <v>12693</v>
      </c>
    </row>
    <row r="1659" spans="1:7" ht="115.2" x14ac:dyDescent="0.3">
      <c r="A1659" t="s">
        <v>9582</v>
      </c>
      <c r="B1659" t="s">
        <v>11356</v>
      </c>
      <c r="C1659" s="20" t="s">
        <v>11357</v>
      </c>
      <c r="D1659">
        <v>1086</v>
      </c>
      <c r="E1659" t="s">
        <v>9585</v>
      </c>
      <c r="F1659">
        <v>5</v>
      </c>
      <c r="G1659" s="28" t="s">
        <v>12694</v>
      </c>
    </row>
    <row r="1660" spans="1:7" ht="115.2" x14ac:dyDescent="0.3">
      <c r="A1660" t="s">
        <v>9582</v>
      </c>
      <c r="B1660" t="s">
        <v>11356</v>
      </c>
      <c r="C1660" s="20" t="s">
        <v>11357</v>
      </c>
      <c r="D1660">
        <v>1086</v>
      </c>
      <c r="E1660" t="s">
        <v>9585</v>
      </c>
      <c r="F1660">
        <v>5</v>
      </c>
      <c r="G1660" s="28" t="s">
        <v>12694</v>
      </c>
    </row>
    <row r="1661" spans="1:7" ht="115.2" x14ac:dyDescent="0.3">
      <c r="A1661" t="s">
        <v>9582</v>
      </c>
      <c r="B1661" t="s">
        <v>11356</v>
      </c>
      <c r="C1661" s="20" t="s">
        <v>11357</v>
      </c>
      <c r="D1661">
        <v>1086</v>
      </c>
      <c r="E1661" t="s">
        <v>9585</v>
      </c>
      <c r="F1661">
        <v>5</v>
      </c>
      <c r="G1661" s="28" t="s">
        <v>12694</v>
      </c>
    </row>
    <row r="1662" spans="1:7" ht="57.6" x14ac:dyDescent="0.3">
      <c r="A1662" t="s">
        <v>9582</v>
      </c>
      <c r="B1662" t="s">
        <v>11358</v>
      </c>
      <c r="C1662" s="20" t="s">
        <v>11359</v>
      </c>
      <c r="D1662">
        <v>1417</v>
      </c>
      <c r="E1662" t="s">
        <v>9585</v>
      </c>
      <c r="F1662">
        <v>5</v>
      </c>
      <c r="G1662" s="28" t="s">
        <v>9586</v>
      </c>
    </row>
    <row r="1663" spans="1:7" ht="100.8" x14ac:dyDescent="0.3">
      <c r="A1663" t="s">
        <v>9582</v>
      </c>
      <c r="B1663" t="s">
        <v>11360</v>
      </c>
      <c r="C1663" s="20" t="s">
        <v>11361</v>
      </c>
      <c r="D1663">
        <v>281</v>
      </c>
      <c r="E1663" t="s">
        <v>9589</v>
      </c>
      <c r="F1663">
        <v>60</v>
      </c>
      <c r="G1663" s="28" t="s">
        <v>9590</v>
      </c>
    </row>
    <row r="1664" spans="1:7" ht="100.8" x14ac:dyDescent="0.3">
      <c r="A1664" t="s">
        <v>9582</v>
      </c>
      <c r="B1664" t="s">
        <v>11360</v>
      </c>
      <c r="C1664" s="20" t="s">
        <v>11361</v>
      </c>
      <c r="D1664">
        <v>281</v>
      </c>
      <c r="E1664" t="s">
        <v>9589</v>
      </c>
      <c r="F1664">
        <v>60</v>
      </c>
      <c r="G1664" s="28" t="s">
        <v>9590</v>
      </c>
    </row>
    <row r="1665" spans="1:7" ht="100.8" x14ac:dyDescent="0.3">
      <c r="A1665" t="s">
        <v>9582</v>
      </c>
      <c r="B1665" t="s">
        <v>11360</v>
      </c>
      <c r="C1665" s="20" t="s">
        <v>11361</v>
      </c>
      <c r="D1665">
        <v>281</v>
      </c>
      <c r="E1665" t="s">
        <v>9589</v>
      </c>
      <c r="F1665">
        <v>60</v>
      </c>
      <c r="G1665" s="28" t="s">
        <v>9590</v>
      </c>
    </row>
    <row r="1666" spans="1:7" ht="100.8" x14ac:dyDescent="0.3">
      <c r="A1666" t="s">
        <v>9582</v>
      </c>
      <c r="B1666" t="s">
        <v>11360</v>
      </c>
      <c r="C1666" s="20" t="s">
        <v>11361</v>
      </c>
      <c r="D1666">
        <v>281</v>
      </c>
      <c r="E1666" t="s">
        <v>9589</v>
      </c>
      <c r="F1666">
        <v>60</v>
      </c>
      <c r="G1666" s="28" t="s">
        <v>9590</v>
      </c>
    </row>
    <row r="1667" spans="1:7" ht="100.8" x14ac:dyDescent="0.3">
      <c r="A1667" t="s">
        <v>9582</v>
      </c>
      <c r="B1667" t="s">
        <v>11360</v>
      </c>
      <c r="C1667" s="20" t="s">
        <v>11361</v>
      </c>
      <c r="D1667">
        <v>281</v>
      </c>
      <c r="E1667" t="s">
        <v>9589</v>
      </c>
      <c r="F1667">
        <v>60</v>
      </c>
      <c r="G1667" s="28" t="s">
        <v>9590</v>
      </c>
    </row>
    <row r="1668" spans="1:7" ht="100.8" x14ac:dyDescent="0.3">
      <c r="A1668" t="s">
        <v>9582</v>
      </c>
      <c r="B1668" t="s">
        <v>11360</v>
      </c>
      <c r="C1668" s="20" t="s">
        <v>11361</v>
      </c>
      <c r="D1668">
        <v>281</v>
      </c>
      <c r="E1668" t="s">
        <v>9589</v>
      </c>
      <c r="F1668">
        <v>60</v>
      </c>
      <c r="G1668" s="28" t="s">
        <v>9590</v>
      </c>
    </row>
    <row r="1669" spans="1:7" ht="100.8" x14ac:dyDescent="0.3">
      <c r="A1669" t="s">
        <v>9582</v>
      </c>
      <c r="B1669" t="s">
        <v>11360</v>
      </c>
      <c r="C1669" s="20" t="s">
        <v>11361</v>
      </c>
      <c r="D1669">
        <v>281</v>
      </c>
      <c r="E1669" t="s">
        <v>9589</v>
      </c>
      <c r="F1669">
        <v>60</v>
      </c>
      <c r="G1669" s="28" t="s">
        <v>9590</v>
      </c>
    </row>
    <row r="1670" spans="1:7" ht="28.8" x14ac:dyDescent="0.3">
      <c r="A1670" t="s">
        <v>9582</v>
      </c>
      <c r="B1670" t="s">
        <v>11362</v>
      </c>
      <c r="C1670" s="20" t="s">
        <v>11363</v>
      </c>
      <c r="D1670">
        <v>472</v>
      </c>
      <c r="E1670" t="s">
        <v>9616</v>
      </c>
      <c r="F1670">
        <v>8</v>
      </c>
      <c r="G1670" s="28" t="s">
        <v>9590</v>
      </c>
    </row>
    <row r="1671" spans="1:7" ht="216" x14ac:dyDescent="0.3">
      <c r="A1671" t="s">
        <v>9582</v>
      </c>
      <c r="B1671" t="s">
        <v>11364</v>
      </c>
      <c r="C1671" s="20" t="s">
        <v>11365</v>
      </c>
      <c r="D1671">
        <v>774</v>
      </c>
      <c r="E1671" t="s">
        <v>9585</v>
      </c>
      <c r="F1671">
        <v>5</v>
      </c>
      <c r="G1671" s="28" t="s">
        <v>12666</v>
      </c>
    </row>
    <row r="1672" spans="1:7" ht="100.8" x14ac:dyDescent="0.3">
      <c r="A1672" t="s">
        <v>9582</v>
      </c>
      <c r="B1672" t="s">
        <v>11366</v>
      </c>
      <c r="C1672" s="20" t="s">
        <v>11367</v>
      </c>
      <c r="D1672">
        <v>1141</v>
      </c>
      <c r="E1672" t="s">
        <v>9585</v>
      </c>
      <c r="F1672">
        <v>5</v>
      </c>
      <c r="G1672" s="28" t="s">
        <v>12695</v>
      </c>
    </row>
    <row r="1673" spans="1:7" ht="86.4" x14ac:dyDescent="0.3">
      <c r="A1673" t="s">
        <v>9582</v>
      </c>
      <c r="B1673" t="s">
        <v>11368</v>
      </c>
      <c r="C1673" s="20" t="s">
        <v>11369</v>
      </c>
      <c r="D1673">
        <v>1304</v>
      </c>
      <c r="E1673" t="s">
        <v>9585</v>
      </c>
      <c r="F1673">
        <v>5</v>
      </c>
      <c r="G1673" s="28" t="s">
        <v>12696</v>
      </c>
    </row>
    <row r="1674" spans="1:7" ht="100.8" x14ac:dyDescent="0.3">
      <c r="A1674" t="s">
        <v>9582</v>
      </c>
      <c r="B1674" t="s">
        <v>11370</v>
      </c>
      <c r="C1674" s="20" t="s">
        <v>11371</v>
      </c>
      <c r="D1674">
        <v>1305</v>
      </c>
      <c r="E1674" t="s">
        <v>9585</v>
      </c>
      <c r="F1674">
        <v>5</v>
      </c>
      <c r="G1674" s="28" t="s">
        <v>12697</v>
      </c>
    </row>
    <row r="1675" spans="1:7" ht="144" x14ac:dyDescent="0.3">
      <c r="A1675" t="s">
        <v>9582</v>
      </c>
      <c r="B1675" t="s">
        <v>11372</v>
      </c>
      <c r="C1675" s="20" t="s">
        <v>11373</v>
      </c>
      <c r="D1675">
        <v>831</v>
      </c>
      <c r="E1675" t="s">
        <v>9589</v>
      </c>
      <c r="F1675">
        <v>45</v>
      </c>
      <c r="G1675" s="28" t="s">
        <v>9590</v>
      </c>
    </row>
    <row r="1676" spans="1:7" ht="259.2" x14ac:dyDescent="0.3">
      <c r="A1676" t="s">
        <v>9582</v>
      </c>
      <c r="B1676" t="s">
        <v>11374</v>
      </c>
      <c r="C1676" s="20" t="s">
        <v>12381</v>
      </c>
      <c r="D1676">
        <v>1882</v>
      </c>
      <c r="E1676" t="s">
        <v>9633</v>
      </c>
      <c r="F1676">
        <v>1.2</v>
      </c>
      <c r="G1676" s="28" t="s">
        <v>9590</v>
      </c>
    </row>
    <row r="1677" spans="1:7" ht="115.2" x14ac:dyDescent="0.3">
      <c r="A1677" t="s">
        <v>9582</v>
      </c>
      <c r="B1677" t="s">
        <v>11375</v>
      </c>
      <c r="C1677" s="20" t="s">
        <v>11376</v>
      </c>
      <c r="D1677">
        <v>1883</v>
      </c>
      <c r="E1677" t="s">
        <v>9633</v>
      </c>
      <c r="F1677">
        <v>1.2</v>
      </c>
      <c r="G1677" s="28" t="s">
        <v>9590</v>
      </c>
    </row>
    <row r="1678" spans="1:7" ht="28.8" x14ac:dyDescent="0.3">
      <c r="A1678" t="s">
        <v>9582</v>
      </c>
      <c r="B1678" t="s">
        <v>11377</v>
      </c>
      <c r="C1678" s="20" t="s">
        <v>11378</v>
      </c>
      <c r="D1678">
        <v>563</v>
      </c>
      <c r="E1678" t="s">
        <v>9589</v>
      </c>
      <c r="F1678">
        <v>15</v>
      </c>
      <c r="G1678" s="28" t="s">
        <v>9590</v>
      </c>
    </row>
    <row r="1679" spans="1:7" ht="57.6" x14ac:dyDescent="0.3">
      <c r="A1679" t="s">
        <v>9582</v>
      </c>
      <c r="B1679" t="s">
        <v>11379</v>
      </c>
      <c r="C1679" s="20" t="s">
        <v>11380</v>
      </c>
      <c r="D1679">
        <v>562</v>
      </c>
      <c r="E1679" t="s">
        <v>9585</v>
      </c>
      <c r="F1679">
        <v>5</v>
      </c>
      <c r="G1679" s="28" t="s">
        <v>12698</v>
      </c>
    </row>
    <row r="1680" spans="1:7" ht="28.8" x14ac:dyDescent="0.3">
      <c r="A1680" t="s">
        <v>9582</v>
      </c>
      <c r="B1680" t="s">
        <v>11381</v>
      </c>
      <c r="C1680" s="20" t="s">
        <v>11382</v>
      </c>
      <c r="D1680">
        <v>1457</v>
      </c>
      <c r="E1680" t="s">
        <v>9589</v>
      </c>
      <c r="F1680">
        <v>25</v>
      </c>
      <c r="G1680" s="28" t="s">
        <v>9590</v>
      </c>
    </row>
    <row r="1681" spans="1:7" ht="28.8" x14ac:dyDescent="0.3">
      <c r="A1681" t="s">
        <v>9582</v>
      </c>
      <c r="B1681" t="s">
        <v>11383</v>
      </c>
      <c r="C1681" s="20" t="s">
        <v>11384</v>
      </c>
      <c r="D1681">
        <v>1458</v>
      </c>
      <c r="E1681" t="s">
        <v>9589</v>
      </c>
      <c r="F1681">
        <v>30</v>
      </c>
      <c r="G1681" s="28" t="s">
        <v>9590</v>
      </c>
    </row>
    <row r="1682" spans="1:7" ht="28.8" x14ac:dyDescent="0.3">
      <c r="A1682" t="s">
        <v>9582</v>
      </c>
      <c r="B1682" t="s">
        <v>11385</v>
      </c>
      <c r="C1682" s="20" t="s">
        <v>11386</v>
      </c>
      <c r="D1682">
        <v>1459</v>
      </c>
      <c r="E1682" t="s">
        <v>9589</v>
      </c>
      <c r="F1682">
        <v>25</v>
      </c>
      <c r="G1682" s="28" t="s">
        <v>9590</v>
      </c>
    </row>
    <row r="1683" spans="1:7" ht="43.2" x14ac:dyDescent="0.3">
      <c r="A1683" t="s">
        <v>9582</v>
      </c>
      <c r="B1683" t="s">
        <v>11387</v>
      </c>
      <c r="C1683" s="20" t="s">
        <v>11388</v>
      </c>
      <c r="D1683">
        <v>1399</v>
      </c>
      <c r="E1683" t="s">
        <v>9585</v>
      </c>
      <c r="F1683">
        <v>5</v>
      </c>
      <c r="G1683" s="28" t="s">
        <v>9586</v>
      </c>
    </row>
    <row r="1684" spans="1:7" ht="57.6" x14ac:dyDescent="0.3">
      <c r="A1684" t="s">
        <v>9582</v>
      </c>
      <c r="B1684" t="s">
        <v>11389</v>
      </c>
      <c r="C1684" s="20" t="s">
        <v>11390</v>
      </c>
      <c r="D1684">
        <v>1865</v>
      </c>
      <c r="E1684" t="s">
        <v>9653</v>
      </c>
      <c r="F1684">
        <v>6</v>
      </c>
      <c r="G1684" s="28" t="s">
        <v>9590</v>
      </c>
    </row>
    <row r="1685" spans="1:7" ht="144" x14ac:dyDescent="0.3">
      <c r="A1685" t="s">
        <v>9582</v>
      </c>
      <c r="B1685" t="s">
        <v>11391</v>
      </c>
      <c r="C1685" s="20" t="s">
        <v>11392</v>
      </c>
      <c r="D1685">
        <v>1421</v>
      </c>
      <c r="E1685" t="s">
        <v>9585</v>
      </c>
      <c r="F1685">
        <v>5</v>
      </c>
      <c r="G1685" s="28" t="s">
        <v>12699</v>
      </c>
    </row>
    <row r="1686" spans="1:7" ht="144" x14ac:dyDescent="0.3">
      <c r="A1686" t="s">
        <v>9582</v>
      </c>
      <c r="B1686" t="s">
        <v>11391</v>
      </c>
      <c r="C1686" s="20" t="s">
        <v>11392</v>
      </c>
      <c r="D1686">
        <v>1421</v>
      </c>
      <c r="E1686" t="s">
        <v>9585</v>
      </c>
      <c r="F1686">
        <v>5</v>
      </c>
      <c r="G1686" s="28" t="s">
        <v>12699</v>
      </c>
    </row>
    <row r="1687" spans="1:7" ht="115.2" x14ac:dyDescent="0.3">
      <c r="A1687" t="s">
        <v>9582</v>
      </c>
      <c r="B1687" t="s">
        <v>11393</v>
      </c>
      <c r="C1687" s="20" t="s">
        <v>12382</v>
      </c>
      <c r="D1687">
        <v>1306</v>
      </c>
      <c r="E1687" t="s">
        <v>9585</v>
      </c>
      <c r="F1687">
        <v>5</v>
      </c>
      <c r="G1687" s="28" t="s">
        <v>12700</v>
      </c>
    </row>
    <row r="1688" spans="1:7" ht="28.8" x14ac:dyDescent="0.3">
      <c r="A1688" t="s">
        <v>9582</v>
      </c>
      <c r="B1688" t="s">
        <v>11394</v>
      </c>
      <c r="C1688" s="20" t="s">
        <v>11395</v>
      </c>
      <c r="D1688">
        <v>1011</v>
      </c>
      <c r="E1688" t="s">
        <v>9633</v>
      </c>
      <c r="F1688">
        <v>8.1999999999999993</v>
      </c>
      <c r="G1688" s="28" t="s">
        <v>9590</v>
      </c>
    </row>
    <row r="1689" spans="1:7" ht="43.2" x14ac:dyDescent="0.3">
      <c r="A1689" t="s">
        <v>9582</v>
      </c>
      <c r="B1689" t="s">
        <v>11396</v>
      </c>
      <c r="C1689" s="20" t="s">
        <v>11397</v>
      </c>
      <c r="D1689">
        <v>1278</v>
      </c>
      <c r="E1689" t="s">
        <v>9653</v>
      </c>
      <c r="F1689">
        <v>6</v>
      </c>
      <c r="G1689" s="28" t="s">
        <v>9590</v>
      </c>
    </row>
    <row r="1690" spans="1:7" ht="43.2" x14ac:dyDescent="0.3">
      <c r="A1690" t="s">
        <v>9582</v>
      </c>
      <c r="B1690" t="s">
        <v>11398</v>
      </c>
      <c r="C1690" s="20" t="s">
        <v>11399</v>
      </c>
      <c r="D1690">
        <v>627</v>
      </c>
      <c r="E1690" t="s">
        <v>9633</v>
      </c>
      <c r="F1690">
        <v>5.2</v>
      </c>
      <c r="G1690" s="28" t="s">
        <v>9590</v>
      </c>
    </row>
    <row r="1691" spans="1:7" ht="100.8" x14ac:dyDescent="0.3">
      <c r="A1691" t="s">
        <v>9582</v>
      </c>
      <c r="B1691" t="s">
        <v>11400</v>
      </c>
      <c r="C1691" s="20" t="s">
        <v>11401</v>
      </c>
      <c r="D1691">
        <v>284</v>
      </c>
      <c r="E1691" t="s">
        <v>9653</v>
      </c>
      <c r="F1691">
        <v>3</v>
      </c>
      <c r="G1691" s="28" t="s">
        <v>9590</v>
      </c>
    </row>
    <row r="1692" spans="1:7" ht="57.6" x14ac:dyDescent="0.3">
      <c r="A1692" t="s">
        <v>9582</v>
      </c>
      <c r="B1692" t="s">
        <v>11402</v>
      </c>
      <c r="C1692" s="20" t="s">
        <v>11403</v>
      </c>
      <c r="D1692">
        <v>724</v>
      </c>
      <c r="E1692" t="s">
        <v>9589</v>
      </c>
      <c r="F1692">
        <v>8</v>
      </c>
      <c r="G1692" s="28" t="s">
        <v>9590</v>
      </c>
    </row>
    <row r="1693" spans="1:7" ht="43.2" x14ac:dyDescent="0.3">
      <c r="A1693" t="s">
        <v>9582</v>
      </c>
      <c r="B1693" t="s">
        <v>11404</v>
      </c>
      <c r="C1693" s="20" t="s">
        <v>11405</v>
      </c>
      <c r="D1693">
        <v>441</v>
      </c>
      <c r="E1693" t="s">
        <v>9633</v>
      </c>
      <c r="F1693">
        <v>2.1</v>
      </c>
      <c r="G1693" s="28" t="s">
        <v>9590</v>
      </c>
    </row>
    <row r="1694" spans="1:7" ht="28.8" x14ac:dyDescent="0.3">
      <c r="A1694" t="s">
        <v>9582</v>
      </c>
      <c r="B1694" t="s">
        <v>11406</v>
      </c>
      <c r="C1694" s="20" t="s">
        <v>11407</v>
      </c>
      <c r="D1694">
        <v>286</v>
      </c>
      <c r="E1694" t="s">
        <v>9589</v>
      </c>
      <c r="F1694">
        <v>10</v>
      </c>
      <c r="G1694" s="28" t="s">
        <v>9590</v>
      </c>
    </row>
    <row r="1695" spans="1:7" ht="28.8" x14ac:dyDescent="0.3">
      <c r="A1695" t="s">
        <v>9582</v>
      </c>
      <c r="B1695" t="s">
        <v>11406</v>
      </c>
      <c r="C1695" s="20" t="s">
        <v>11407</v>
      </c>
      <c r="D1695">
        <v>286</v>
      </c>
      <c r="E1695" t="s">
        <v>9589</v>
      </c>
      <c r="F1695">
        <v>10</v>
      </c>
      <c r="G1695" s="28" t="s">
        <v>9590</v>
      </c>
    </row>
    <row r="1696" spans="1:7" ht="28.8" x14ac:dyDescent="0.3">
      <c r="A1696" t="s">
        <v>9582</v>
      </c>
      <c r="B1696" t="s">
        <v>11406</v>
      </c>
      <c r="C1696" s="20" t="s">
        <v>11407</v>
      </c>
      <c r="D1696">
        <v>286</v>
      </c>
      <c r="E1696" t="s">
        <v>9589</v>
      </c>
      <c r="F1696">
        <v>10</v>
      </c>
      <c r="G1696" s="28" t="s">
        <v>9590</v>
      </c>
    </row>
    <row r="1697" spans="1:7" ht="43.2" x14ac:dyDescent="0.3">
      <c r="A1697" t="s">
        <v>9582</v>
      </c>
      <c r="B1697" t="s">
        <v>11408</v>
      </c>
      <c r="C1697" s="20" t="s">
        <v>11409</v>
      </c>
      <c r="D1697">
        <v>287</v>
      </c>
      <c r="E1697" t="s">
        <v>9616</v>
      </c>
      <c r="F1697">
        <v>8</v>
      </c>
      <c r="G1697" s="28" t="s">
        <v>9590</v>
      </c>
    </row>
    <row r="1698" spans="1:7" ht="43.2" x14ac:dyDescent="0.3">
      <c r="A1698" t="s">
        <v>9582</v>
      </c>
      <c r="B1698" t="s">
        <v>11408</v>
      </c>
      <c r="C1698" s="20" t="s">
        <v>11409</v>
      </c>
      <c r="D1698">
        <v>287</v>
      </c>
      <c r="E1698" t="s">
        <v>9616</v>
      </c>
      <c r="F1698">
        <v>8</v>
      </c>
      <c r="G1698" s="28" t="s">
        <v>9590</v>
      </c>
    </row>
    <row r="1699" spans="1:7" ht="43.2" x14ac:dyDescent="0.3">
      <c r="A1699" t="s">
        <v>9582</v>
      </c>
      <c r="B1699" t="s">
        <v>11408</v>
      </c>
      <c r="C1699" s="20" t="s">
        <v>11409</v>
      </c>
      <c r="D1699">
        <v>287</v>
      </c>
      <c r="E1699" t="s">
        <v>9616</v>
      </c>
      <c r="F1699">
        <v>8</v>
      </c>
      <c r="G1699" s="28" t="s">
        <v>9590</v>
      </c>
    </row>
    <row r="1700" spans="1:7" ht="43.2" x14ac:dyDescent="0.3">
      <c r="A1700" t="s">
        <v>9582</v>
      </c>
      <c r="B1700" t="s">
        <v>11410</v>
      </c>
      <c r="C1700" s="20" t="s">
        <v>11411</v>
      </c>
      <c r="D1700">
        <v>288</v>
      </c>
      <c r="E1700" t="s">
        <v>9616</v>
      </c>
      <c r="F1700">
        <v>8</v>
      </c>
      <c r="G1700" s="28" t="s">
        <v>9590</v>
      </c>
    </row>
    <row r="1701" spans="1:7" ht="43.2" x14ac:dyDescent="0.3">
      <c r="A1701" t="s">
        <v>9582</v>
      </c>
      <c r="B1701" t="s">
        <v>11410</v>
      </c>
      <c r="C1701" s="20" t="s">
        <v>11411</v>
      </c>
      <c r="D1701">
        <v>288</v>
      </c>
      <c r="E1701" t="s">
        <v>9616</v>
      </c>
      <c r="F1701">
        <v>8</v>
      </c>
      <c r="G1701" s="28" t="s">
        <v>9590</v>
      </c>
    </row>
    <row r="1702" spans="1:7" ht="43.2" x14ac:dyDescent="0.3">
      <c r="A1702" t="s">
        <v>9582</v>
      </c>
      <c r="B1702" t="s">
        <v>11410</v>
      </c>
      <c r="C1702" s="20" t="s">
        <v>11411</v>
      </c>
      <c r="D1702">
        <v>288</v>
      </c>
      <c r="E1702" t="s">
        <v>9616</v>
      </c>
      <c r="F1702">
        <v>8</v>
      </c>
      <c r="G1702" s="28" t="s">
        <v>9590</v>
      </c>
    </row>
    <row r="1703" spans="1:7" ht="57.6" x14ac:dyDescent="0.3">
      <c r="A1703" t="s">
        <v>9582</v>
      </c>
      <c r="B1703" t="s">
        <v>11412</v>
      </c>
      <c r="C1703" s="20" t="s">
        <v>11413</v>
      </c>
      <c r="D1703">
        <v>841</v>
      </c>
      <c r="E1703" t="s">
        <v>9585</v>
      </c>
      <c r="F1703">
        <v>5</v>
      </c>
      <c r="G1703" s="28" t="s">
        <v>12701</v>
      </c>
    </row>
    <row r="1704" spans="1:7" ht="57.6" x14ac:dyDescent="0.3">
      <c r="A1704" t="s">
        <v>9582</v>
      </c>
      <c r="B1704" t="s">
        <v>11412</v>
      </c>
      <c r="C1704" s="20" t="s">
        <v>11413</v>
      </c>
      <c r="D1704">
        <v>841</v>
      </c>
      <c r="E1704" t="s">
        <v>9585</v>
      </c>
      <c r="F1704">
        <v>5</v>
      </c>
      <c r="G1704" s="28" t="s">
        <v>12701</v>
      </c>
    </row>
    <row r="1705" spans="1:7" ht="57.6" x14ac:dyDescent="0.3">
      <c r="A1705" t="s">
        <v>9582</v>
      </c>
      <c r="B1705" t="s">
        <v>11412</v>
      </c>
      <c r="C1705" s="20" t="s">
        <v>11413</v>
      </c>
      <c r="D1705">
        <v>841</v>
      </c>
      <c r="E1705" t="s">
        <v>9585</v>
      </c>
      <c r="F1705">
        <v>5</v>
      </c>
      <c r="G1705" s="28" t="s">
        <v>12701</v>
      </c>
    </row>
    <row r="1706" spans="1:7" ht="28.8" x14ac:dyDescent="0.3">
      <c r="A1706" t="s">
        <v>9582</v>
      </c>
      <c r="B1706" t="s">
        <v>11414</v>
      </c>
      <c r="C1706" s="20" t="s">
        <v>11415</v>
      </c>
      <c r="D1706">
        <v>1194</v>
      </c>
      <c r="E1706" t="s">
        <v>9585</v>
      </c>
      <c r="F1706">
        <v>5</v>
      </c>
      <c r="G1706" s="28" t="s">
        <v>9586</v>
      </c>
    </row>
    <row r="1707" spans="1:7" ht="28.8" x14ac:dyDescent="0.3">
      <c r="A1707" t="s">
        <v>9582</v>
      </c>
      <c r="B1707" t="s">
        <v>11416</v>
      </c>
      <c r="C1707" s="20" t="s">
        <v>11417</v>
      </c>
      <c r="D1707">
        <v>1249</v>
      </c>
      <c r="E1707" t="s">
        <v>9616</v>
      </c>
      <c r="F1707">
        <v>8</v>
      </c>
      <c r="G1707" s="28" t="s">
        <v>9590</v>
      </c>
    </row>
    <row r="1708" spans="1:7" ht="216" x14ac:dyDescent="0.3">
      <c r="A1708" t="s">
        <v>9582</v>
      </c>
      <c r="B1708" t="s">
        <v>11418</v>
      </c>
      <c r="C1708" s="20" t="s">
        <v>11419</v>
      </c>
      <c r="D1708">
        <v>1250</v>
      </c>
      <c r="E1708" t="s">
        <v>9585</v>
      </c>
      <c r="F1708">
        <v>5</v>
      </c>
      <c r="G1708" s="28" t="s">
        <v>12499</v>
      </c>
    </row>
    <row r="1709" spans="1:7" ht="28.8" x14ac:dyDescent="0.3">
      <c r="A1709" t="s">
        <v>9582</v>
      </c>
      <c r="B1709" t="s">
        <v>11420</v>
      </c>
      <c r="C1709" s="20" t="s">
        <v>11421</v>
      </c>
      <c r="D1709">
        <v>1251</v>
      </c>
      <c r="E1709" t="s">
        <v>9589</v>
      </c>
      <c r="F1709">
        <v>30</v>
      </c>
      <c r="G1709" s="28" t="s">
        <v>9590</v>
      </c>
    </row>
    <row r="1710" spans="1:7" ht="28.8" x14ac:dyDescent="0.3">
      <c r="A1710" t="s">
        <v>9582</v>
      </c>
      <c r="B1710" t="s">
        <v>11422</v>
      </c>
      <c r="C1710" s="20" t="s">
        <v>11423</v>
      </c>
      <c r="D1710">
        <v>1252</v>
      </c>
      <c r="E1710" t="s">
        <v>9589</v>
      </c>
      <c r="F1710">
        <v>30</v>
      </c>
      <c r="G1710" s="28" t="s">
        <v>9590</v>
      </c>
    </row>
    <row r="1711" spans="1:7" ht="28.8" x14ac:dyDescent="0.3">
      <c r="A1711" t="s">
        <v>9582</v>
      </c>
      <c r="B1711" t="s">
        <v>11424</v>
      </c>
      <c r="C1711" s="20" t="s">
        <v>11425</v>
      </c>
      <c r="D1711">
        <v>1253</v>
      </c>
      <c r="E1711" t="s">
        <v>9616</v>
      </c>
      <c r="F1711">
        <v>8</v>
      </c>
      <c r="G1711" s="28" t="s">
        <v>9590</v>
      </c>
    </row>
    <row r="1712" spans="1:7" ht="43.2" x14ac:dyDescent="0.3">
      <c r="A1712" t="s">
        <v>9582</v>
      </c>
      <c r="B1712" t="s">
        <v>11426</v>
      </c>
      <c r="C1712" s="20" t="s">
        <v>11427</v>
      </c>
      <c r="D1712">
        <v>1254</v>
      </c>
      <c r="E1712" t="s">
        <v>9589</v>
      </c>
      <c r="F1712">
        <v>45</v>
      </c>
      <c r="G1712" s="28" t="s">
        <v>9590</v>
      </c>
    </row>
    <row r="1713" spans="1:7" ht="158.4" x14ac:dyDescent="0.3">
      <c r="A1713" t="s">
        <v>9582</v>
      </c>
      <c r="B1713" t="s">
        <v>11428</v>
      </c>
      <c r="C1713" s="20" t="s">
        <v>11429</v>
      </c>
      <c r="D1713">
        <v>721</v>
      </c>
      <c r="E1713" t="s">
        <v>9585</v>
      </c>
      <c r="F1713">
        <v>5</v>
      </c>
      <c r="G1713" s="28" t="s">
        <v>12702</v>
      </c>
    </row>
    <row r="1714" spans="1:7" ht="28.8" x14ac:dyDescent="0.3">
      <c r="A1714" t="s">
        <v>9582</v>
      </c>
      <c r="B1714" t="s">
        <v>11430</v>
      </c>
      <c r="C1714" s="20" t="s">
        <v>11431</v>
      </c>
      <c r="D1714">
        <v>448</v>
      </c>
      <c r="E1714" t="s">
        <v>9616</v>
      </c>
      <c r="F1714">
        <v>8</v>
      </c>
      <c r="G1714" s="28" t="s">
        <v>9590</v>
      </c>
    </row>
    <row r="1715" spans="1:7" ht="28.8" x14ac:dyDescent="0.3">
      <c r="A1715" t="s">
        <v>9582</v>
      </c>
      <c r="B1715" t="s">
        <v>11432</v>
      </c>
      <c r="C1715" s="20" t="s">
        <v>11433</v>
      </c>
      <c r="D1715">
        <v>449</v>
      </c>
      <c r="E1715" t="s">
        <v>9616</v>
      </c>
      <c r="F1715">
        <v>8</v>
      </c>
      <c r="G1715" s="28" t="s">
        <v>9590</v>
      </c>
    </row>
    <row r="1716" spans="1:7" ht="28.8" x14ac:dyDescent="0.3">
      <c r="A1716" t="s">
        <v>9582</v>
      </c>
      <c r="B1716" t="s">
        <v>11434</v>
      </c>
      <c r="C1716" s="20" t="s">
        <v>11435</v>
      </c>
      <c r="D1716">
        <v>446</v>
      </c>
      <c r="E1716" t="s">
        <v>9589</v>
      </c>
      <c r="F1716">
        <v>45</v>
      </c>
      <c r="G1716" s="28" t="s">
        <v>9590</v>
      </c>
    </row>
    <row r="1717" spans="1:7" ht="28.8" x14ac:dyDescent="0.3">
      <c r="A1717" t="s">
        <v>9582</v>
      </c>
      <c r="B1717" t="s">
        <v>11436</v>
      </c>
      <c r="C1717" s="20" t="s">
        <v>11437</v>
      </c>
      <c r="D1717">
        <v>447</v>
      </c>
      <c r="E1717" t="s">
        <v>9589</v>
      </c>
      <c r="F1717">
        <v>80</v>
      </c>
      <c r="G1717" s="28" t="s">
        <v>9590</v>
      </c>
    </row>
    <row r="1718" spans="1:7" ht="43.2" x14ac:dyDescent="0.3">
      <c r="A1718" t="s">
        <v>9582</v>
      </c>
      <c r="B1718" t="s">
        <v>11438</v>
      </c>
      <c r="C1718" s="20" t="s">
        <v>11439</v>
      </c>
      <c r="D1718">
        <v>290</v>
      </c>
      <c r="E1718" t="s">
        <v>9589</v>
      </c>
      <c r="F1718">
        <v>20</v>
      </c>
      <c r="G1718" s="28" t="s">
        <v>9590</v>
      </c>
    </row>
    <row r="1719" spans="1:7" ht="43.2" x14ac:dyDescent="0.3">
      <c r="A1719" t="s">
        <v>9582</v>
      </c>
      <c r="B1719" t="s">
        <v>11438</v>
      </c>
      <c r="C1719" s="20" t="s">
        <v>11439</v>
      </c>
      <c r="D1719">
        <v>290</v>
      </c>
      <c r="E1719" t="s">
        <v>9589</v>
      </c>
      <c r="F1719">
        <v>20</v>
      </c>
      <c r="G1719" s="28" t="s">
        <v>9590</v>
      </c>
    </row>
    <row r="1720" spans="1:7" ht="100.8" x14ac:dyDescent="0.3">
      <c r="A1720" t="s">
        <v>9582</v>
      </c>
      <c r="B1720" t="s">
        <v>11440</v>
      </c>
      <c r="C1720" s="20" t="s">
        <v>11441</v>
      </c>
      <c r="D1720">
        <v>776</v>
      </c>
      <c r="E1720" t="s">
        <v>9589</v>
      </c>
      <c r="F1720">
        <v>35</v>
      </c>
      <c r="G1720" s="28" t="s">
        <v>9590</v>
      </c>
    </row>
    <row r="1721" spans="1:7" ht="57.6" x14ac:dyDescent="0.3">
      <c r="A1721" t="s">
        <v>9582</v>
      </c>
      <c r="B1721" t="s">
        <v>11442</v>
      </c>
      <c r="C1721" s="20" t="s">
        <v>11443</v>
      </c>
      <c r="D1721">
        <v>625</v>
      </c>
      <c r="E1721" t="s">
        <v>9633</v>
      </c>
      <c r="F1721">
        <v>5.2</v>
      </c>
      <c r="G1721" s="28" t="s">
        <v>9590</v>
      </c>
    </row>
    <row r="1722" spans="1:7" ht="259.2" x14ac:dyDescent="0.3">
      <c r="A1722" t="s">
        <v>9582</v>
      </c>
      <c r="B1722" t="s">
        <v>11444</v>
      </c>
      <c r="C1722" s="20" t="s">
        <v>11445</v>
      </c>
      <c r="D1722">
        <v>1116</v>
      </c>
      <c r="E1722" t="s">
        <v>9585</v>
      </c>
      <c r="F1722">
        <v>5</v>
      </c>
      <c r="G1722" s="28" t="s">
        <v>12703</v>
      </c>
    </row>
    <row r="1723" spans="1:7" ht="259.2" x14ac:dyDescent="0.3">
      <c r="A1723" t="s">
        <v>9582</v>
      </c>
      <c r="B1723" t="s">
        <v>11444</v>
      </c>
      <c r="C1723" s="20" t="s">
        <v>11445</v>
      </c>
      <c r="D1723">
        <v>1116</v>
      </c>
      <c r="E1723" t="s">
        <v>9585</v>
      </c>
      <c r="F1723">
        <v>5</v>
      </c>
      <c r="G1723" s="28" t="s">
        <v>12703</v>
      </c>
    </row>
    <row r="1724" spans="1:7" ht="86.4" x14ac:dyDescent="0.3">
      <c r="A1724" t="s">
        <v>9582</v>
      </c>
      <c r="B1724" t="s">
        <v>11446</v>
      </c>
      <c r="C1724" s="20" t="s">
        <v>11447</v>
      </c>
      <c r="D1724">
        <v>756</v>
      </c>
      <c r="E1724" t="s">
        <v>9589</v>
      </c>
      <c r="F1724">
        <v>35</v>
      </c>
      <c r="G1724" s="28" t="s">
        <v>9590</v>
      </c>
    </row>
    <row r="1725" spans="1:7" ht="129.6" x14ac:dyDescent="0.3">
      <c r="A1725" t="s">
        <v>9582</v>
      </c>
      <c r="B1725" t="s">
        <v>11448</v>
      </c>
      <c r="C1725" s="20" t="s">
        <v>11449</v>
      </c>
      <c r="D1725">
        <v>1391</v>
      </c>
      <c r="E1725" t="s">
        <v>9589</v>
      </c>
      <c r="F1725">
        <v>50</v>
      </c>
      <c r="G1725" s="28" t="s">
        <v>9590</v>
      </c>
    </row>
    <row r="1726" spans="1:7" ht="129.6" x14ac:dyDescent="0.3">
      <c r="A1726" t="s">
        <v>9582</v>
      </c>
      <c r="B1726" t="s">
        <v>11448</v>
      </c>
      <c r="C1726" s="20" t="s">
        <v>11449</v>
      </c>
      <c r="D1726">
        <v>1391</v>
      </c>
      <c r="E1726" t="s">
        <v>9589</v>
      </c>
      <c r="F1726">
        <v>50</v>
      </c>
      <c r="G1726" s="28" t="s">
        <v>9590</v>
      </c>
    </row>
    <row r="1727" spans="1:7" ht="129.6" x14ac:dyDescent="0.3">
      <c r="A1727" t="s">
        <v>9582</v>
      </c>
      <c r="B1727" t="s">
        <v>11448</v>
      </c>
      <c r="C1727" s="20" t="s">
        <v>11449</v>
      </c>
      <c r="D1727">
        <v>1391</v>
      </c>
      <c r="E1727" t="s">
        <v>9589</v>
      </c>
      <c r="F1727">
        <v>50</v>
      </c>
      <c r="G1727" s="28" t="s">
        <v>9590</v>
      </c>
    </row>
    <row r="1728" spans="1:7" ht="129.6" x14ac:dyDescent="0.3">
      <c r="A1728" t="s">
        <v>9582</v>
      </c>
      <c r="B1728" t="s">
        <v>11448</v>
      </c>
      <c r="C1728" s="20" t="s">
        <v>11449</v>
      </c>
      <c r="D1728">
        <v>1391</v>
      </c>
      <c r="E1728" t="s">
        <v>9589</v>
      </c>
      <c r="F1728">
        <v>50</v>
      </c>
      <c r="G1728" s="28" t="s">
        <v>9590</v>
      </c>
    </row>
    <row r="1729" spans="1:7" ht="129.6" x14ac:dyDescent="0.3">
      <c r="A1729" t="s">
        <v>9582</v>
      </c>
      <c r="B1729" t="s">
        <v>11448</v>
      </c>
      <c r="C1729" s="20" t="s">
        <v>11449</v>
      </c>
      <c r="D1729">
        <v>1391</v>
      </c>
      <c r="E1729" t="s">
        <v>9589</v>
      </c>
      <c r="F1729">
        <v>50</v>
      </c>
      <c r="G1729" s="28" t="s">
        <v>9590</v>
      </c>
    </row>
    <row r="1730" spans="1:7" ht="129.6" x14ac:dyDescent="0.3">
      <c r="A1730" t="s">
        <v>9582</v>
      </c>
      <c r="B1730" t="s">
        <v>11448</v>
      </c>
      <c r="C1730" s="20" t="s">
        <v>11449</v>
      </c>
      <c r="D1730">
        <v>1391</v>
      </c>
      <c r="E1730" t="s">
        <v>9589</v>
      </c>
      <c r="F1730">
        <v>50</v>
      </c>
      <c r="G1730" s="28" t="s">
        <v>9590</v>
      </c>
    </row>
    <row r="1731" spans="1:7" ht="129.6" x14ac:dyDescent="0.3">
      <c r="A1731" t="s">
        <v>9582</v>
      </c>
      <c r="B1731" t="s">
        <v>11448</v>
      </c>
      <c r="C1731" s="20" t="s">
        <v>11449</v>
      </c>
      <c r="D1731">
        <v>1391</v>
      </c>
      <c r="E1731" t="s">
        <v>9589</v>
      </c>
      <c r="F1731">
        <v>50</v>
      </c>
      <c r="G1731" s="28" t="s">
        <v>9590</v>
      </c>
    </row>
    <row r="1732" spans="1:7" ht="43.2" x14ac:dyDescent="0.3">
      <c r="A1732" t="s">
        <v>9582</v>
      </c>
      <c r="B1732" t="s">
        <v>11450</v>
      </c>
      <c r="C1732" s="20" t="s">
        <v>11451</v>
      </c>
      <c r="D1732">
        <v>292</v>
      </c>
      <c r="E1732" t="s">
        <v>9589</v>
      </c>
      <c r="F1732">
        <v>30</v>
      </c>
      <c r="G1732" s="28" t="s">
        <v>9590</v>
      </c>
    </row>
    <row r="1733" spans="1:7" ht="43.2" x14ac:dyDescent="0.3">
      <c r="A1733" t="s">
        <v>9582</v>
      </c>
      <c r="B1733" t="s">
        <v>11450</v>
      </c>
      <c r="C1733" s="20" t="s">
        <v>11451</v>
      </c>
      <c r="D1733">
        <v>292</v>
      </c>
      <c r="E1733" t="s">
        <v>9589</v>
      </c>
      <c r="F1733">
        <v>30</v>
      </c>
      <c r="G1733" s="28" t="s">
        <v>9590</v>
      </c>
    </row>
    <row r="1734" spans="1:7" ht="43.2" x14ac:dyDescent="0.3">
      <c r="A1734" t="s">
        <v>9582</v>
      </c>
      <c r="B1734" t="s">
        <v>11450</v>
      </c>
      <c r="C1734" s="20" t="s">
        <v>11451</v>
      </c>
      <c r="D1734">
        <v>292</v>
      </c>
      <c r="E1734" t="s">
        <v>9589</v>
      </c>
      <c r="F1734">
        <v>30</v>
      </c>
      <c r="G1734" s="28" t="s">
        <v>9590</v>
      </c>
    </row>
    <row r="1735" spans="1:7" ht="43.2" x14ac:dyDescent="0.3">
      <c r="A1735" t="s">
        <v>9582</v>
      </c>
      <c r="B1735" t="s">
        <v>11452</v>
      </c>
      <c r="C1735" s="20" t="s">
        <v>11453</v>
      </c>
      <c r="D1735">
        <v>484</v>
      </c>
      <c r="E1735" t="s">
        <v>9589</v>
      </c>
      <c r="F1735">
        <v>30</v>
      </c>
      <c r="G1735" s="28" t="s">
        <v>9590</v>
      </c>
    </row>
    <row r="1736" spans="1:7" ht="43.2" x14ac:dyDescent="0.3">
      <c r="A1736" t="s">
        <v>9582</v>
      </c>
      <c r="B1736" t="s">
        <v>11452</v>
      </c>
      <c r="C1736" s="20" t="s">
        <v>11453</v>
      </c>
      <c r="D1736">
        <v>484</v>
      </c>
      <c r="E1736" t="s">
        <v>9589</v>
      </c>
      <c r="F1736">
        <v>30</v>
      </c>
      <c r="G1736" s="28" t="s">
        <v>9590</v>
      </c>
    </row>
    <row r="1737" spans="1:7" ht="28.8" x14ac:dyDescent="0.3">
      <c r="A1737" t="s">
        <v>9582</v>
      </c>
      <c r="B1737" t="s">
        <v>11454</v>
      </c>
      <c r="C1737" s="20" t="s">
        <v>11455</v>
      </c>
      <c r="D1737">
        <v>293</v>
      </c>
      <c r="E1737" t="s">
        <v>9589</v>
      </c>
      <c r="F1737">
        <v>10</v>
      </c>
      <c r="G1737" s="28" t="s">
        <v>9590</v>
      </c>
    </row>
    <row r="1738" spans="1:7" ht="28.8" x14ac:dyDescent="0.3">
      <c r="A1738" t="s">
        <v>9582</v>
      </c>
      <c r="B1738" t="s">
        <v>11454</v>
      </c>
      <c r="C1738" s="20" t="s">
        <v>11455</v>
      </c>
      <c r="D1738">
        <v>293</v>
      </c>
      <c r="E1738" t="s">
        <v>9589</v>
      </c>
      <c r="F1738">
        <v>10</v>
      </c>
      <c r="G1738" s="28" t="s">
        <v>9590</v>
      </c>
    </row>
    <row r="1739" spans="1:7" ht="28.8" x14ac:dyDescent="0.3">
      <c r="A1739" t="s">
        <v>9582</v>
      </c>
      <c r="B1739" t="s">
        <v>11456</v>
      </c>
      <c r="C1739" s="20" t="s">
        <v>11457</v>
      </c>
      <c r="D1739">
        <v>294</v>
      </c>
      <c r="E1739" t="s">
        <v>9589</v>
      </c>
      <c r="F1739">
        <v>45</v>
      </c>
      <c r="G1739" s="28" t="s">
        <v>9590</v>
      </c>
    </row>
    <row r="1740" spans="1:7" ht="28.8" x14ac:dyDescent="0.3">
      <c r="A1740" t="s">
        <v>9582</v>
      </c>
      <c r="B1740" t="s">
        <v>11456</v>
      </c>
      <c r="C1740" s="20" t="s">
        <v>11457</v>
      </c>
      <c r="D1740">
        <v>294</v>
      </c>
      <c r="E1740" t="s">
        <v>9589</v>
      </c>
      <c r="F1740">
        <v>45</v>
      </c>
      <c r="G1740" s="28" t="s">
        <v>9590</v>
      </c>
    </row>
    <row r="1741" spans="1:7" ht="316.8" x14ac:dyDescent="0.3">
      <c r="A1741" t="s">
        <v>9582</v>
      </c>
      <c r="B1741" t="s">
        <v>11458</v>
      </c>
      <c r="C1741" s="20" t="s">
        <v>11459</v>
      </c>
      <c r="D1741">
        <v>497</v>
      </c>
      <c r="E1741" t="s">
        <v>9585</v>
      </c>
      <c r="F1741">
        <v>5</v>
      </c>
      <c r="G1741" s="28" t="s">
        <v>12704</v>
      </c>
    </row>
    <row r="1742" spans="1:7" ht="115.2" x14ac:dyDescent="0.3">
      <c r="A1742" t="s">
        <v>9582</v>
      </c>
      <c r="B1742" t="s">
        <v>11460</v>
      </c>
      <c r="C1742" s="20" t="s">
        <v>11461</v>
      </c>
      <c r="D1742">
        <v>830</v>
      </c>
      <c r="E1742" t="s">
        <v>9589</v>
      </c>
      <c r="F1742">
        <v>45</v>
      </c>
      <c r="G1742" s="28" t="s">
        <v>9590</v>
      </c>
    </row>
    <row r="1743" spans="1:7" ht="28.8" x14ac:dyDescent="0.3">
      <c r="A1743" t="s">
        <v>9582</v>
      </c>
      <c r="B1743" t="s">
        <v>11462</v>
      </c>
      <c r="C1743" s="20" t="s">
        <v>11463</v>
      </c>
      <c r="D1743">
        <v>1435</v>
      </c>
      <c r="E1743" t="s">
        <v>9585</v>
      </c>
      <c r="F1743">
        <v>5</v>
      </c>
      <c r="G1743" s="28" t="s">
        <v>9586</v>
      </c>
    </row>
    <row r="1744" spans="1:7" ht="28.8" x14ac:dyDescent="0.3">
      <c r="A1744" t="s">
        <v>9582</v>
      </c>
      <c r="B1744" t="s">
        <v>11462</v>
      </c>
      <c r="C1744" s="20" t="s">
        <v>11463</v>
      </c>
      <c r="D1744">
        <v>1435</v>
      </c>
      <c r="E1744" t="s">
        <v>9585</v>
      </c>
      <c r="F1744">
        <v>5</v>
      </c>
      <c r="G1744" s="28" t="s">
        <v>9586</v>
      </c>
    </row>
    <row r="1745" spans="1:7" ht="28.8" x14ac:dyDescent="0.3">
      <c r="A1745" t="s">
        <v>9582</v>
      </c>
      <c r="B1745" t="s">
        <v>11462</v>
      </c>
      <c r="C1745" s="20" t="s">
        <v>11463</v>
      </c>
      <c r="D1745">
        <v>1435</v>
      </c>
      <c r="E1745" t="s">
        <v>9585</v>
      </c>
      <c r="F1745">
        <v>5</v>
      </c>
      <c r="G1745" s="28" t="s">
        <v>9586</v>
      </c>
    </row>
    <row r="1746" spans="1:7" ht="28.8" x14ac:dyDescent="0.3">
      <c r="A1746" t="s">
        <v>9582</v>
      </c>
      <c r="B1746" t="s">
        <v>11462</v>
      </c>
      <c r="C1746" s="20" t="s">
        <v>11463</v>
      </c>
      <c r="D1746">
        <v>1435</v>
      </c>
      <c r="E1746" t="s">
        <v>9585</v>
      </c>
      <c r="F1746">
        <v>5</v>
      </c>
      <c r="G1746" s="28" t="s">
        <v>9586</v>
      </c>
    </row>
    <row r="1747" spans="1:7" ht="28.8" x14ac:dyDescent="0.3">
      <c r="A1747" t="s">
        <v>9582</v>
      </c>
      <c r="B1747" t="s">
        <v>11462</v>
      </c>
      <c r="C1747" s="20" t="s">
        <v>11463</v>
      </c>
      <c r="D1747">
        <v>1435</v>
      </c>
      <c r="E1747" t="s">
        <v>9585</v>
      </c>
      <c r="F1747">
        <v>5</v>
      </c>
      <c r="G1747" s="28" t="s">
        <v>9586</v>
      </c>
    </row>
    <row r="1748" spans="1:7" ht="72" x14ac:dyDescent="0.3">
      <c r="A1748" t="s">
        <v>9582</v>
      </c>
      <c r="B1748" t="s">
        <v>11464</v>
      </c>
      <c r="C1748" s="20" t="s">
        <v>11465</v>
      </c>
      <c r="D1748">
        <v>1153</v>
      </c>
      <c r="E1748" t="s">
        <v>9585</v>
      </c>
      <c r="F1748">
        <v>5</v>
      </c>
      <c r="G1748" s="28" t="s">
        <v>9586</v>
      </c>
    </row>
    <row r="1749" spans="1:7" ht="72" x14ac:dyDescent="0.3">
      <c r="A1749" t="s">
        <v>9582</v>
      </c>
      <c r="B1749" t="s">
        <v>11466</v>
      </c>
      <c r="C1749" s="20" t="s">
        <v>11467</v>
      </c>
      <c r="D1749">
        <v>1154</v>
      </c>
      <c r="E1749" t="s">
        <v>9585</v>
      </c>
      <c r="F1749">
        <v>5</v>
      </c>
      <c r="G1749" s="28" t="s">
        <v>9586</v>
      </c>
    </row>
    <row r="1750" spans="1:7" ht="43.2" x14ac:dyDescent="0.3">
      <c r="A1750" t="s">
        <v>9582</v>
      </c>
      <c r="B1750" t="s">
        <v>11468</v>
      </c>
      <c r="C1750" s="20" t="s">
        <v>11469</v>
      </c>
      <c r="D1750">
        <v>295</v>
      </c>
      <c r="E1750" t="s">
        <v>9589</v>
      </c>
      <c r="F1750">
        <v>60</v>
      </c>
      <c r="G1750" s="28" t="s">
        <v>9590</v>
      </c>
    </row>
    <row r="1751" spans="1:7" ht="57.6" x14ac:dyDescent="0.3">
      <c r="A1751" t="s">
        <v>9582</v>
      </c>
      <c r="B1751" t="s">
        <v>11470</v>
      </c>
      <c r="C1751" s="20" t="s">
        <v>11471</v>
      </c>
      <c r="D1751">
        <v>296</v>
      </c>
      <c r="E1751" t="s">
        <v>9589</v>
      </c>
      <c r="F1751">
        <v>60</v>
      </c>
      <c r="G1751" s="28" t="s">
        <v>9590</v>
      </c>
    </row>
    <row r="1752" spans="1:7" ht="72" x14ac:dyDescent="0.3">
      <c r="A1752" t="s">
        <v>9582</v>
      </c>
      <c r="B1752" t="s">
        <v>11472</v>
      </c>
      <c r="C1752" s="20" t="s">
        <v>12383</v>
      </c>
      <c r="D1752">
        <v>1307</v>
      </c>
      <c r="E1752" t="s">
        <v>9585</v>
      </c>
      <c r="F1752">
        <v>5</v>
      </c>
      <c r="G1752" s="28" t="s">
        <v>12705</v>
      </c>
    </row>
    <row r="1753" spans="1:7" ht="28.8" x14ac:dyDescent="0.3">
      <c r="A1753" t="s">
        <v>9582</v>
      </c>
      <c r="B1753" t="s">
        <v>11473</v>
      </c>
      <c r="C1753" s="20" t="s">
        <v>11474</v>
      </c>
      <c r="D1753">
        <v>1320</v>
      </c>
      <c r="E1753" t="s">
        <v>9589</v>
      </c>
      <c r="F1753">
        <v>45</v>
      </c>
      <c r="G1753" s="28" t="s">
        <v>9590</v>
      </c>
    </row>
    <row r="1754" spans="1:7" ht="28.8" x14ac:dyDescent="0.3">
      <c r="A1754" t="s">
        <v>9582</v>
      </c>
      <c r="B1754" t="s">
        <v>11475</v>
      </c>
      <c r="C1754" s="20" t="s">
        <v>11476</v>
      </c>
      <c r="D1754">
        <v>488</v>
      </c>
      <c r="E1754" t="s">
        <v>9616</v>
      </c>
      <c r="F1754">
        <v>8</v>
      </c>
      <c r="G1754" s="28" t="s">
        <v>9590</v>
      </c>
    </row>
    <row r="1755" spans="1:7" ht="115.2" x14ac:dyDescent="0.3">
      <c r="A1755" t="s">
        <v>9582</v>
      </c>
      <c r="B1755" t="s">
        <v>11477</v>
      </c>
      <c r="C1755" s="20" t="s">
        <v>11478</v>
      </c>
      <c r="D1755">
        <v>487</v>
      </c>
      <c r="E1755" t="s">
        <v>9585</v>
      </c>
      <c r="F1755">
        <v>5</v>
      </c>
      <c r="G1755" s="28" t="s">
        <v>12706</v>
      </c>
    </row>
    <row r="1756" spans="1:7" ht="28.8" x14ac:dyDescent="0.3">
      <c r="A1756" t="s">
        <v>9582</v>
      </c>
      <c r="B1756" t="s">
        <v>11479</v>
      </c>
      <c r="C1756" s="20" t="s">
        <v>11480</v>
      </c>
      <c r="D1756">
        <v>1321</v>
      </c>
      <c r="E1756" t="s">
        <v>9589</v>
      </c>
      <c r="F1756">
        <v>45</v>
      </c>
      <c r="G1756" s="28" t="s">
        <v>9590</v>
      </c>
    </row>
    <row r="1757" spans="1:7" ht="72" x14ac:dyDescent="0.3">
      <c r="A1757" t="s">
        <v>9582</v>
      </c>
      <c r="B1757" t="s">
        <v>11481</v>
      </c>
      <c r="C1757" s="20" t="s">
        <v>11482</v>
      </c>
      <c r="D1757">
        <v>1317</v>
      </c>
      <c r="E1757" t="s">
        <v>9589</v>
      </c>
      <c r="F1757">
        <v>30</v>
      </c>
      <c r="G1757" s="28" t="s">
        <v>9590</v>
      </c>
    </row>
    <row r="1758" spans="1:7" ht="28.8" x14ac:dyDescent="0.3">
      <c r="A1758" t="s">
        <v>9582</v>
      </c>
      <c r="B1758" t="s">
        <v>11483</v>
      </c>
      <c r="C1758" s="20" t="s">
        <v>11484</v>
      </c>
      <c r="D1758">
        <v>1323</v>
      </c>
      <c r="E1758" t="s">
        <v>9616</v>
      </c>
      <c r="F1758">
        <v>8</v>
      </c>
      <c r="G1758" s="28" t="s">
        <v>9590</v>
      </c>
    </row>
    <row r="1759" spans="1:7" ht="28.8" x14ac:dyDescent="0.3">
      <c r="A1759" t="s">
        <v>9582</v>
      </c>
      <c r="B1759" t="s">
        <v>11485</v>
      </c>
      <c r="C1759" s="20" t="s">
        <v>11486</v>
      </c>
      <c r="D1759">
        <v>1322</v>
      </c>
      <c r="E1759" t="s">
        <v>9616</v>
      </c>
      <c r="F1759">
        <v>4</v>
      </c>
      <c r="G1759" s="28" t="s">
        <v>9590</v>
      </c>
    </row>
    <row r="1760" spans="1:7" ht="28.8" x14ac:dyDescent="0.3">
      <c r="A1760" t="s">
        <v>9582</v>
      </c>
      <c r="B1760" t="s">
        <v>11487</v>
      </c>
      <c r="C1760" s="20" t="s">
        <v>11488</v>
      </c>
      <c r="D1760">
        <v>1316</v>
      </c>
      <c r="E1760" t="s">
        <v>9589</v>
      </c>
      <c r="F1760">
        <v>30</v>
      </c>
      <c r="G1760" s="28" t="s">
        <v>9590</v>
      </c>
    </row>
    <row r="1761" spans="1:7" ht="57.6" x14ac:dyDescent="0.3">
      <c r="A1761" t="s">
        <v>9582</v>
      </c>
      <c r="B1761" t="s">
        <v>11489</v>
      </c>
      <c r="C1761" s="20" t="s">
        <v>11490</v>
      </c>
      <c r="D1761">
        <v>1115</v>
      </c>
      <c r="E1761" t="s">
        <v>9589</v>
      </c>
      <c r="F1761">
        <v>30</v>
      </c>
      <c r="G1761" s="28" t="s">
        <v>9590</v>
      </c>
    </row>
    <row r="1762" spans="1:7" ht="57.6" x14ac:dyDescent="0.3">
      <c r="A1762" t="s">
        <v>9582</v>
      </c>
      <c r="B1762" t="s">
        <v>11489</v>
      </c>
      <c r="C1762" s="20" t="s">
        <v>11490</v>
      </c>
      <c r="D1762">
        <v>1115</v>
      </c>
      <c r="E1762" t="s">
        <v>9589</v>
      </c>
      <c r="F1762">
        <v>30</v>
      </c>
      <c r="G1762" s="28" t="s">
        <v>9590</v>
      </c>
    </row>
    <row r="1763" spans="1:7" ht="43.2" x14ac:dyDescent="0.3">
      <c r="A1763" t="s">
        <v>9582</v>
      </c>
      <c r="B1763" t="s">
        <v>11491</v>
      </c>
      <c r="C1763" s="20" t="s">
        <v>11492</v>
      </c>
      <c r="D1763">
        <v>515</v>
      </c>
      <c r="E1763" t="s">
        <v>9633</v>
      </c>
      <c r="F1763">
        <v>3.2</v>
      </c>
      <c r="G1763" s="28" t="s">
        <v>9590</v>
      </c>
    </row>
    <row r="1764" spans="1:7" ht="43.2" x14ac:dyDescent="0.3">
      <c r="A1764" t="s">
        <v>9582</v>
      </c>
      <c r="B1764" t="s">
        <v>11493</v>
      </c>
      <c r="C1764" s="20" t="s">
        <v>11494</v>
      </c>
      <c r="D1764">
        <v>1053</v>
      </c>
      <c r="E1764" t="s">
        <v>9589</v>
      </c>
      <c r="F1764">
        <v>30</v>
      </c>
      <c r="G1764" s="28" t="s">
        <v>9590</v>
      </c>
    </row>
    <row r="1765" spans="1:7" ht="43.2" x14ac:dyDescent="0.3">
      <c r="A1765" t="s">
        <v>9582</v>
      </c>
      <c r="B1765" t="s">
        <v>11495</v>
      </c>
      <c r="C1765" s="20" t="s">
        <v>11496</v>
      </c>
      <c r="D1765">
        <v>1152</v>
      </c>
      <c r="E1765" t="s">
        <v>9585</v>
      </c>
      <c r="F1765">
        <v>5</v>
      </c>
      <c r="G1765" s="28" t="s">
        <v>9586</v>
      </c>
    </row>
    <row r="1766" spans="1:7" ht="187.2" x14ac:dyDescent="0.3">
      <c r="A1766" t="s">
        <v>9582</v>
      </c>
      <c r="B1766" t="s">
        <v>11497</v>
      </c>
      <c r="C1766" s="20" t="s">
        <v>11498</v>
      </c>
      <c r="D1766">
        <v>1286</v>
      </c>
      <c r="E1766" t="s">
        <v>9585</v>
      </c>
      <c r="F1766">
        <v>5</v>
      </c>
      <c r="G1766" s="28" t="s">
        <v>12707</v>
      </c>
    </row>
    <row r="1767" spans="1:7" ht="187.2" x14ac:dyDescent="0.3">
      <c r="A1767" t="s">
        <v>9582</v>
      </c>
      <c r="B1767" t="s">
        <v>11497</v>
      </c>
      <c r="C1767" s="20" t="s">
        <v>11498</v>
      </c>
      <c r="D1767">
        <v>1286</v>
      </c>
      <c r="E1767" t="s">
        <v>9585</v>
      </c>
      <c r="F1767">
        <v>5</v>
      </c>
      <c r="G1767" s="28" t="s">
        <v>12707</v>
      </c>
    </row>
    <row r="1768" spans="1:7" ht="86.4" x14ac:dyDescent="0.3">
      <c r="A1768" t="s">
        <v>9582</v>
      </c>
      <c r="B1768" t="s">
        <v>11499</v>
      </c>
      <c r="C1768" s="20" t="s">
        <v>11500</v>
      </c>
      <c r="D1768">
        <v>297</v>
      </c>
      <c r="E1768" t="s">
        <v>9585</v>
      </c>
      <c r="F1768">
        <v>5</v>
      </c>
      <c r="G1768" s="28" t="s">
        <v>9586</v>
      </c>
    </row>
    <row r="1769" spans="1:7" ht="72" x14ac:dyDescent="0.3">
      <c r="A1769" t="s">
        <v>9582</v>
      </c>
      <c r="B1769" t="s">
        <v>11501</v>
      </c>
      <c r="C1769" s="20" t="s">
        <v>11502</v>
      </c>
      <c r="D1769">
        <v>714</v>
      </c>
      <c r="E1769" t="s">
        <v>9585</v>
      </c>
      <c r="F1769">
        <v>5</v>
      </c>
      <c r="G1769" s="28" t="s">
        <v>12708</v>
      </c>
    </row>
    <row r="1770" spans="1:7" ht="28.8" x14ac:dyDescent="0.3">
      <c r="A1770" t="s">
        <v>9582</v>
      </c>
      <c r="B1770" t="s">
        <v>11503</v>
      </c>
      <c r="C1770" s="20" t="s">
        <v>11504</v>
      </c>
      <c r="D1770">
        <v>298</v>
      </c>
      <c r="E1770" t="s">
        <v>9616</v>
      </c>
      <c r="F1770">
        <v>8</v>
      </c>
      <c r="G1770" s="28" t="s">
        <v>9590</v>
      </c>
    </row>
    <row r="1771" spans="1:7" ht="28.8" x14ac:dyDescent="0.3">
      <c r="A1771" t="s">
        <v>9582</v>
      </c>
      <c r="B1771" t="s">
        <v>11503</v>
      </c>
      <c r="C1771" s="20" t="s">
        <v>11504</v>
      </c>
      <c r="D1771">
        <v>298</v>
      </c>
      <c r="E1771" t="s">
        <v>9616</v>
      </c>
      <c r="F1771">
        <v>8</v>
      </c>
      <c r="G1771" s="28" t="s">
        <v>9590</v>
      </c>
    </row>
    <row r="1772" spans="1:7" ht="28.8" x14ac:dyDescent="0.3">
      <c r="A1772" t="s">
        <v>9582</v>
      </c>
      <c r="B1772" t="s">
        <v>11503</v>
      </c>
      <c r="C1772" s="20" t="s">
        <v>11504</v>
      </c>
      <c r="D1772">
        <v>298</v>
      </c>
      <c r="E1772" t="s">
        <v>9616</v>
      </c>
      <c r="F1772">
        <v>8</v>
      </c>
      <c r="G1772" s="28" t="s">
        <v>9590</v>
      </c>
    </row>
    <row r="1773" spans="1:7" ht="28.8" x14ac:dyDescent="0.3">
      <c r="A1773" t="s">
        <v>9582</v>
      </c>
      <c r="B1773" t="s">
        <v>11505</v>
      </c>
      <c r="C1773" s="20" t="s">
        <v>11506</v>
      </c>
      <c r="D1773">
        <v>299</v>
      </c>
      <c r="E1773" t="s">
        <v>9589</v>
      </c>
      <c r="F1773">
        <v>80</v>
      </c>
      <c r="G1773" s="28" t="s">
        <v>9590</v>
      </c>
    </row>
    <row r="1774" spans="1:7" ht="28.8" x14ac:dyDescent="0.3">
      <c r="A1774" t="s">
        <v>9582</v>
      </c>
      <c r="B1774" t="s">
        <v>11505</v>
      </c>
      <c r="C1774" s="20" t="s">
        <v>11506</v>
      </c>
      <c r="D1774">
        <v>299</v>
      </c>
      <c r="E1774" t="s">
        <v>9589</v>
      </c>
      <c r="F1774">
        <v>80</v>
      </c>
      <c r="G1774" s="28" t="s">
        <v>9590</v>
      </c>
    </row>
    <row r="1775" spans="1:7" ht="28.8" x14ac:dyDescent="0.3">
      <c r="A1775" t="s">
        <v>9582</v>
      </c>
      <c r="B1775" t="s">
        <v>11505</v>
      </c>
      <c r="C1775" s="20" t="s">
        <v>11506</v>
      </c>
      <c r="D1775">
        <v>299</v>
      </c>
      <c r="E1775" t="s">
        <v>9589</v>
      </c>
      <c r="F1775">
        <v>80</v>
      </c>
      <c r="G1775" s="28" t="s">
        <v>9590</v>
      </c>
    </row>
    <row r="1776" spans="1:7" ht="28.8" x14ac:dyDescent="0.3">
      <c r="A1776" t="s">
        <v>9582</v>
      </c>
      <c r="B1776" t="s">
        <v>11507</v>
      </c>
      <c r="C1776" s="20" t="s">
        <v>11508</v>
      </c>
      <c r="D1776">
        <v>300</v>
      </c>
      <c r="E1776" t="s">
        <v>9616</v>
      </c>
      <c r="F1776">
        <v>8</v>
      </c>
      <c r="G1776" s="28" t="s">
        <v>9590</v>
      </c>
    </row>
    <row r="1777" spans="1:7" ht="28.8" x14ac:dyDescent="0.3">
      <c r="A1777" t="s">
        <v>9582</v>
      </c>
      <c r="B1777" t="s">
        <v>11507</v>
      </c>
      <c r="C1777" s="20" t="s">
        <v>11508</v>
      </c>
      <c r="D1777">
        <v>300</v>
      </c>
      <c r="E1777" t="s">
        <v>9616</v>
      </c>
      <c r="F1777">
        <v>8</v>
      </c>
      <c r="G1777" s="28" t="s">
        <v>9590</v>
      </c>
    </row>
    <row r="1778" spans="1:7" ht="28.8" x14ac:dyDescent="0.3">
      <c r="A1778" t="s">
        <v>9582</v>
      </c>
      <c r="B1778" t="s">
        <v>11507</v>
      </c>
      <c r="C1778" s="20" t="s">
        <v>11508</v>
      </c>
      <c r="D1778">
        <v>300</v>
      </c>
      <c r="E1778" t="s">
        <v>9616</v>
      </c>
      <c r="F1778">
        <v>8</v>
      </c>
      <c r="G1778" s="28" t="s">
        <v>9590</v>
      </c>
    </row>
    <row r="1779" spans="1:7" ht="57.6" x14ac:dyDescent="0.3">
      <c r="A1779" t="s">
        <v>9582</v>
      </c>
      <c r="B1779" t="s">
        <v>11509</v>
      </c>
      <c r="C1779" s="20" t="s">
        <v>11510</v>
      </c>
      <c r="D1779">
        <v>301</v>
      </c>
      <c r="E1779" t="s">
        <v>9589</v>
      </c>
      <c r="F1779">
        <v>45</v>
      </c>
      <c r="G1779" s="28" t="s">
        <v>9590</v>
      </c>
    </row>
    <row r="1780" spans="1:7" ht="57.6" x14ac:dyDescent="0.3">
      <c r="A1780" t="s">
        <v>9582</v>
      </c>
      <c r="B1780" t="s">
        <v>11509</v>
      </c>
      <c r="C1780" s="20" t="s">
        <v>11510</v>
      </c>
      <c r="D1780">
        <v>301</v>
      </c>
      <c r="E1780" t="s">
        <v>9589</v>
      </c>
      <c r="F1780">
        <v>45</v>
      </c>
      <c r="G1780" s="28" t="s">
        <v>9590</v>
      </c>
    </row>
    <row r="1781" spans="1:7" ht="57.6" x14ac:dyDescent="0.3">
      <c r="A1781" t="s">
        <v>9582</v>
      </c>
      <c r="B1781" t="s">
        <v>11509</v>
      </c>
      <c r="C1781" s="20" t="s">
        <v>11510</v>
      </c>
      <c r="D1781">
        <v>301</v>
      </c>
      <c r="E1781" t="s">
        <v>9589</v>
      </c>
      <c r="F1781">
        <v>45</v>
      </c>
      <c r="G1781" s="28" t="s">
        <v>9590</v>
      </c>
    </row>
    <row r="1782" spans="1:7" ht="28.8" x14ac:dyDescent="0.3">
      <c r="A1782" t="s">
        <v>9582</v>
      </c>
      <c r="B1782" t="s">
        <v>11511</v>
      </c>
      <c r="C1782" s="20" t="s">
        <v>11512</v>
      </c>
      <c r="D1782">
        <v>302</v>
      </c>
      <c r="E1782" t="s">
        <v>9616</v>
      </c>
      <c r="F1782">
        <v>8</v>
      </c>
      <c r="G1782" s="28" t="s">
        <v>9590</v>
      </c>
    </row>
    <row r="1783" spans="1:7" ht="28.8" x14ac:dyDescent="0.3">
      <c r="A1783" t="s">
        <v>9582</v>
      </c>
      <c r="B1783" t="s">
        <v>11511</v>
      </c>
      <c r="C1783" s="20" t="s">
        <v>11512</v>
      </c>
      <c r="D1783">
        <v>302</v>
      </c>
      <c r="E1783" t="s">
        <v>9616</v>
      </c>
      <c r="F1783">
        <v>8</v>
      </c>
      <c r="G1783" s="28" t="s">
        <v>9590</v>
      </c>
    </row>
    <row r="1784" spans="1:7" ht="28.8" x14ac:dyDescent="0.3">
      <c r="A1784" t="s">
        <v>9582</v>
      </c>
      <c r="B1784" t="s">
        <v>11511</v>
      </c>
      <c r="C1784" s="20" t="s">
        <v>11512</v>
      </c>
      <c r="D1784">
        <v>302</v>
      </c>
      <c r="E1784" t="s">
        <v>9616</v>
      </c>
      <c r="F1784">
        <v>8</v>
      </c>
      <c r="G1784" s="28" t="s">
        <v>9590</v>
      </c>
    </row>
    <row r="1785" spans="1:7" ht="28.8" x14ac:dyDescent="0.3">
      <c r="A1785" t="s">
        <v>9582</v>
      </c>
      <c r="B1785" t="s">
        <v>11513</v>
      </c>
      <c r="C1785" s="20" t="s">
        <v>11514</v>
      </c>
      <c r="D1785">
        <v>303</v>
      </c>
      <c r="E1785" t="s">
        <v>9589</v>
      </c>
      <c r="F1785">
        <v>80</v>
      </c>
      <c r="G1785" s="28" t="s">
        <v>9590</v>
      </c>
    </row>
    <row r="1786" spans="1:7" ht="28.8" x14ac:dyDescent="0.3">
      <c r="A1786" t="s">
        <v>9582</v>
      </c>
      <c r="B1786" t="s">
        <v>11513</v>
      </c>
      <c r="C1786" s="20" t="s">
        <v>11514</v>
      </c>
      <c r="D1786">
        <v>303</v>
      </c>
      <c r="E1786" t="s">
        <v>9589</v>
      </c>
      <c r="F1786">
        <v>80</v>
      </c>
      <c r="G1786" s="28" t="s">
        <v>9590</v>
      </c>
    </row>
    <row r="1787" spans="1:7" ht="28.8" x14ac:dyDescent="0.3">
      <c r="A1787" t="s">
        <v>9582</v>
      </c>
      <c r="B1787" t="s">
        <v>11513</v>
      </c>
      <c r="C1787" s="20" t="s">
        <v>11514</v>
      </c>
      <c r="D1787">
        <v>303</v>
      </c>
      <c r="E1787" t="s">
        <v>9589</v>
      </c>
      <c r="F1787">
        <v>80</v>
      </c>
      <c r="G1787" s="28" t="s">
        <v>9590</v>
      </c>
    </row>
    <row r="1788" spans="1:7" ht="144" x14ac:dyDescent="0.3">
      <c r="A1788" t="s">
        <v>9582</v>
      </c>
      <c r="B1788" t="s">
        <v>11515</v>
      </c>
      <c r="C1788" s="20" t="s">
        <v>11516</v>
      </c>
      <c r="D1788">
        <v>1131</v>
      </c>
      <c r="E1788" t="s">
        <v>9585</v>
      </c>
      <c r="F1788">
        <v>5</v>
      </c>
      <c r="G1788" s="28" t="s">
        <v>12709</v>
      </c>
    </row>
    <row r="1789" spans="1:7" ht="144" x14ac:dyDescent="0.3">
      <c r="A1789" t="s">
        <v>9582</v>
      </c>
      <c r="B1789" t="s">
        <v>11515</v>
      </c>
      <c r="C1789" s="20" t="s">
        <v>11516</v>
      </c>
      <c r="D1789">
        <v>1131</v>
      </c>
      <c r="E1789" t="s">
        <v>9585</v>
      </c>
      <c r="F1789">
        <v>5</v>
      </c>
      <c r="G1789" s="28" t="s">
        <v>12709</v>
      </c>
    </row>
    <row r="1790" spans="1:7" ht="28.8" x14ac:dyDescent="0.3">
      <c r="A1790" t="s">
        <v>9582</v>
      </c>
      <c r="B1790" t="s">
        <v>11517</v>
      </c>
      <c r="C1790" s="20" t="s">
        <v>11518</v>
      </c>
      <c r="D1790">
        <v>1137</v>
      </c>
      <c r="E1790" t="s">
        <v>9585</v>
      </c>
      <c r="F1790">
        <v>5</v>
      </c>
      <c r="G1790" s="28" t="s">
        <v>9586</v>
      </c>
    </row>
    <row r="1791" spans="1:7" ht="72" x14ac:dyDescent="0.3">
      <c r="A1791" t="s">
        <v>9582</v>
      </c>
      <c r="B1791" t="s">
        <v>11519</v>
      </c>
      <c r="C1791" s="20" t="s">
        <v>11520</v>
      </c>
      <c r="D1791">
        <v>367</v>
      </c>
      <c r="E1791" t="s">
        <v>9616</v>
      </c>
      <c r="F1791">
        <v>8</v>
      </c>
      <c r="G1791" s="28" t="s">
        <v>9590</v>
      </c>
    </row>
    <row r="1792" spans="1:7" ht="57.6" x14ac:dyDescent="0.3">
      <c r="A1792" t="s">
        <v>9582</v>
      </c>
      <c r="B1792" t="s">
        <v>11521</v>
      </c>
      <c r="C1792" s="20" t="s">
        <v>11522</v>
      </c>
      <c r="D1792">
        <v>1582</v>
      </c>
      <c r="E1792" t="s">
        <v>9589</v>
      </c>
      <c r="F1792">
        <v>30</v>
      </c>
      <c r="G1792" s="28" t="s">
        <v>9590</v>
      </c>
    </row>
    <row r="1793" spans="1:7" ht="43.2" x14ac:dyDescent="0.3">
      <c r="A1793" t="s">
        <v>9582</v>
      </c>
      <c r="B1793" t="s">
        <v>11523</v>
      </c>
      <c r="C1793" s="20" t="s">
        <v>11524</v>
      </c>
      <c r="D1793">
        <v>360</v>
      </c>
      <c r="E1793" t="s">
        <v>9589</v>
      </c>
      <c r="F1793">
        <v>35</v>
      </c>
      <c r="G1793" s="28" t="s">
        <v>9590</v>
      </c>
    </row>
    <row r="1794" spans="1:7" ht="28.8" x14ac:dyDescent="0.3">
      <c r="A1794" t="s">
        <v>9582</v>
      </c>
      <c r="B1794" t="s">
        <v>11525</v>
      </c>
      <c r="C1794" s="20" t="s">
        <v>11526</v>
      </c>
      <c r="D1794">
        <v>697</v>
      </c>
      <c r="E1794" t="s">
        <v>9589</v>
      </c>
      <c r="F1794">
        <v>45</v>
      </c>
      <c r="G1794" s="28" t="s">
        <v>9590</v>
      </c>
    </row>
    <row r="1795" spans="1:7" ht="72" x14ac:dyDescent="0.3">
      <c r="A1795" t="s">
        <v>9582</v>
      </c>
      <c r="B1795" t="s">
        <v>11527</v>
      </c>
      <c r="C1795" s="20" t="s">
        <v>11528</v>
      </c>
      <c r="D1795">
        <v>700</v>
      </c>
      <c r="E1795" t="s">
        <v>9585</v>
      </c>
      <c r="F1795">
        <v>5</v>
      </c>
      <c r="G1795" s="28" t="s">
        <v>12710</v>
      </c>
    </row>
    <row r="1796" spans="1:7" ht="72" x14ac:dyDescent="0.3">
      <c r="A1796" t="s">
        <v>9582</v>
      </c>
      <c r="B1796" t="s">
        <v>11529</v>
      </c>
      <c r="C1796" s="20" t="s">
        <v>11530</v>
      </c>
      <c r="D1796">
        <v>699</v>
      </c>
      <c r="E1796" t="s">
        <v>9585</v>
      </c>
      <c r="F1796">
        <v>5</v>
      </c>
      <c r="G1796" s="28" t="s">
        <v>12711</v>
      </c>
    </row>
    <row r="1797" spans="1:7" ht="28.8" x14ac:dyDescent="0.3">
      <c r="A1797" t="s">
        <v>9582</v>
      </c>
      <c r="B1797" t="s">
        <v>11531</v>
      </c>
      <c r="C1797" s="20" t="s">
        <v>11532</v>
      </c>
      <c r="D1797">
        <v>994</v>
      </c>
      <c r="E1797" t="s">
        <v>9616</v>
      </c>
      <c r="F1797">
        <v>8</v>
      </c>
      <c r="G1797" s="28" t="s">
        <v>9590</v>
      </c>
    </row>
    <row r="1798" spans="1:7" ht="43.2" x14ac:dyDescent="0.3">
      <c r="A1798" t="s">
        <v>9582</v>
      </c>
      <c r="B1798" t="s">
        <v>11533</v>
      </c>
      <c r="C1798" s="20" t="s">
        <v>11534</v>
      </c>
      <c r="D1798">
        <v>991</v>
      </c>
      <c r="E1798" t="s">
        <v>9616</v>
      </c>
      <c r="F1798">
        <v>8</v>
      </c>
      <c r="G1798" s="28" t="s">
        <v>9590</v>
      </c>
    </row>
    <row r="1799" spans="1:7" ht="72" x14ac:dyDescent="0.3">
      <c r="A1799" t="s">
        <v>9582</v>
      </c>
      <c r="B1799" t="s">
        <v>11535</v>
      </c>
      <c r="C1799" s="20" t="s">
        <v>11536</v>
      </c>
      <c r="D1799">
        <v>990</v>
      </c>
      <c r="E1799" t="s">
        <v>9585</v>
      </c>
      <c r="F1799">
        <v>5</v>
      </c>
      <c r="G1799" s="28" t="s">
        <v>12712</v>
      </c>
    </row>
    <row r="1800" spans="1:7" ht="28.8" x14ac:dyDescent="0.3">
      <c r="A1800" t="s">
        <v>9582</v>
      </c>
      <c r="B1800" t="s">
        <v>11537</v>
      </c>
      <c r="C1800" s="20" t="s">
        <v>11538</v>
      </c>
      <c r="D1800">
        <v>992</v>
      </c>
      <c r="E1800" t="s">
        <v>9589</v>
      </c>
      <c r="F1800">
        <v>6</v>
      </c>
      <c r="G1800" s="28" t="s">
        <v>9590</v>
      </c>
    </row>
    <row r="1801" spans="1:7" ht="72" x14ac:dyDescent="0.3">
      <c r="A1801" t="s">
        <v>9582</v>
      </c>
      <c r="B1801" t="s">
        <v>11539</v>
      </c>
      <c r="C1801" s="20" t="s">
        <v>11540</v>
      </c>
      <c r="D1801">
        <v>362</v>
      </c>
      <c r="E1801" t="s">
        <v>9585</v>
      </c>
      <c r="F1801">
        <v>5</v>
      </c>
      <c r="G1801" s="28" t="s">
        <v>12451</v>
      </c>
    </row>
    <row r="1802" spans="1:7" ht="43.2" x14ac:dyDescent="0.3">
      <c r="A1802" t="s">
        <v>9582</v>
      </c>
      <c r="B1802" t="s">
        <v>11541</v>
      </c>
      <c r="C1802" s="20" t="s">
        <v>11542</v>
      </c>
      <c r="D1802">
        <v>363</v>
      </c>
      <c r="E1802" t="s">
        <v>9616</v>
      </c>
      <c r="F1802">
        <v>8</v>
      </c>
      <c r="G1802" s="28" t="s">
        <v>9590</v>
      </c>
    </row>
    <row r="1803" spans="1:7" ht="360" x14ac:dyDescent="0.3">
      <c r="A1803" t="s">
        <v>9582</v>
      </c>
      <c r="B1803" t="s">
        <v>11543</v>
      </c>
      <c r="C1803" s="20" t="s">
        <v>11544</v>
      </c>
      <c r="D1803">
        <v>2155</v>
      </c>
      <c r="E1803" t="s">
        <v>9585</v>
      </c>
      <c r="F1803">
        <v>5</v>
      </c>
      <c r="G1803" s="28" t="s">
        <v>12713</v>
      </c>
    </row>
    <row r="1804" spans="1:7" ht="43.2" x14ac:dyDescent="0.3">
      <c r="A1804" t="s">
        <v>9582</v>
      </c>
      <c r="B1804" t="s">
        <v>11545</v>
      </c>
      <c r="C1804" s="20" t="s">
        <v>11546</v>
      </c>
      <c r="D1804">
        <v>453</v>
      </c>
      <c r="E1804" t="s">
        <v>9633</v>
      </c>
      <c r="F1804">
        <v>2.2000000000000002</v>
      </c>
      <c r="G1804" s="28" t="s">
        <v>9590</v>
      </c>
    </row>
    <row r="1805" spans="1:7" ht="57.6" x14ac:dyDescent="0.3">
      <c r="A1805" t="s">
        <v>9582</v>
      </c>
      <c r="B1805" t="s">
        <v>11547</v>
      </c>
      <c r="C1805" s="20" t="s">
        <v>11548</v>
      </c>
      <c r="D1805">
        <v>439</v>
      </c>
      <c r="E1805" t="s">
        <v>9633</v>
      </c>
      <c r="F1805">
        <v>2.1</v>
      </c>
      <c r="G1805" s="28" t="s">
        <v>9590</v>
      </c>
    </row>
    <row r="1806" spans="1:7" ht="100.8" x14ac:dyDescent="0.3">
      <c r="A1806" t="s">
        <v>9582</v>
      </c>
      <c r="B1806" t="s">
        <v>11549</v>
      </c>
      <c r="C1806" s="20" t="s">
        <v>11550</v>
      </c>
      <c r="D1806">
        <v>440</v>
      </c>
      <c r="E1806" t="s">
        <v>9633</v>
      </c>
      <c r="F1806">
        <v>2.1</v>
      </c>
      <c r="G1806" s="28" t="s">
        <v>9590</v>
      </c>
    </row>
    <row r="1807" spans="1:7" ht="57.6" x14ac:dyDescent="0.3">
      <c r="A1807" t="s">
        <v>9582</v>
      </c>
      <c r="B1807" t="s">
        <v>11551</v>
      </c>
      <c r="C1807" s="20" t="s">
        <v>11552</v>
      </c>
      <c r="D1807">
        <v>1149</v>
      </c>
      <c r="E1807" t="s">
        <v>9633</v>
      </c>
      <c r="F1807">
        <v>2.1</v>
      </c>
      <c r="G1807" s="28" t="s">
        <v>9590</v>
      </c>
    </row>
    <row r="1808" spans="1:7" ht="72" x14ac:dyDescent="0.3">
      <c r="A1808" t="s">
        <v>9582</v>
      </c>
      <c r="B1808" t="s">
        <v>11553</v>
      </c>
      <c r="C1808" s="20" t="s">
        <v>11554</v>
      </c>
      <c r="D1808">
        <v>306</v>
      </c>
      <c r="E1808" t="s">
        <v>9589</v>
      </c>
      <c r="F1808">
        <v>15</v>
      </c>
      <c r="G1808" s="28" t="s">
        <v>9590</v>
      </c>
    </row>
    <row r="1809" spans="1:7" ht="72" x14ac:dyDescent="0.3">
      <c r="A1809" t="s">
        <v>9582</v>
      </c>
      <c r="B1809" t="s">
        <v>11553</v>
      </c>
      <c r="C1809" s="20" t="s">
        <v>11554</v>
      </c>
      <c r="D1809">
        <v>306</v>
      </c>
      <c r="E1809" t="s">
        <v>9589</v>
      </c>
      <c r="F1809">
        <v>15</v>
      </c>
      <c r="G1809" s="28" t="s">
        <v>9590</v>
      </c>
    </row>
    <row r="1810" spans="1:7" ht="72" x14ac:dyDescent="0.3">
      <c r="A1810" t="s">
        <v>9582</v>
      </c>
      <c r="B1810" t="s">
        <v>11553</v>
      </c>
      <c r="C1810" s="20" t="s">
        <v>11554</v>
      </c>
      <c r="D1810">
        <v>306</v>
      </c>
      <c r="E1810" t="s">
        <v>9589</v>
      </c>
      <c r="F1810">
        <v>15</v>
      </c>
      <c r="G1810" s="28" t="s">
        <v>9590</v>
      </c>
    </row>
    <row r="1811" spans="1:7" ht="72" x14ac:dyDescent="0.3">
      <c r="A1811" t="s">
        <v>9582</v>
      </c>
      <c r="B1811" t="s">
        <v>11553</v>
      </c>
      <c r="C1811" s="20" t="s">
        <v>11554</v>
      </c>
      <c r="D1811">
        <v>306</v>
      </c>
      <c r="E1811" t="s">
        <v>9589</v>
      </c>
      <c r="F1811">
        <v>15</v>
      </c>
      <c r="G1811" s="28" t="s">
        <v>9590</v>
      </c>
    </row>
    <row r="1812" spans="1:7" ht="72" x14ac:dyDescent="0.3">
      <c r="A1812" t="s">
        <v>9582</v>
      </c>
      <c r="B1812" t="s">
        <v>11553</v>
      </c>
      <c r="C1812" s="20" t="s">
        <v>11554</v>
      </c>
      <c r="D1812">
        <v>306</v>
      </c>
      <c r="E1812" t="s">
        <v>9589</v>
      </c>
      <c r="F1812">
        <v>15</v>
      </c>
      <c r="G1812" s="28" t="s">
        <v>9590</v>
      </c>
    </row>
    <row r="1813" spans="1:7" ht="72" x14ac:dyDescent="0.3">
      <c r="A1813" t="s">
        <v>9582</v>
      </c>
      <c r="B1813" t="s">
        <v>11553</v>
      </c>
      <c r="C1813" s="20" t="s">
        <v>11554</v>
      </c>
      <c r="D1813">
        <v>306</v>
      </c>
      <c r="E1813" t="s">
        <v>9589</v>
      </c>
      <c r="F1813">
        <v>15</v>
      </c>
      <c r="G1813" s="28" t="s">
        <v>9590</v>
      </c>
    </row>
    <row r="1814" spans="1:7" ht="115.2" x14ac:dyDescent="0.3">
      <c r="A1814" t="s">
        <v>11555</v>
      </c>
      <c r="B1814" t="s">
        <v>11556</v>
      </c>
      <c r="C1814" s="20" t="s">
        <v>11557</v>
      </c>
      <c r="E1814" t="s">
        <v>11558</v>
      </c>
      <c r="G1814" s="28" t="s">
        <v>12714</v>
      </c>
    </row>
    <row r="1815" spans="1:7" ht="409.6" x14ac:dyDescent="0.3">
      <c r="A1815" t="s">
        <v>11555</v>
      </c>
      <c r="B1815" t="s">
        <v>11559</v>
      </c>
      <c r="C1815" s="20" t="s">
        <v>11560</v>
      </c>
      <c r="E1815" t="s">
        <v>11558</v>
      </c>
      <c r="G1815" s="28" t="s">
        <v>12715</v>
      </c>
    </row>
    <row r="1816" spans="1:7" ht="57.6" x14ac:dyDescent="0.3">
      <c r="A1816" t="s">
        <v>11555</v>
      </c>
      <c r="B1816" t="s">
        <v>11561</v>
      </c>
      <c r="C1816" s="20" t="s">
        <v>11562</v>
      </c>
      <c r="E1816" t="s">
        <v>11558</v>
      </c>
      <c r="G1816" s="28" t="s">
        <v>12716</v>
      </c>
    </row>
    <row r="1817" spans="1:7" ht="28.8" x14ac:dyDescent="0.3">
      <c r="A1817" t="s">
        <v>11555</v>
      </c>
      <c r="B1817" t="s">
        <v>11563</v>
      </c>
      <c r="C1817" s="20" t="s">
        <v>11564</v>
      </c>
      <c r="E1817" t="s">
        <v>11558</v>
      </c>
      <c r="F1817">
        <v>60</v>
      </c>
      <c r="G1817" s="17" t="s">
        <v>32</v>
      </c>
    </row>
    <row r="1818" spans="1:7" ht="201.6" x14ac:dyDescent="0.3">
      <c r="A1818" t="s">
        <v>11555</v>
      </c>
      <c r="B1818" t="s">
        <v>11565</v>
      </c>
      <c r="C1818" s="20" t="s">
        <v>11566</v>
      </c>
      <c r="E1818" t="s">
        <v>11558</v>
      </c>
      <c r="G1818" s="28" t="s">
        <v>12717</v>
      </c>
    </row>
    <row r="1819" spans="1:7" ht="28.8" x14ac:dyDescent="0.3">
      <c r="A1819" t="s">
        <v>11555</v>
      </c>
      <c r="B1819" t="s">
        <v>11567</v>
      </c>
      <c r="C1819" s="20" t="s">
        <v>11568</v>
      </c>
      <c r="E1819" t="s">
        <v>11558</v>
      </c>
      <c r="F1819">
        <v>60</v>
      </c>
      <c r="G1819" s="17" t="s">
        <v>32</v>
      </c>
    </row>
    <row r="1820" spans="1:7" ht="57.6" x14ac:dyDescent="0.3">
      <c r="A1820" t="s">
        <v>11555</v>
      </c>
      <c r="B1820" t="s">
        <v>11569</v>
      </c>
      <c r="C1820" s="20" t="s">
        <v>11570</v>
      </c>
      <c r="E1820" t="s">
        <v>11571</v>
      </c>
      <c r="G1820" s="17" t="s">
        <v>32</v>
      </c>
    </row>
    <row r="1821" spans="1:7" ht="115.2" x14ac:dyDescent="0.3">
      <c r="A1821" t="s">
        <v>11555</v>
      </c>
      <c r="B1821" t="s">
        <v>11572</v>
      </c>
      <c r="C1821" s="20" t="s">
        <v>11573</v>
      </c>
      <c r="E1821" t="s">
        <v>11558</v>
      </c>
      <c r="G1821" s="28" t="s">
        <v>12718</v>
      </c>
    </row>
    <row r="1822" spans="1:7" ht="115.2" x14ac:dyDescent="0.3">
      <c r="A1822" t="s">
        <v>11555</v>
      </c>
      <c r="B1822" t="s">
        <v>11574</v>
      </c>
      <c r="C1822" s="20" t="s">
        <v>11575</v>
      </c>
      <c r="E1822" t="s">
        <v>11558</v>
      </c>
      <c r="G1822" s="28" t="s">
        <v>12719</v>
      </c>
    </row>
    <row r="1823" spans="1:7" ht="57.6" x14ac:dyDescent="0.3">
      <c r="A1823" t="s">
        <v>11555</v>
      </c>
      <c r="B1823" t="s">
        <v>11576</v>
      </c>
      <c r="C1823" s="20" t="s">
        <v>11577</v>
      </c>
      <c r="E1823" t="s">
        <v>11558</v>
      </c>
      <c r="G1823" s="28" t="s">
        <v>12720</v>
      </c>
    </row>
    <row r="1824" spans="1:7" ht="374.4" x14ac:dyDescent="0.3">
      <c r="A1824" t="s">
        <v>11555</v>
      </c>
      <c r="B1824" t="s">
        <v>11578</v>
      </c>
      <c r="C1824" s="20" t="s">
        <v>11579</v>
      </c>
      <c r="E1824" t="s">
        <v>11558</v>
      </c>
      <c r="G1824" s="28" t="s">
        <v>12721</v>
      </c>
    </row>
    <row r="1825" spans="1:7" x14ac:dyDescent="0.3">
      <c r="A1825" t="s">
        <v>11555</v>
      </c>
      <c r="B1825" t="s">
        <v>11580</v>
      </c>
      <c r="C1825" s="20" t="s">
        <v>11581</v>
      </c>
      <c r="E1825" t="s">
        <v>11558</v>
      </c>
      <c r="F1825">
        <v>80</v>
      </c>
      <c r="G1825" s="17" t="s">
        <v>32</v>
      </c>
    </row>
    <row r="1826" spans="1:7" x14ac:dyDescent="0.3">
      <c r="A1826" t="s">
        <v>11555</v>
      </c>
      <c r="B1826" t="s">
        <v>11582</v>
      </c>
      <c r="C1826" s="20" t="s">
        <v>11583</v>
      </c>
      <c r="E1826" t="s">
        <v>12384</v>
      </c>
      <c r="G1826" s="17" t="s">
        <v>32</v>
      </c>
    </row>
    <row r="1827" spans="1:7" ht="28.8" x14ac:dyDescent="0.3">
      <c r="A1827" t="s">
        <v>11555</v>
      </c>
      <c r="B1827" t="s">
        <v>11584</v>
      </c>
      <c r="C1827" s="20" t="s">
        <v>11585</v>
      </c>
      <c r="E1827" t="s">
        <v>12385</v>
      </c>
      <c r="G1827" s="17" t="s">
        <v>32</v>
      </c>
    </row>
    <row r="1828" spans="1:7" ht="129.6" x14ac:dyDescent="0.3">
      <c r="A1828" t="s">
        <v>11555</v>
      </c>
      <c r="B1828" t="s">
        <v>11586</v>
      </c>
      <c r="C1828" s="20" t="s">
        <v>11587</v>
      </c>
      <c r="E1828" t="s">
        <v>11558</v>
      </c>
      <c r="G1828" s="28" t="s">
        <v>12722</v>
      </c>
    </row>
    <row r="1829" spans="1:7" x14ac:dyDescent="0.3">
      <c r="A1829" t="s">
        <v>11555</v>
      </c>
      <c r="B1829" t="s">
        <v>11588</v>
      </c>
      <c r="C1829" s="20" t="s">
        <v>11589</v>
      </c>
      <c r="E1829" t="s">
        <v>11558</v>
      </c>
      <c r="F1829">
        <v>60</v>
      </c>
      <c r="G1829" s="17" t="s">
        <v>32</v>
      </c>
    </row>
    <row r="1830" spans="1:7" ht="86.4" x14ac:dyDescent="0.3">
      <c r="A1830" t="s">
        <v>11555</v>
      </c>
      <c r="B1830" t="s">
        <v>11590</v>
      </c>
      <c r="C1830" s="20" t="s">
        <v>11591</v>
      </c>
      <c r="E1830" t="s">
        <v>11558</v>
      </c>
      <c r="G1830" s="28" t="s">
        <v>12723</v>
      </c>
    </row>
    <row r="1831" spans="1:7" ht="28.8" x14ac:dyDescent="0.3">
      <c r="A1831" t="s">
        <v>11555</v>
      </c>
      <c r="B1831" t="s">
        <v>11592</v>
      </c>
      <c r="C1831" s="20" t="s">
        <v>11593</v>
      </c>
      <c r="E1831" t="s">
        <v>11558</v>
      </c>
      <c r="F1831">
        <v>60</v>
      </c>
      <c r="G1831" s="17" t="s">
        <v>32</v>
      </c>
    </row>
    <row r="1832" spans="1:7" ht="28.8" x14ac:dyDescent="0.3">
      <c r="A1832" t="s">
        <v>11555</v>
      </c>
      <c r="B1832" t="s">
        <v>11594</v>
      </c>
      <c r="C1832" s="20" t="s">
        <v>11595</v>
      </c>
      <c r="E1832" t="s">
        <v>12386</v>
      </c>
      <c r="G1832" s="17" t="s">
        <v>32</v>
      </c>
    </row>
    <row r="1833" spans="1:7" ht="57.6" x14ac:dyDescent="0.3">
      <c r="A1833" t="s">
        <v>11555</v>
      </c>
      <c r="B1833" t="s">
        <v>11596</v>
      </c>
      <c r="C1833" s="20" t="s">
        <v>11597</v>
      </c>
      <c r="E1833" t="s">
        <v>11558</v>
      </c>
      <c r="G1833" s="28" t="s">
        <v>12716</v>
      </c>
    </row>
    <row r="1834" spans="1:7" ht="129.6" x14ac:dyDescent="0.3">
      <c r="A1834" t="s">
        <v>11555</v>
      </c>
      <c r="B1834" t="s">
        <v>11598</v>
      </c>
      <c r="C1834" s="20" t="s">
        <v>12387</v>
      </c>
      <c r="E1834" t="s">
        <v>11558</v>
      </c>
      <c r="G1834" s="28" t="s">
        <v>12724</v>
      </c>
    </row>
    <row r="1835" spans="1:7" x14ac:dyDescent="0.3">
      <c r="A1835" t="s">
        <v>11555</v>
      </c>
      <c r="B1835" t="s">
        <v>11599</v>
      </c>
      <c r="C1835" s="20" t="s">
        <v>11600</v>
      </c>
      <c r="E1835" t="s">
        <v>11558</v>
      </c>
      <c r="F1835">
        <v>20</v>
      </c>
      <c r="G1835" s="17" t="s">
        <v>32</v>
      </c>
    </row>
    <row r="1836" spans="1:7" ht="28.8" x14ac:dyDescent="0.3">
      <c r="A1836" t="s">
        <v>11555</v>
      </c>
      <c r="B1836" t="s">
        <v>11601</v>
      </c>
      <c r="C1836" s="20" t="s">
        <v>11602</v>
      </c>
      <c r="E1836" t="s">
        <v>11558</v>
      </c>
      <c r="G1836" s="17" t="s">
        <v>32</v>
      </c>
    </row>
    <row r="1837" spans="1:7" ht="57.6" x14ac:dyDescent="0.3">
      <c r="A1837" t="s">
        <v>11555</v>
      </c>
      <c r="B1837" t="s">
        <v>11603</v>
      </c>
      <c r="C1837" s="20" t="s">
        <v>11604</v>
      </c>
      <c r="E1837" t="s">
        <v>11558</v>
      </c>
      <c r="G1837" s="28" t="s">
        <v>12725</v>
      </c>
    </row>
    <row r="1838" spans="1:7" ht="28.8" x14ac:dyDescent="0.3">
      <c r="A1838" t="s">
        <v>11555</v>
      </c>
      <c r="B1838" t="s">
        <v>11605</v>
      </c>
      <c r="C1838" s="20" t="s">
        <v>11606</v>
      </c>
      <c r="E1838" t="s">
        <v>11558</v>
      </c>
      <c r="G1838" s="17" t="s">
        <v>32</v>
      </c>
    </row>
    <row r="1839" spans="1:7" ht="28.8" x14ac:dyDescent="0.3">
      <c r="A1839" t="s">
        <v>11555</v>
      </c>
      <c r="B1839" t="s">
        <v>11607</v>
      </c>
      <c r="C1839" s="20" t="s">
        <v>11608</v>
      </c>
      <c r="E1839" t="s">
        <v>11609</v>
      </c>
      <c r="G1839" s="17" t="s">
        <v>32</v>
      </c>
    </row>
    <row r="1840" spans="1:7" ht="43.2" x14ac:dyDescent="0.3">
      <c r="A1840" t="s">
        <v>11555</v>
      </c>
      <c r="B1840" t="s">
        <v>11610</v>
      </c>
      <c r="C1840" s="20" t="s">
        <v>11611</v>
      </c>
      <c r="E1840" t="s">
        <v>11571</v>
      </c>
      <c r="G1840" s="17" t="s">
        <v>32</v>
      </c>
    </row>
    <row r="1841" spans="1:7" ht="302.39999999999998" x14ac:dyDescent="0.3">
      <c r="A1841" t="s">
        <v>11555</v>
      </c>
      <c r="B1841" t="s">
        <v>11612</v>
      </c>
      <c r="C1841" s="20" t="s">
        <v>11613</v>
      </c>
      <c r="E1841" t="s">
        <v>11558</v>
      </c>
      <c r="G1841" s="28" t="s">
        <v>12726</v>
      </c>
    </row>
    <row r="1842" spans="1:7" x14ac:dyDescent="0.3">
      <c r="A1842" t="s">
        <v>11555</v>
      </c>
      <c r="B1842" t="s">
        <v>11614</v>
      </c>
      <c r="C1842" s="20" t="s">
        <v>11615</v>
      </c>
      <c r="E1842" t="s">
        <v>11558</v>
      </c>
      <c r="F1842">
        <v>500</v>
      </c>
      <c r="G1842" s="17" t="s">
        <v>32</v>
      </c>
    </row>
    <row r="1843" spans="1:7" ht="57.6" x14ac:dyDescent="0.3">
      <c r="A1843" t="s">
        <v>11555</v>
      </c>
      <c r="B1843" t="s">
        <v>11616</v>
      </c>
      <c r="C1843" s="20" t="s">
        <v>11617</v>
      </c>
      <c r="E1843" t="s">
        <v>11558</v>
      </c>
      <c r="G1843" s="28" t="s">
        <v>12716</v>
      </c>
    </row>
    <row r="1844" spans="1:7" ht="57.6" x14ac:dyDescent="0.3">
      <c r="A1844" t="s">
        <v>11555</v>
      </c>
      <c r="B1844" t="s">
        <v>11618</v>
      </c>
      <c r="C1844" s="20" t="s">
        <v>11619</v>
      </c>
      <c r="E1844" t="s">
        <v>11558</v>
      </c>
      <c r="G1844" s="28" t="s">
        <v>12727</v>
      </c>
    </row>
    <row r="1845" spans="1:7" ht="43.2" x14ac:dyDescent="0.3">
      <c r="A1845" t="s">
        <v>11555</v>
      </c>
      <c r="B1845" t="s">
        <v>11620</v>
      </c>
      <c r="C1845" s="20" t="s">
        <v>11621</v>
      </c>
      <c r="E1845" t="s">
        <v>12386</v>
      </c>
      <c r="G1845" s="17" t="s">
        <v>32</v>
      </c>
    </row>
    <row r="1846" spans="1:7" ht="43.2" x14ac:dyDescent="0.3">
      <c r="A1846" t="s">
        <v>11555</v>
      </c>
      <c r="B1846" t="s">
        <v>11622</v>
      </c>
      <c r="C1846" s="20" t="s">
        <v>11623</v>
      </c>
      <c r="E1846" t="s">
        <v>11558</v>
      </c>
      <c r="F1846">
        <v>6</v>
      </c>
      <c r="G1846" s="17" t="s">
        <v>32</v>
      </c>
    </row>
    <row r="1847" spans="1:7" ht="86.4" x14ac:dyDescent="0.3">
      <c r="A1847" t="s">
        <v>11555</v>
      </c>
      <c r="B1847" t="s">
        <v>11624</v>
      </c>
      <c r="C1847" s="20" t="s">
        <v>11625</v>
      </c>
      <c r="E1847" t="s">
        <v>11558</v>
      </c>
      <c r="G1847" s="28" t="s">
        <v>12728</v>
      </c>
    </row>
    <row r="1848" spans="1:7" ht="43.2" x14ac:dyDescent="0.3">
      <c r="A1848" t="s">
        <v>11555</v>
      </c>
      <c r="B1848" t="s">
        <v>11626</v>
      </c>
      <c r="C1848" s="20" t="s">
        <v>11627</v>
      </c>
      <c r="E1848" t="s">
        <v>11558</v>
      </c>
      <c r="F1848">
        <v>45</v>
      </c>
      <c r="G1848" s="17" t="s">
        <v>32</v>
      </c>
    </row>
    <row r="1849" spans="1:7" ht="28.8" x14ac:dyDescent="0.3">
      <c r="A1849" t="s">
        <v>11555</v>
      </c>
      <c r="B1849" t="s">
        <v>11628</v>
      </c>
      <c r="C1849" s="20" t="s">
        <v>11629</v>
      </c>
      <c r="E1849" t="s">
        <v>12386</v>
      </c>
      <c r="G1849" s="17" t="s">
        <v>32</v>
      </c>
    </row>
    <row r="1850" spans="1:7" ht="28.8" x14ac:dyDescent="0.3">
      <c r="A1850" t="s">
        <v>11555</v>
      </c>
      <c r="B1850" t="s">
        <v>11630</v>
      </c>
      <c r="C1850" s="20" t="s">
        <v>11631</v>
      </c>
      <c r="E1850" t="s">
        <v>11558</v>
      </c>
      <c r="F1850">
        <v>60</v>
      </c>
      <c r="G1850" s="17" t="s">
        <v>32</v>
      </c>
    </row>
    <row r="1851" spans="1:7" ht="100.8" x14ac:dyDescent="0.3">
      <c r="A1851" t="s">
        <v>11555</v>
      </c>
      <c r="B1851" t="s">
        <v>11632</v>
      </c>
      <c r="C1851" s="20" t="s">
        <v>11633</v>
      </c>
      <c r="E1851" t="s">
        <v>11558</v>
      </c>
      <c r="G1851" s="28" t="s">
        <v>12729</v>
      </c>
    </row>
    <row r="1852" spans="1:7" ht="28.8" x14ac:dyDescent="0.3">
      <c r="A1852" t="s">
        <v>11555</v>
      </c>
      <c r="B1852" t="s">
        <v>11634</v>
      </c>
      <c r="C1852" s="20" t="s">
        <v>11635</v>
      </c>
      <c r="E1852" t="s">
        <v>12385</v>
      </c>
      <c r="G1852" s="17" t="s">
        <v>32</v>
      </c>
    </row>
    <row r="1853" spans="1:7" ht="100.8" x14ac:dyDescent="0.3">
      <c r="A1853" t="s">
        <v>11555</v>
      </c>
      <c r="B1853" t="s">
        <v>11636</v>
      </c>
      <c r="C1853" s="20" t="s">
        <v>11637</v>
      </c>
      <c r="E1853" t="s">
        <v>11558</v>
      </c>
      <c r="G1853" s="28" t="s">
        <v>12730</v>
      </c>
    </row>
    <row r="1854" spans="1:7" x14ac:dyDescent="0.3">
      <c r="A1854" t="s">
        <v>11555</v>
      </c>
      <c r="B1854" t="s">
        <v>11638</v>
      </c>
      <c r="C1854" s="20" t="s">
        <v>11639</v>
      </c>
      <c r="E1854" t="s">
        <v>11558</v>
      </c>
      <c r="F1854">
        <v>40</v>
      </c>
      <c r="G1854" s="17" t="s">
        <v>32</v>
      </c>
    </row>
    <row r="1855" spans="1:7" ht="28.8" x14ac:dyDescent="0.3">
      <c r="A1855" t="s">
        <v>11555</v>
      </c>
      <c r="B1855" t="s">
        <v>11640</v>
      </c>
      <c r="C1855" s="20" t="s">
        <v>11641</v>
      </c>
      <c r="E1855" t="s">
        <v>11558</v>
      </c>
      <c r="F1855">
        <v>4</v>
      </c>
      <c r="G1855" s="17" t="s">
        <v>32</v>
      </c>
    </row>
    <row r="1856" spans="1:7" ht="57.6" x14ac:dyDescent="0.3">
      <c r="A1856" t="s">
        <v>11555</v>
      </c>
      <c r="B1856" t="s">
        <v>11642</v>
      </c>
      <c r="C1856" s="20" t="s">
        <v>11643</v>
      </c>
      <c r="E1856" t="s">
        <v>11558</v>
      </c>
      <c r="F1856">
        <v>12</v>
      </c>
      <c r="G1856" s="17" t="s">
        <v>32</v>
      </c>
    </row>
    <row r="1857" spans="1:7" ht="43.2" x14ac:dyDescent="0.3">
      <c r="A1857" t="s">
        <v>11555</v>
      </c>
      <c r="B1857" t="s">
        <v>11644</v>
      </c>
      <c r="C1857" s="20" t="s">
        <v>11645</v>
      </c>
      <c r="E1857" t="s">
        <v>11558</v>
      </c>
      <c r="F1857">
        <v>6</v>
      </c>
      <c r="G1857" s="17" t="s">
        <v>32</v>
      </c>
    </row>
    <row r="1858" spans="1:7" ht="28.8" x14ac:dyDescent="0.3">
      <c r="A1858" t="s">
        <v>11555</v>
      </c>
      <c r="B1858" t="s">
        <v>11646</v>
      </c>
      <c r="C1858" s="20" t="s">
        <v>11647</v>
      </c>
      <c r="E1858" t="s">
        <v>12386</v>
      </c>
      <c r="G1858" s="17" t="s">
        <v>32</v>
      </c>
    </row>
    <row r="1859" spans="1:7" ht="43.2" x14ac:dyDescent="0.3">
      <c r="A1859" t="s">
        <v>11555</v>
      </c>
      <c r="B1859" t="s">
        <v>11648</v>
      </c>
      <c r="C1859" s="20" t="s">
        <v>11649</v>
      </c>
      <c r="E1859" t="s">
        <v>11558</v>
      </c>
      <c r="F1859">
        <v>11</v>
      </c>
      <c r="G1859" s="17" t="s">
        <v>32</v>
      </c>
    </row>
    <row r="1860" spans="1:7" ht="28.8" x14ac:dyDescent="0.3">
      <c r="A1860" t="s">
        <v>11555</v>
      </c>
      <c r="B1860" t="s">
        <v>11650</v>
      </c>
      <c r="C1860" s="20" t="s">
        <v>11651</v>
      </c>
      <c r="E1860" t="s">
        <v>12386</v>
      </c>
      <c r="G1860" s="17" t="s">
        <v>32</v>
      </c>
    </row>
    <row r="1861" spans="1:7" ht="57.6" x14ac:dyDescent="0.3">
      <c r="A1861" t="s">
        <v>11555</v>
      </c>
      <c r="B1861" t="s">
        <v>11652</v>
      </c>
      <c r="C1861" s="20" t="s">
        <v>11653</v>
      </c>
      <c r="E1861" t="s">
        <v>11558</v>
      </c>
      <c r="F1861">
        <v>60</v>
      </c>
      <c r="G1861" s="17" t="s">
        <v>32</v>
      </c>
    </row>
    <row r="1862" spans="1:7" ht="43.2" x14ac:dyDescent="0.3">
      <c r="A1862" t="s">
        <v>11555</v>
      </c>
      <c r="B1862" t="s">
        <v>11654</v>
      </c>
      <c r="C1862" s="20" t="s">
        <v>11655</v>
      </c>
      <c r="E1862" t="s">
        <v>11558</v>
      </c>
      <c r="F1862">
        <v>20</v>
      </c>
      <c r="G1862" s="17" t="s">
        <v>32</v>
      </c>
    </row>
    <row r="1863" spans="1:7" ht="43.2" x14ac:dyDescent="0.3">
      <c r="A1863" t="s">
        <v>11555</v>
      </c>
      <c r="B1863" t="s">
        <v>11656</v>
      </c>
      <c r="C1863" s="20" t="s">
        <v>11657</v>
      </c>
      <c r="E1863" t="s">
        <v>11558</v>
      </c>
      <c r="F1863">
        <v>80</v>
      </c>
      <c r="G1863" s="17" t="s">
        <v>32</v>
      </c>
    </row>
    <row r="1864" spans="1:7" ht="409.6" x14ac:dyDescent="0.3">
      <c r="A1864" t="s">
        <v>11555</v>
      </c>
      <c r="B1864" t="s">
        <v>11658</v>
      </c>
      <c r="C1864" s="20" t="s">
        <v>11659</v>
      </c>
      <c r="E1864" t="s">
        <v>11558</v>
      </c>
      <c r="G1864" s="28" t="s">
        <v>12731</v>
      </c>
    </row>
    <row r="1865" spans="1:7" ht="316.8" x14ac:dyDescent="0.3">
      <c r="A1865" t="s">
        <v>11555</v>
      </c>
      <c r="B1865" t="s">
        <v>11660</v>
      </c>
      <c r="C1865" s="20" t="s">
        <v>11661</v>
      </c>
      <c r="E1865" t="s">
        <v>11558</v>
      </c>
      <c r="G1865" s="28" t="s">
        <v>12732</v>
      </c>
    </row>
    <row r="1866" spans="1:7" ht="28.8" x14ac:dyDescent="0.3">
      <c r="A1866" t="s">
        <v>11555</v>
      </c>
      <c r="B1866" t="s">
        <v>11662</v>
      </c>
      <c r="C1866" s="20" t="s">
        <v>11663</v>
      </c>
      <c r="E1866" t="s">
        <v>11558</v>
      </c>
      <c r="G1866" s="17" t="s">
        <v>32</v>
      </c>
    </row>
    <row r="1867" spans="1:7" x14ac:dyDescent="0.3">
      <c r="A1867" t="s">
        <v>11555</v>
      </c>
      <c r="B1867" t="s">
        <v>11664</v>
      </c>
      <c r="C1867" s="20" t="s">
        <v>11665</v>
      </c>
      <c r="E1867" t="s">
        <v>12386</v>
      </c>
      <c r="G1867" s="17" t="s">
        <v>32</v>
      </c>
    </row>
    <row r="1868" spans="1:7" ht="28.8" x14ac:dyDescent="0.3">
      <c r="A1868" t="s">
        <v>11555</v>
      </c>
      <c r="B1868" t="s">
        <v>11666</v>
      </c>
      <c r="C1868" s="20" t="s">
        <v>11667</v>
      </c>
      <c r="E1868" t="s">
        <v>11558</v>
      </c>
      <c r="F1868">
        <v>60</v>
      </c>
      <c r="G1868" s="17" t="s">
        <v>32</v>
      </c>
    </row>
    <row r="1869" spans="1:7" ht="100.8" x14ac:dyDescent="0.3">
      <c r="A1869" t="s">
        <v>11555</v>
      </c>
      <c r="B1869" t="s">
        <v>11668</v>
      </c>
      <c r="C1869" s="20" t="s">
        <v>11669</v>
      </c>
      <c r="E1869" t="s">
        <v>11558</v>
      </c>
      <c r="G1869" s="28" t="s">
        <v>12733</v>
      </c>
    </row>
    <row r="1870" spans="1:7" x14ac:dyDescent="0.3">
      <c r="A1870" t="s">
        <v>11555</v>
      </c>
      <c r="B1870" t="s">
        <v>11670</v>
      </c>
      <c r="C1870" s="20" t="s">
        <v>11671</v>
      </c>
      <c r="E1870" t="s">
        <v>11558</v>
      </c>
      <c r="F1870">
        <v>60</v>
      </c>
      <c r="G1870" s="17" t="s">
        <v>32</v>
      </c>
    </row>
    <row r="1871" spans="1:7" ht="273.60000000000002" x14ac:dyDescent="0.3">
      <c r="A1871" t="s">
        <v>11555</v>
      </c>
      <c r="B1871" t="s">
        <v>2557</v>
      </c>
      <c r="C1871" s="20" t="s">
        <v>2554</v>
      </c>
      <c r="E1871" t="s">
        <v>11558</v>
      </c>
      <c r="G1871" s="28" t="s">
        <v>12734</v>
      </c>
    </row>
    <row r="1872" spans="1:7" ht="28.8" x14ac:dyDescent="0.3">
      <c r="A1872" t="s">
        <v>11555</v>
      </c>
      <c r="B1872" t="s">
        <v>11672</v>
      </c>
      <c r="C1872" s="20" t="s">
        <v>11673</v>
      </c>
      <c r="E1872" t="s">
        <v>11558</v>
      </c>
      <c r="F1872">
        <v>10</v>
      </c>
      <c r="G1872" s="17" t="s">
        <v>32</v>
      </c>
    </row>
    <row r="1873" spans="1:7" ht="43.2" x14ac:dyDescent="0.3">
      <c r="A1873" t="s">
        <v>11555</v>
      </c>
      <c r="B1873" t="s">
        <v>11674</v>
      </c>
      <c r="C1873" s="20" t="s">
        <v>2547</v>
      </c>
      <c r="E1873" t="s">
        <v>11558</v>
      </c>
      <c r="F1873">
        <v>3</v>
      </c>
      <c r="G1873" s="17" t="s">
        <v>32</v>
      </c>
    </row>
    <row r="1874" spans="1:7" ht="244.8" x14ac:dyDescent="0.3">
      <c r="A1874" t="s">
        <v>11555</v>
      </c>
      <c r="B1874" t="s">
        <v>11675</v>
      </c>
      <c r="C1874" s="20" t="s">
        <v>11676</v>
      </c>
      <c r="E1874" t="s">
        <v>11558</v>
      </c>
      <c r="G1874" s="28" t="s">
        <v>12735</v>
      </c>
    </row>
    <row r="1875" spans="1:7" ht="86.4" x14ac:dyDescent="0.3">
      <c r="A1875" t="s">
        <v>11555</v>
      </c>
      <c r="B1875" t="s">
        <v>11677</v>
      </c>
      <c r="C1875" s="20" t="s">
        <v>11678</v>
      </c>
      <c r="E1875" t="s">
        <v>11558</v>
      </c>
      <c r="G1875" s="28" t="s">
        <v>12736</v>
      </c>
    </row>
    <row r="1876" spans="1:7" ht="302.39999999999998" x14ac:dyDescent="0.3">
      <c r="A1876" t="s">
        <v>11555</v>
      </c>
      <c r="B1876" t="s">
        <v>11679</v>
      </c>
      <c r="C1876" s="20" t="s">
        <v>2585</v>
      </c>
      <c r="E1876" t="s">
        <v>11558</v>
      </c>
      <c r="G1876" s="28" t="s">
        <v>12737</v>
      </c>
    </row>
    <row r="1877" spans="1:7" ht="316.8" x14ac:dyDescent="0.3">
      <c r="A1877" t="s">
        <v>11555</v>
      </c>
      <c r="B1877" t="s">
        <v>11680</v>
      </c>
      <c r="C1877" s="20" t="s">
        <v>12388</v>
      </c>
      <c r="E1877" t="s">
        <v>11558</v>
      </c>
      <c r="G1877" s="28" t="s">
        <v>12738</v>
      </c>
    </row>
    <row r="1878" spans="1:7" ht="331.2" x14ac:dyDescent="0.3">
      <c r="A1878" t="s">
        <v>11555</v>
      </c>
      <c r="B1878" t="s">
        <v>11681</v>
      </c>
      <c r="C1878" s="20" t="s">
        <v>11682</v>
      </c>
      <c r="E1878" t="s">
        <v>11558</v>
      </c>
      <c r="G1878" s="28" t="s">
        <v>12739</v>
      </c>
    </row>
    <row r="1879" spans="1:7" ht="57.6" x14ac:dyDescent="0.3">
      <c r="A1879" t="s">
        <v>11555</v>
      </c>
      <c r="B1879" t="s">
        <v>11683</v>
      </c>
      <c r="C1879" s="20" t="s">
        <v>11684</v>
      </c>
      <c r="E1879" t="s">
        <v>11558</v>
      </c>
      <c r="G1879" s="28" t="s">
        <v>12720</v>
      </c>
    </row>
    <row r="1880" spans="1:7" ht="115.2" x14ac:dyDescent="0.3">
      <c r="A1880" t="s">
        <v>11555</v>
      </c>
      <c r="B1880" t="s">
        <v>11685</v>
      </c>
      <c r="C1880" s="20" t="s">
        <v>11686</v>
      </c>
      <c r="E1880" t="s">
        <v>11558</v>
      </c>
      <c r="G1880" s="28" t="s">
        <v>12740</v>
      </c>
    </row>
    <row r="1881" spans="1:7" ht="158.4" x14ac:dyDescent="0.3">
      <c r="A1881" t="s">
        <v>11555</v>
      </c>
      <c r="B1881" t="s">
        <v>11687</v>
      </c>
      <c r="C1881" s="20" t="s">
        <v>11688</v>
      </c>
      <c r="E1881" t="s">
        <v>11558</v>
      </c>
      <c r="G1881" s="28" t="s">
        <v>12741</v>
      </c>
    </row>
    <row r="1882" spans="1:7" ht="57.6" x14ac:dyDescent="0.3">
      <c r="A1882" t="s">
        <v>11555</v>
      </c>
      <c r="B1882" t="s">
        <v>11689</v>
      </c>
      <c r="C1882" s="20" t="s">
        <v>11690</v>
      </c>
      <c r="E1882" t="s">
        <v>11558</v>
      </c>
      <c r="G1882" s="28" t="s">
        <v>12727</v>
      </c>
    </row>
    <row r="1883" spans="1:7" ht="28.8" x14ac:dyDescent="0.3">
      <c r="A1883" t="s">
        <v>11555</v>
      </c>
      <c r="B1883" t="s">
        <v>11691</v>
      </c>
      <c r="C1883" s="20" t="s">
        <v>11692</v>
      </c>
      <c r="E1883" t="s">
        <v>11571</v>
      </c>
      <c r="G1883" s="17" t="s">
        <v>32</v>
      </c>
    </row>
    <row r="1884" spans="1:7" ht="409.6" x14ac:dyDescent="0.3">
      <c r="A1884" t="s">
        <v>11555</v>
      </c>
      <c r="B1884" t="s">
        <v>11693</v>
      </c>
      <c r="C1884" s="20" t="s">
        <v>11694</v>
      </c>
      <c r="E1884" t="s">
        <v>11558</v>
      </c>
      <c r="G1884" s="28" t="s">
        <v>12742</v>
      </c>
    </row>
    <row r="1885" spans="1:7" ht="360" x14ac:dyDescent="0.3">
      <c r="A1885" t="s">
        <v>11555</v>
      </c>
      <c r="B1885" t="s">
        <v>11695</v>
      </c>
      <c r="C1885" s="20" t="s">
        <v>11696</v>
      </c>
      <c r="E1885" t="s">
        <v>11558</v>
      </c>
      <c r="G1885" s="28" t="s">
        <v>12743</v>
      </c>
    </row>
    <row r="1886" spans="1:7" ht="57.6" x14ac:dyDescent="0.3">
      <c r="A1886" t="s">
        <v>11555</v>
      </c>
      <c r="B1886" t="s">
        <v>11697</v>
      </c>
      <c r="C1886" s="20" t="s">
        <v>11698</v>
      </c>
      <c r="E1886" t="s">
        <v>11558</v>
      </c>
      <c r="G1886" s="28" t="s">
        <v>12744</v>
      </c>
    </row>
    <row r="1887" spans="1:7" ht="57.6" x14ac:dyDescent="0.3">
      <c r="A1887" t="s">
        <v>11555</v>
      </c>
      <c r="B1887" t="s">
        <v>11699</v>
      </c>
      <c r="C1887" s="20" t="s">
        <v>11700</v>
      </c>
      <c r="E1887" t="s">
        <v>11558</v>
      </c>
      <c r="G1887" s="28" t="s">
        <v>12745</v>
      </c>
    </row>
    <row r="1888" spans="1:7" ht="28.8" x14ac:dyDescent="0.3">
      <c r="A1888" t="s">
        <v>11555</v>
      </c>
      <c r="B1888" t="s">
        <v>11701</v>
      </c>
      <c r="C1888" s="20" t="s">
        <v>11702</v>
      </c>
      <c r="E1888" t="s">
        <v>12386</v>
      </c>
      <c r="G1888" s="17" t="s">
        <v>32</v>
      </c>
    </row>
    <row r="1889" spans="1:7" ht="43.2" x14ac:dyDescent="0.3">
      <c r="A1889" t="s">
        <v>11555</v>
      </c>
      <c r="B1889" t="s">
        <v>11703</v>
      </c>
      <c r="C1889" s="20" t="s">
        <v>11704</v>
      </c>
      <c r="E1889" t="s">
        <v>11558</v>
      </c>
      <c r="F1889">
        <v>20</v>
      </c>
      <c r="G1889" s="17" t="s">
        <v>32</v>
      </c>
    </row>
    <row r="1890" spans="1:7" ht="86.4" x14ac:dyDescent="0.3">
      <c r="A1890" t="s">
        <v>11555</v>
      </c>
      <c r="B1890" t="s">
        <v>11705</v>
      </c>
      <c r="C1890" s="20" t="s">
        <v>11706</v>
      </c>
      <c r="E1890" t="s">
        <v>11558</v>
      </c>
      <c r="G1890" s="28" t="s">
        <v>12746</v>
      </c>
    </row>
    <row r="1891" spans="1:7" ht="345.6" x14ac:dyDescent="0.3">
      <c r="A1891" t="s">
        <v>11555</v>
      </c>
      <c r="B1891" t="s">
        <v>11707</v>
      </c>
      <c r="C1891" s="20" t="s">
        <v>11708</v>
      </c>
      <c r="E1891" t="s">
        <v>11558</v>
      </c>
      <c r="G1891" s="28" t="s">
        <v>12747</v>
      </c>
    </row>
    <row r="1892" spans="1:7" x14ac:dyDescent="0.3">
      <c r="A1892" t="s">
        <v>11555</v>
      </c>
      <c r="B1892" t="s">
        <v>11709</v>
      </c>
      <c r="C1892" s="20" t="s">
        <v>11710</v>
      </c>
      <c r="E1892" t="s">
        <v>11558</v>
      </c>
      <c r="F1892">
        <v>40</v>
      </c>
      <c r="G1892" s="17" t="s">
        <v>32</v>
      </c>
    </row>
    <row r="1893" spans="1:7" ht="28.8" x14ac:dyDescent="0.3">
      <c r="A1893" t="s">
        <v>11555</v>
      </c>
      <c r="B1893" t="s">
        <v>11711</v>
      </c>
      <c r="C1893" s="20" t="s">
        <v>11712</v>
      </c>
      <c r="E1893" t="s">
        <v>12386</v>
      </c>
      <c r="G1893" s="17" t="s">
        <v>32</v>
      </c>
    </row>
    <row r="1894" spans="1:7" ht="28.8" x14ac:dyDescent="0.3">
      <c r="A1894" t="s">
        <v>11555</v>
      </c>
      <c r="B1894" t="s">
        <v>3522</v>
      </c>
      <c r="C1894" s="20" t="s">
        <v>11713</v>
      </c>
      <c r="E1894" t="s">
        <v>12386</v>
      </c>
      <c r="G1894" s="17" t="s">
        <v>32</v>
      </c>
    </row>
    <row r="1895" spans="1:7" x14ac:dyDescent="0.3">
      <c r="A1895" t="s">
        <v>11555</v>
      </c>
      <c r="B1895" t="s">
        <v>3527</v>
      </c>
      <c r="C1895" s="20" t="s">
        <v>11714</v>
      </c>
      <c r="E1895" t="s">
        <v>11558</v>
      </c>
      <c r="F1895">
        <v>40</v>
      </c>
      <c r="G1895" s="17" t="s">
        <v>32</v>
      </c>
    </row>
    <row r="1896" spans="1:7" ht="28.8" x14ac:dyDescent="0.3">
      <c r="A1896" t="s">
        <v>11555</v>
      </c>
      <c r="B1896" t="s">
        <v>11715</v>
      </c>
      <c r="C1896" s="20" t="s">
        <v>11716</v>
      </c>
      <c r="E1896" t="s">
        <v>11571</v>
      </c>
      <c r="G1896" s="17" t="s">
        <v>32</v>
      </c>
    </row>
    <row r="1897" spans="1:7" ht="28.8" x14ac:dyDescent="0.3">
      <c r="A1897" t="s">
        <v>11555</v>
      </c>
      <c r="B1897" t="s">
        <v>11717</v>
      </c>
      <c r="C1897" s="20" t="s">
        <v>11718</v>
      </c>
      <c r="E1897" t="s">
        <v>12386</v>
      </c>
      <c r="G1897" s="17" t="s">
        <v>32</v>
      </c>
    </row>
    <row r="1898" spans="1:7" ht="28.8" x14ac:dyDescent="0.3">
      <c r="A1898" t="s">
        <v>11555</v>
      </c>
      <c r="B1898" t="s">
        <v>11719</v>
      </c>
      <c r="C1898" s="20" t="s">
        <v>11720</v>
      </c>
      <c r="E1898" t="s">
        <v>12389</v>
      </c>
      <c r="G1898" s="17" t="s">
        <v>32</v>
      </c>
    </row>
    <row r="1899" spans="1:7" ht="409.6" x14ac:dyDescent="0.3">
      <c r="A1899" t="s">
        <v>11555</v>
      </c>
      <c r="B1899" t="s">
        <v>11721</v>
      </c>
      <c r="C1899" s="20" t="s">
        <v>11722</v>
      </c>
      <c r="E1899" t="s">
        <v>11558</v>
      </c>
      <c r="F1899">
        <v>3</v>
      </c>
      <c r="G1899" s="28" t="s">
        <v>12748</v>
      </c>
    </row>
    <row r="1900" spans="1:7" ht="28.8" x14ac:dyDescent="0.3">
      <c r="A1900" t="s">
        <v>11555</v>
      </c>
      <c r="B1900" t="s">
        <v>11723</v>
      </c>
      <c r="C1900" s="20" t="s">
        <v>11724</v>
      </c>
      <c r="E1900" t="s">
        <v>11558</v>
      </c>
      <c r="G1900" s="17" t="s">
        <v>32</v>
      </c>
    </row>
    <row r="1901" spans="1:7" ht="187.2" x14ac:dyDescent="0.3">
      <c r="A1901" t="s">
        <v>11555</v>
      </c>
      <c r="B1901" t="s">
        <v>11725</v>
      </c>
      <c r="C1901" s="20" t="s">
        <v>11726</v>
      </c>
      <c r="E1901" t="s">
        <v>11558</v>
      </c>
      <c r="G1901" s="28" t="s">
        <v>12749</v>
      </c>
    </row>
    <row r="1902" spans="1:7" ht="43.2" x14ac:dyDescent="0.3">
      <c r="A1902" t="s">
        <v>11555</v>
      </c>
      <c r="B1902" t="s">
        <v>11727</v>
      </c>
      <c r="C1902" s="20" t="s">
        <v>11728</v>
      </c>
      <c r="E1902" t="s">
        <v>12386</v>
      </c>
      <c r="G1902" s="17" t="s">
        <v>32</v>
      </c>
    </row>
    <row r="1903" spans="1:7" ht="28.8" x14ac:dyDescent="0.3">
      <c r="A1903" t="s">
        <v>11555</v>
      </c>
      <c r="B1903" t="s">
        <v>11729</v>
      </c>
      <c r="C1903" s="20" t="s">
        <v>11730</v>
      </c>
      <c r="E1903" t="s">
        <v>12386</v>
      </c>
      <c r="G1903" s="17" t="s">
        <v>32</v>
      </c>
    </row>
    <row r="1904" spans="1:7" ht="28.8" x14ac:dyDescent="0.3">
      <c r="A1904" t="s">
        <v>11555</v>
      </c>
      <c r="B1904" t="s">
        <v>11731</v>
      </c>
      <c r="C1904" s="20" t="s">
        <v>11732</v>
      </c>
      <c r="E1904" t="s">
        <v>12386</v>
      </c>
      <c r="G1904" s="17" t="s">
        <v>32</v>
      </c>
    </row>
    <row r="1905" spans="1:7" ht="57.6" x14ac:dyDescent="0.3">
      <c r="A1905" t="s">
        <v>11555</v>
      </c>
      <c r="B1905" t="s">
        <v>11733</v>
      </c>
      <c r="C1905" s="20" t="s">
        <v>11734</v>
      </c>
      <c r="E1905" t="s">
        <v>11558</v>
      </c>
      <c r="G1905" s="28" t="s">
        <v>12720</v>
      </c>
    </row>
    <row r="1906" spans="1:7" ht="43.2" x14ac:dyDescent="0.3">
      <c r="A1906" t="s">
        <v>11555</v>
      </c>
      <c r="B1906" t="s">
        <v>11735</v>
      </c>
      <c r="C1906" s="20" t="s">
        <v>11736</v>
      </c>
      <c r="E1906" t="s">
        <v>11571</v>
      </c>
      <c r="G1906" s="17" t="s">
        <v>32</v>
      </c>
    </row>
    <row r="1907" spans="1:7" ht="158.4" x14ac:dyDescent="0.3">
      <c r="A1907" t="s">
        <v>11555</v>
      </c>
      <c r="B1907" t="s">
        <v>11737</v>
      </c>
      <c r="C1907" s="20" t="s">
        <v>11738</v>
      </c>
      <c r="E1907" t="s">
        <v>11558</v>
      </c>
      <c r="G1907" s="28" t="s">
        <v>12750</v>
      </c>
    </row>
    <row r="1908" spans="1:7" ht="409.6" x14ac:dyDescent="0.3">
      <c r="A1908" t="s">
        <v>11555</v>
      </c>
      <c r="B1908" t="s">
        <v>11739</v>
      </c>
      <c r="C1908" s="20" t="s">
        <v>11740</v>
      </c>
      <c r="E1908" t="s">
        <v>11558</v>
      </c>
      <c r="G1908" s="28" t="s">
        <v>12731</v>
      </c>
    </row>
    <row r="1909" spans="1:7" x14ac:dyDescent="0.3">
      <c r="A1909" t="s">
        <v>11555</v>
      </c>
      <c r="B1909" t="s">
        <v>11741</v>
      </c>
      <c r="C1909" s="20" t="s">
        <v>11742</v>
      </c>
      <c r="E1909" t="s">
        <v>11558</v>
      </c>
      <c r="F1909">
        <v>60</v>
      </c>
      <c r="G1909" s="17" t="s">
        <v>32</v>
      </c>
    </row>
    <row r="1910" spans="1:7" ht="28.8" x14ac:dyDescent="0.3">
      <c r="A1910" t="s">
        <v>11555</v>
      </c>
      <c r="B1910" t="s">
        <v>11743</v>
      </c>
      <c r="C1910" s="20" t="s">
        <v>11744</v>
      </c>
      <c r="E1910" t="s">
        <v>11609</v>
      </c>
      <c r="G1910" s="17" t="s">
        <v>32</v>
      </c>
    </row>
    <row r="1911" spans="1:7" ht="28.8" x14ac:dyDescent="0.3">
      <c r="A1911" t="s">
        <v>11555</v>
      </c>
      <c r="B1911" t="s">
        <v>11745</v>
      </c>
      <c r="C1911" s="20" t="s">
        <v>11746</v>
      </c>
      <c r="E1911" t="s">
        <v>11609</v>
      </c>
      <c r="G1911" s="17" t="s">
        <v>32</v>
      </c>
    </row>
    <row r="1912" spans="1:7" ht="100.8" x14ac:dyDescent="0.3">
      <c r="A1912" t="s">
        <v>11555</v>
      </c>
      <c r="B1912" t="s">
        <v>11747</v>
      </c>
      <c r="C1912" s="20" t="s">
        <v>11748</v>
      </c>
      <c r="E1912" t="s">
        <v>11558</v>
      </c>
      <c r="G1912" s="28" t="s">
        <v>12751</v>
      </c>
    </row>
    <row r="1913" spans="1:7" ht="72" x14ac:dyDescent="0.3">
      <c r="A1913" t="s">
        <v>11555</v>
      </c>
      <c r="B1913" t="s">
        <v>11749</v>
      </c>
      <c r="C1913" s="20" t="s">
        <v>11750</v>
      </c>
      <c r="E1913" t="s">
        <v>12386</v>
      </c>
      <c r="G1913" s="17" t="s">
        <v>32</v>
      </c>
    </row>
    <row r="1914" spans="1:7" ht="28.8" x14ac:dyDescent="0.3">
      <c r="A1914" t="s">
        <v>11555</v>
      </c>
      <c r="B1914" t="s">
        <v>11751</v>
      </c>
      <c r="C1914" s="20" t="s">
        <v>11752</v>
      </c>
      <c r="E1914" t="s">
        <v>11558</v>
      </c>
      <c r="F1914">
        <v>500</v>
      </c>
      <c r="G1914" s="17" t="s">
        <v>32</v>
      </c>
    </row>
    <row r="1915" spans="1:7" ht="72" x14ac:dyDescent="0.3">
      <c r="A1915" t="s">
        <v>11555</v>
      </c>
      <c r="B1915" t="s">
        <v>11753</v>
      </c>
      <c r="C1915" s="20" t="s">
        <v>11754</v>
      </c>
      <c r="E1915" t="s">
        <v>11558</v>
      </c>
      <c r="G1915" s="28" t="s">
        <v>12752</v>
      </c>
    </row>
    <row r="1916" spans="1:7" ht="72" x14ac:dyDescent="0.3">
      <c r="A1916" t="s">
        <v>11555</v>
      </c>
      <c r="B1916" t="s">
        <v>11755</v>
      </c>
      <c r="C1916" s="20" t="s">
        <v>11756</v>
      </c>
      <c r="E1916" t="s">
        <v>11558</v>
      </c>
      <c r="G1916" s="28" t="s">
        <v>12753</v>
      </c>
    </row>
    <row r="1917" spans="1:7" ht="86.4" x14ac:dyDescent="0.3">
      <c r="A1917" t="s">
        <v>11555</v>
      </c>
      <c r="B1917" t="s">
        <v>11757</v>
      </c>
      <c r="C1917" s="20" t="s">
        <v>11758</v>
      </c>
      <c r="E1917" t="s">
        <v>11558</v>
      </c>
      <c r="G1917" s="28" t="s">
        <v>12754</v>
      </c>
    </row>
    <row r="1918" spans="1:7" ht="28.8" x14ac:dyDescent="0.3">
      <c r="A1918" t="s">
        <v>11555</v>
      </c>
      <c r="B1918" t="s">
        <v>11759</v>
      </c>
      <c r="C1918" s="20" t="s">
        <v>11760</v>
      </c>
      <c r="E1918" t="s">
        <v>11558</v>
      </c>
      <c r="F1918">
        <v>30</v>
      </c>
      <c r="G1918" s="17" t="s">
        <v>32</v>
      </c>
    </row>
    <row r="1919" spans="1:7" ht="28.8" x14ac:dyDescent="0.3">
      <c r="A1919" t="s">
        <v>11555</v>
      </c>
      <c r="B1919" t="s">
        <v>11761</v>
      </c>
      <c r="C1919" s="20" t="s">
        <v>11762</v>
      </c>
      <c r="E1919" t="s">
        <v>12386</v>
      </c>
      <c r="G1919" s="17" t="s">
        <v>32</v>
      </c>
    </row>
    <row r="1920" spans="1:7" ht="86.4" x14ac:dyDescent="0.3">
      <c r="A1920" t="s">
        <v>11555</v>
      </c>
      <c r="B1920" t="s">
        <v>11763</v>
      </c>
      <c r="C1920" s="20" t="s">
        <v>11764</v>
      </c>
      <c r="E1920" t="s">
        <v>12386</v>
      </c>
      <c r="G1920" s="17" t="s">
        <v>32</v>
      </c>
    </row>
    <row r="1921" spans="1:7" ht="409.6" x14ac:dyDescent="0.3">
      <c r="A1921" t="s">
        <v>11555</v>
      </c>
      <c r="B1921" t="s">
        <v>11765</v>
      </c>
      <c r="C1921" s="20" t="s">
        <v>11766</v>
      </c>
      <c r="E1921" t="s">
        <v>11558</v>
      </c>
      <c r="F1921">
        <v>3</v>
      </c>
      <c r="G1921" s="28" t="s">
        <v>12755</v>
      </c>
    </row>
    <row r="1922" spans="1:7" ht="57.6" x14ac:dyDescent="0.3">
      <c r="A1922" t="s">
        <v>11555</v>
      </c>
      <c r="B1922" t="s">
        <v>11767</v>
      </c>
      <c r="C1922" s="20" t="s">
        <v>11768</v>
      </c>
      <c r="E1922" t="s">
        <v>11558</v>
      </c>
      <c r="G1922" s="28" t="s">
        <v>12716</v>
      </c>
    </row>
    <row r="1923" spans="1:7" ht="57.6" x14ac:dyDescent="0.3">
      <c r="A1923" t="s">
        <v>11555</v>
      </c>
      <c r="B1923" t="s">
        <v>11769</v>
      </c>
      <c r="C1923" s="20" t="s">
        <v>11770</v>
      </c>
      <c r="E1923" t="s">
        <v>11558</v>
      </c>
      <c r="F1923">
        <v>20</v>
      </c>
      <c r="G1923" s="17" t="s">
        <v>32</v>
      </c>
    </row>
    <row r="1924" spans="1:7" ht="216" x14ac:dyDescent="0.3">
      <c r="A1924" t="s">
        <v>11555</v>
      </c>
      <c r="B1924" t="s">
        <v>11771</v>
      </c>
      <c r="C1924" s="20" t="s">
        <v>11772</v>
      </c>
      <c r="E1924" t="s">
        <v>11558</v>
      </c>
      <c r="G1924" s="28" t="s">
        <v>12756</v>
      </c>
    </row>
    <row r="1925" spans="1:7" ht="409.6" x14ac:dyDescent="0.3">
      <c r="A1925" t="s">
        <v>11555</v>
      </c>
      <c r="B1925" t="s">
        <v>11773</v>
      </c>
      <c r="C1925" s="20" t="s">
        <v>11774</v>
      </c>
      <c r="E1925" t="s">
        <v>11558</v>
      </c>
      <c r="G1925" s="28" t="s">
        <v>12757</v>
      </c>
    </row>
    <row r="1926" spans="1:7" ht="28.8" x14ac:dyDescent="0.3">
      <c r="A1926" t="s">
        <v>11555</v>
      </c>
      <c r="B1926" t="s">
        <v>11775</v>
      </c>
      <c r="C1926" s="20" t="s">
        <v>11776</v>
      </c>
      <c r="E1926" t="s">
        <v>12386</v>
      </c>
      <c r="G1926" s="17" t="s">
        <v>32</v>
      </c>
    </row>
    <row r="1927" spans="1:7" ht="28.8" x14ac:dyDescent="0.3">
      <c r="A1927" t="s">
        <v>11555</v>
      </c>
      <c r="B1927" t="s">
        <v>11777</v>
      </c>
      <c r="C1927" s="20" t="s">
        <v>11778</v>
      </c>
      <c r="E1927" t="s">
        <v>11558</v>
      </c>
      <c r="F1927">
        <v>128</v>
      </c>
      <c r="G1927" s="17" t="s">
        <v>32</v>
      </c>
    </row>
    <row r="1928" spans="1:7" ht="43.2" x14ac:dyDescent="0.3">
      <c r="A1928" t="s">
        <v>11555</v>
      </c>
      <c r="B1928" t="s">
        <v>11779</v>
      </c>
      <c r="C1928" s="20" t="s">
        <v>11780</v>
      </c>
      <c r="E1928" t="s">
        <v>11558</v>
      </c>
      <c r="F1928">
        <v>60</v>
      </c>
      <c r="G1928" s="17" t="s">
        <v>32</v>
      </c>
    </row>
    <row r="1929" spans="1:7" ht="72" x14ac:dyDescent="0.3">
      <c r="A1929" t="s">
        <v>11555</v>
      </c>
      <c r="B1929" t="s">
        <v>11781</v>
      </c>
      <c r="C1929" s="20" t="s">
        <v>11782</v>
      </c>
      <c r="E1929" t="s">
        <v>11558</v>
      </c>
      <c r="G1929" s="28" t="s">
        <v>12758</v>
      </c>
    </row>
    <row r="1930" spans="1:7" ht="201.6" x14ac:dyDescent="0.3">
      <c r="A1930" t="s">
        <v>11555</v>
      </c>
      <c r="B1930" t="s">
        <v>11783</v>
      </c>
      <c r="C1930" s="20" t="s">
        <v>11784</v>
      </c>
      <c r="E1930" t="s">
        <v>11558</v>
      </c>
      <c r="G1930" s="28" t="s">
        <v>12759</v>
      </c>
    </row>
    <row r="1931" spans="1:7" ht="43.2" x14ac:dyDescent="0.3">
      <c r="A1931" t="s">
        <v>11555</v>
      </c>
      <c r="B1931" t="s">
        <v>11785</v>
      </c>
      <c r="C1931" s="20" t="s">
        <v>11786</v>
      </c>
      <c r="E1931" t="s">
        <v>12386</v>
      </c>
      <c r="G1931" s="17" t="s">
        <v>32</v>
      </c>
    </row>
    <row r="1932" spans="1:7" ht="409.6" x14ac:dyDescent="0.3">
      <c r="A1932" t="s">
        <v>11555</v>
      </c>
      <c r="B1932" t="s">
        <v>11787</v>
      </c>
      <c r="C1932" s="20" t="s">
        <v>11788</v>
      </c>
      <c r="E1932" t="s">
        <v>11558</v>
      </c>
      <c r="F1932">
        <v>2</v>
      </c>
      <c r="G1932" s="28" t="s">
        <v>12760</v>
      </c>
    </row>
    <row r="1933" spans="1:7" x14ac:dyDescent="0.3">
      <c r="A1933" t="s">
        <v>11555</v>
      </c>
      <c r="B1933" t="s">
        <v>11789</v>
      </c>
      <c r="C1933" s="20" t="s">
        <v>11790</v>
      </c>
      <c r="E1933" t="s">
        <v>11558</v>
      </c>
      <c r="F1933">
        <v>80</v>
      </c>
      <c r="G1933" s="17" t="s">
        <v>32</v>
      </c>
    </row>
    <row r="1934" spans="1:7" ht="187.2" x14ac:dyDescent="0.3">
      <c r="A1934" t="s">
        <v>11555</v>
      </c>
      <c r="B1934" t="s">
        <v>11791</v>
      </c>
      <c r="C1934" s="20" t="s">
        <v>11792</v>
      </c>
      <c r="E1934" t="s">
        <v>11558</v>
      </c>
      <c r="G1934" s="28" t="s">
        <v>12761</v>
      </c>
    </row>
    <row r="1935" spans="1:7" ht="172.8" x14ac:dyDescent="0.3">
      <c r="A1935" t="s">
        <v>11555</v>
      </c>
      <c r="B1935" t="s">
        <v>11793</v>
      </c>
      <c r="C1935" s="20" t="s">
        <v>11794</v>
      </c>
      <c r="E1935" t="s">
        <v>11558</v>
      </c>
      <c r="G1935" s="28" t="s">
        <v>12762</v>
      </c>
    </row>
    <row r="1936" spans="1:7" ht="28.8" x14ac:dyDescent="0.3">
      <c r="A1936" t="s">
        <v>11555</v>
      </c>
      <c r="B1936" t="s">
        <v>11795</v>
      </c>
      <c r="C1936" s="20" t="s">
        <v>11796</v>
      </c>
      <c r="E1936" t="s">
        <v>12386</v>
      </c>
      <c r="G1936" s="17" t="s">
        <v>32</v>
      </c>
    </row>
    <row r="1937" spans="1:7" ht="57.6" x14ac:dyDescent="0.3">
      <c r="A1937" t="s">
        <v>11555</v>
      </c>
      <c r="B1937" t="s">
        <v>11797</v>
      </c>
      <c r="C1937" s="20" t="s">
        <v>11798</v>
      </c>
      <c r="E1937" t="s">
        <v>11558</v>
      </c>
      <c r="F1937">
        <v>40</v>
      </c>
      <c r="G1937" s="17" t="s">
        <v>32</v>
      </c>
    </row>
    <row r="1938" spans="1:7" ht="57.6" x14ac:dyDescent="0.3">
      <c r="A1938" t="s">
        <v>11555</v>
      </c>
      <c r="B1938" t="s">
        <v>11799</v>
      </c>
      <c r="C1938" s="20" t="s">
        <v>11800</v>
      </c>
      <c r="E1938" t="s">
        <v>11558</v>
      </c>
      <c r="G1938" s="28" t="s">
        <v>12763</v>
      </c>
    </row>
    <row r="1939" spans="1:7" ht="28.8" x14ac:dyDescent="0.3">
      <c r="A1939" t="s">
        <v>11555</v>
      </c>
      <c r="B1939" t="s">
        <v>11801</v>
      </c>
      <c r="C1939" s="20" t="s">
        <v>11802</v>
      </c>
      <c r="E1939" t="s">
        <v>11558</v>
      </c>
      <c r="F1939">
        <v>80</v>
      </c>
      <c r="G1939" s="17" t="s">
        <v>32</v>
      </c>
    </row>
    <row r="1940" spans="1:7" ht="100.8" x14ac:dyDescent="0.3">
      <c r="A1940" t="s">
        <v>11555</v>
      </c>
      <c r="B1940" t="s">
        <v>11803</v>
      </c>
      <c r="C1940" s="20" t="s">
        <v>11804</v>
      </c>
      <c r="E1940" t="s">
        <v>11558</v>
      </c>
      <c r="G1940" s="28" t="s">
        <v>12764</v>
      </c>
    </row>
    <row r="1941" spans="1:7" ht="100.8" x14ac:dyDescent="0.3">
      <c r="A1941" t="s">
        <v>11555</v>
      </c>
      <c r="B1941" t="s">
        <v>11805</v>
      </c>
      <c r="C1941" s="20" t="s">
        <v>11806</v>
      </c>
      <c r="E1941" t="s">
        <v>11558</v>
      </c>
      <c r="G1941" s="28" t="s">
        <v>12764</v>
      </c>
    </row>
    <row r="1942" spans="1:7" ht="57.6" x14ac:dyDescent="0.3">
      <c r="A1942" t="s">
        <v>11555</v>
      </c>
      <c r="B1942" t="s">
        <v>11807</v>
      </c>
      <c r="C1942" s="20" t="s">
        <v>11808</v>
      </c>
      <c r="E1942" t="s">
        <v>11558</v>
      </c>
      <c r="G1942" s="28" t="s">
        <v>12765</v>
      </c>
    </row>
    <row r="1943" spans="1:7" ht="158.4" x14ac:dyDescent="0.3">
      <c r="A1943" t="s">
        <v>11555</v>
      </c>
      <c r="B1943" t="s">
        <v>11809</v>
      </c>
      <c r="C1943" s="20" t="s">
        <v>11810</v>
      </c>
      <c r="E1943" t="s">
        <v>11558</v>
      </c>
      <c r="G1943" s="28" t="s">
        <v>12766</v>
      </c>
    </row>
    <row r="1944" spans="1:7" ht="187.2" x14ac:dyDescent="0.3">
      <c r="A1944" t="s">
        <v>11555</v>
      </c>
      <c r="B1944" t="s">
        <v>11811</v>
      </c>
      <c r="C1944" s="20" t="s">
        <v>11812</v>
      </c>
      <c r="E1944" t="s">
        <v>11558</v>
      </c>
      <c r="G1944" s="28" t="s">
        <v>12767</v>
      </c>
    </row>
    <row r="1945" spans="1:7" ht="43.2" x14ac:dyDescent="0.3">
      <c r="A1945" t="s">
        <v>11555</v>
      </c>
      <c r="B1945" t="s">
        <v>11813</v>
      </c>
      <c r="C1945" s="20" t="s">
        <v>11814</v>
      </c>
      <c r="E1945" t="s">
        <v>11558</v>
      </c>
      <c r="G1945" s="17" t="s">
        <v>32</v>
      </c>
    </row>
    <row r="1946" spans="1:7" ht="43.2" x14ac:dyDescent="0.3">
      <c r="A1946" t="s">
        <v>11555</v>
      </c>
      <c r="B1946" t="s">
        <v>11815</v>
      </c>
      <c r="C1946" s="20" t="s">
        <v>11816</v>
      </c>
      <c r="E1946" t="s">
        <v>11558</v>
      </c>
      <c r="F1946">
        <v>80</v>
      </c>
      <c r="G1946" s="17" t="s">
        <v>32</v>
      </c>
    </row>
    <row r="1947" spans="1:7" ht="28.8" x14ac:dyDescent="0.3">
      <c r="A1947" t="s">
        <v>11555</v>
      </c>
      <c r="B1947" t="s">
        <v>11817</v>
      </c>
      <c r="C1947" s="20" t="s">
        <v>11818</v>
      </c>
      <c r="E1947" t="s">
        <v>12386</v>
      </c>
      <c r="G1947" s="17" t="s">
        <v>32</v>
      </c>
    </row>
    <row r="1948" spans="1:7" ht="28.8" x14ac:dyDescent="0.3">
      <c r="A1948" t="s">
        <v>11555</v>
      </c>
      <c r="B1948" t="s">
        <v>11819</v>
      </c>
      <c r="C1948" s="20" t="s">
        <v>11820</v>
      </c>
      <c r="E1948" t="s">
        <v>11558</v>
      </c>
      <c r="F1948">
        <v>40</v>
      </c>
      <c r="G1948" s="17" t="s">
        <v>32</v>
      </c>
    </row>
    <row r="1949" spans="1:7" ht="28.8" x14ac:dyDescent="0.3">
      <c r="A1949" t="s">
        <v>11555</v>
      </c>
      <c r="B1949" t="s">
        <v>11821</v>
      </c>
      <c r="C1949" s="20" t="s">
        <v>11822</v>
      </c>
      <c r="E1949" t="s">
        <v>12386</v>
      </c>
      <c r="G1949" s="17" t="s">
        <v>32</v>
      </c>
    </row>
    <row r="1950" spans="1:7" ht="28.8" x14ac:dyDescent="0.3">
      <c r="A1950" t="s">
        <v>11555</v>
      </c>
      <c r="B1950" t="s">
        <v>11823</v>
      </c>
      <c r="C1950" s="20" t="s">
        <v>11824</v>
      </c>
      <c r="E1950" t="s">
        <v>11558</v>
      </c>
      <c r="F1950">
        <v>40</v>
      </c>
      <c r="G1950" s="17" t="s">
        <v>32</v>
      </c>
    </row>
    <row r="1951" spans="1:7" ht="388.8" x14ac:dyDescent="0.3">
      <c r="A1951" t="s">
        <v>11555</v>
      </c>
      <c r="B1951" t="s">
        <v>11825</v>
      </c>
      <c r="C1951" s="20" t="s">
        <v>11826</v>
      </c>
      <c r="E1951" t="s">
        <v>11558</v>
      </c>
      <c r="G1951" s="28" t="s">
        <v>12768</v>
      </c>
    </row>
    <row r="1952" spans="1:7" ht="43.2" x14ac:dyDescent="0.3">
      <c r="A1952" t="s">
        <v>11555</v>
      </c>
      <c r="B1952" t="s">
        <v>11827</v>
      </c>
      <c r="C1952" s="20" t="s">
        <v>11828</v>
      </c>
      <c r="E1952" t="s">
        <v>11558</v>
      </c>
      <c r="G1952" s="17" t="s">
        <v>32</v>
      </c>
    </row>
    <row r="1953" spans="1:7" ht="144" x14ac:dyDescent="0.3">
      <c r="A1953" t="s">
        <v>11555</v>
      </c>
      <c r="B1953" t="s">
        <v>11829</v>
      </c>
      <c r="C1953" s="20" t="s">
        <v>11830</v>
      </c>
      <c r="E1953" t="s">
        <v>11558</v>
      </c>
      <c r="G1953" s="28" t="s">
        <v>12769</v>
      </c>
    </row>
    <row r="1954" spans="1:7" ht="28.8" x14ac:dyDescent="0.3">
      <c r="A1954" t="s">
        <v>11555</v>
      </c>
      <c r="B1954" t="s">
        <v>11831</v>
      </c>
      <c r="C1954" s="20" t="s">
        <v>11832</v>
      </c>
      <c r="E1954" t="s">
        <v>11558</v>
      </c>
      <c r="F1954">
        <v>40</v>
      </c>
      <c r="G1954" s="17" t="s">
        <v>32</v>
      </c>
    </row>
    <row r="1955" spans="1:7" ht="28.8" x14ac:dyDescent="0.3">
      <c r="A1955" t="s">
        <v>11555</v>
      </c>
      <c r="B1955" t="s">
        <v>11833</v>
      </c>
      <c r="C1955" s="20" t="s">
        <v>11834</v>
      </c>
      <c r="E1955" t="s">
        <v>11558</v>
      </c>
      <c r="F1955">
        <v>20</v>
      </c>
      <c r="G1955" s="17" t="s">
        <v>32</v>
      </c>
    </row>
    <row r="1956" spans="1:7" ht="28.8" x14ac:dyDescent="0.3">
      <c r="A1956" t="s">
        <v>11555</v>
      </c>
      <c r="B1956" t="s">
        <v>11835</v>
      </c>
      <c r="C1956" s="20" t="s">
        <v>11836</v>
      </c>
      <c r="E1956" t="s">
        <v>12386</v>
      </c>
      <c r="G1956" s="17" t="s">
        <v>32</v>
      </c>
    </row>
    <row r="1957" spans="1:7" ht="43.2" x14ac:dyDescent="0.3">
      <c r="A1957" t="s">
        <v>11555</v>
      </c>
      <c r="B1957" t="s">
        <v>11837</v>
      </c>
      <c r="C1957" s="20" t="s">
        <v>11838</v>
      </c>
      <c r="E1957" t="s">
        <v>11558</v>
      </c>
      <c r="F1957">
        <v>20</v>
      </c>
      <c r="G1957" s="17" t="s">
        <v>32</v>
      </c>
    </row>
    <row r="1958" spans="1:7" ht="409.6" x14ac:dyDescent="0.3">
      <c r="A1958" t="s">
        <v>11555</v>
      </c>
      <c r="B1958" t="s">
        <v>11839</v>
      </c>
      <c r="C1958" s="20" t="s">
        <v>11840</v>
      </c>
      <c r="E1958" t="s">
        <v>11558</v>
      </c>
      <c r="F1958">
        <v>20</v>
      </c>
      <c r="G1958" s="28" t="s">
        <v>12770</v>
      </c>
    </row>
    <row r="1959" spans="1:7" x14ac:dyDescent="0.3">
      <c r="A1959" t="s">
        <v>11555</v>
      </c>
      <c r="B1959" t="s">
        <v>11841</v>
      </c>
      <c r="C1959" s="20" t="s">
        <v>11842</v>
      </c>
      <c r="E1959" t="s">
        <v>11558</v>
      </c>
      <c r="F1959">
        <v>30</v>
      </c>
      <c r="G1959" s="17" t="s">
        <v>32</v>
      </c>
    </row>
    <row r="1960" spans="1:7" ht="28.8" x14ac:dyDescent="0.3">
      <c r="A1960" t="s">
        <v>11555</v>
      </c>
      <c r="B1960" t="s">
        <v>11843</v>
      </c>
      <c r="C1960" s="20" t="s">
        <v>11844</v>
      </c>
      <c r="E1960" t="s">
        <v>11558</v>
      </c>
      <c r="F1960">
        <v>30</v>
      </c>
      <c r="G1960" s="17" t="s">
        <v>32</v>
      </c>
    </row>
    <row r="1961" spans="1:7" ht="57.6" x14ac:dyDescent="0.3">
      <c r="A1961" t="s">
        <v>11555</v>
      </c>
      <c r="B1961" t="s">
        <v>11845</v>
      </c>
      <c r="C1961" s="20" t="s">
        <v>11846</v>
      </c>
      <c r="E1961" t="s">
        <v>11558</v>
      </c>
      <c r="G1961" s="28" t="s">
        <v>12727</v>
      </c>
    </row>
    <row r="1962" spans="1:7" ht="57.6" x14ac:dyDescent="0.3">
      <c r="A1962" t="s">
        <v>11555</v>
      </c>
      <c r="B1962" t="s">
        <v>11847</v>
      </c>
      <c r="C1962" s="20" t="s">
        <v>11848</v>
      </c>
      <c r="E1962" t="s">
        <v>11558</v>
      </c>
      <c r="G1962" s="28" t="s">
        <v>12720</v>
      </c>
    </row>
    <row r="1963" spans="1:7" ht="115.2" x14ac:dyDescent="0.3">
      <c r="A1963" t="s">
        <v>11555</v>
      </c>
      <c r="B1963" t="s">
        <v>11849</v>
      </c>
      <c r="C1963" s="20" t="s">
        <v>11850</v>
      </c>
      <c r="E1963" t="s">
        <v>11558</v>
      </c>
      <c r="G1963" s="28" t="s">
        <v>12740</v>
      </c>
    </row>
    <row r="1964" spans="1:7" ht="43.2" x14ac:dyDescent="0.3">
      <c r="A1964" t="s">
        <v>11555</v>
      </c>
      <c r="B1964" t="s">
        <v>11851</v>
      </c>
      <c r="C1964" s="20" t="s">
        <v>11852</v>
      </c>
      <c r="E1964" t="s">
        <v>11558</v>
      </c>
      <c r="F1964">
        <v>60</v>
      </c>
      <c r="G1964" s="17" t="s">
        <v>32</v>
      </c>
    </row>
    <row r="1965" spans="1:7" ht="43.2" x14ac:dyDescent="0.3">
      <c r="A1965" t="s">
        <v>11555</v>
      </c>
      <c r="B1965" t="s">
        <v>11853</v>
      </c>
      <c r="C1965" s="20" t="s">
        <v>11854</v>
      </c>
      <c r="E1965" t="s">
        <v>11558</v>
      </c>
      <c r="F1965">
        <v>60</v>
      </c>
      <c r="G1965" s="17" t="s">
        <v>32</v>
      </c>
    </row>
    <row r="1966" spans="1:7" ht="409.6" x14ac:dyDescent="0.3">
      <c r="A1966" t="s">
        <v>11555</v>
      </c>
      <c r="B1966" t="s">
        <v>11855</v>
      </c>
      <c r="C1966" s="20" t="s">
        <v>11856</v>
      </c>
      <c r="E1966" t="s">
        <v>11558</v>
      </c>
      <c r="G1966" s="28" t="s">
        <v>12757</v>
      </c>
    </row>
    <row r="1967" spans="1:7" ht="28.8" x14ac:dyDescent="0.3">
      <c r="A1967" t="s">
        <v>11555</v>
      </c>
      <c r="B1967" t="s">
        <v>11857</v>
      </c>
      <c r="C1967" s="20" t="s">
        <v>11858</v>
      </c>
      <c r="E1967" t="s">
        <v>11558</v>
      </c>
      <c r="F1967">
        <v>40</v>
      </c>
      <c r="G1967" s="17" t="s">
        <v>32</v>
      </c>
    </row>
    <row r="1968" spans="1:7" ht="201.6" x14ac:dyDescent="0.3">
      <c r="A1968" t="s">
        <v>11555</v>
      </c>
      <c r="B1968" t="s">
        <v>11859</v>
      </c>
      <c r="C1968" s="20" t="s">
        <v>11860</v>
      </c>
      <c r="E1968" t="s">
        <v>11558</v>
      </c>
      <c r="G1968" s="28" t="s">
        <v>12771</v>
      </c>
    </row>
    <row r="1969" spans="1:7" ht="57.6" x14ac:dyDescent="0.3">
      <c r="A1969" t="s">
        <v>11555</v>
      </c>
      <c r="B1969" t="s">
        <v>11861</v>
      </c>
      <c r="C1969" s="20" t="s">
        <v>11862</v>
      </c>
      <c r="E1969" t="s">
        <v>11558</v>
      </c>
      <c r="G1969" s="28" t="s">
        <v>12772</v>
      </c>
    </row>
    <row r="1970" spans="1:7" ht="28.8" x14ac:dyDescent="0.3">
      <c r="A1970" t="s">
        <v>11555</v>
      </c>
      <c r="B1970" t="s">
        <v>11863</v>
      </c>
      <c r="C1970" s="20" t="s">
        <v>11864</v>
      </c>
      <c r="E1970" t="s">
        <v>11558</v>
      </c>
      <c r="F1970">
        <v>25</v>
      </c>
      <c r="G1970" s="17" t="s">
        <v>32</v>
      </c>
    </row>
    <row r="1971" spans="1:7" ht="172.8" x14ac:dyDescent="0.3">
      <c r="A1971" t="s">
        <v>11555</v>
      </c>
      <c r="B1971" t="s">
        <v>11865</v>
      </c>
      <c r="C1971" s="20" t="s">
        <v>11866</v>
      </c>
      <c r="E1971" t="s">
        <v>11558</v>
      </c>
      <c r="G1971" s="28" t="s">
        <v>12773</v>
      </c>
    </row>
    <row r="1972" spans="1:7" ht="28.8" x14ac:dyDescent="0.3">
      <c r="A1972" t="s">
        <v>11555</v>
      </c>
      <c r="B1972" t="s">
        <v>11867</v>
      </c>
      <c r="C1972" s="20" t="s">
        <v>11868</v>
      </c>
      <c r="E1972" t="s">
        <v>11558</v>
      </c>
      <c r="G1972" s="17" t="s">
        <v>32</v>
      </c>
    </row>
    <row r="1973" spans="1:7" ht="201.6" x14ac:dyDescent="0.3">
      <c r="A1973" t="s">
        <v>11555</v>
      </c>
      <c r="B1973" t="s">
        <v>11869</v>
      </c>
      <c r="C1973" s="20" t="s">
        <v>11870</v>
      </c>
      <c r="E1973" t="s">
        <v>11558</v>
      </c>
      <c r="G1973" s="28" t="s">
        <v>12774</v>
      </c>
    </row>
    <row r="1974" spans="1:7" x14ac:dyDescent="0.3">
      <c r="A1974" t="s">
        <v>11555</v>
      </c>
      <c r="B1974" t="s">
        <v>5876</v>
      </c>
      <c r="C1974" s="20" t="s">
        <v>11871</v>
      </c>
      <c r="E1974" t="s">
        <v>11558</v>
      </c>
      <c r="F1974">
        <v>26</v>
      </c>
      <c r="G1974" s="17" t="s">
        <v>32</v>
      </c>
    </row>
    <row r="1975" spans="1:7" ht="115.2" x14ac:dyDescent="0.3">
      <c r="A1975" t="s">
        <v>11555</v>
      </c>
      <c r="B1975" t="s">
        <v>11872</v>
      </c>
      <c r="C1975" s="20" t="s">
        <v>11873</v>
      </c>
      <c r="E1975" t="s">
        <v>11558</v>
      </c>
      <c r="G1975" s="28" t="s">
        <v>12775</v>
      </c>
    </row>
    <row r="1976" spans="1:7" ht="57.6" x14ac:dyDescent="0.3">
      <c r="A1976" t="s">
        <v>11555</v>
      </c>
      <c r="B1976" t="s">
        <v>11874</v>
      </c>
      <c r="C1976" s="20" t="s">
        <v>11875</v>
      </c>
      <c r="E1976" t="s">
        <v>12386</v>
      </c>
      <c r="G1976" s="17" t="s">
        <v>32</v>
      </c>
    </row>
    <row r="1977" spans="1:7" ht="201.6" x14ac:dyDescent="0.3">
      <c r="A1977" t="s">
        <v>11555</v>
      </c>
      <c r="B1977" t="s">
        <v>11876</v>
      </c>
      <c r="C1977" s="20" t="s">
        <v>11877</v>
      </c>
      <c r="E1977" t="s">
        <v>11558</v>
      </c>
      <c r="G1977" s="28" t="s">
        <v>12776</v>
      </c>
    </row>
    <row r="1978" spans="1:7" ht="43.2" x14ac:dyDescent="0.3">
      <c r="A1978" t="s">
        <v>11555</v>
      </c>
      <c r="B1978" t="s">
        <v>11878</v>
      </c>
      <c r="C1978" s="20" t="s">
        <v>11879</v>
      </c>
      <c r="E1978" t="s">
        <v>11558</v>
      </c>
      <c r="F1978">
        <v>20</v>
      </c>
      <c r="G1978" s="17" t="s">
        <v>32</v>
      </c>
    </row>
    <row r="1979" spans="1:7" ht="129.6" x14ac:dyDescent="0.3">
      <c r="A1979" t="s">
        <v>11555</v>
      </c>
      <c r="B1979" t="s">
        <v>11880</v>
      </c>
      <c r="C1979" s="20" t="s">
        <v>11881</v>
      </c>
      <c r="E1979" t="s">
        <v>11558</v>
      </c>
      <c r="G1979" s="28" t="s">
        <v>12777</v>
      </c>
    </row>
    <row r="1980" spans="1:7" ht="28.8" x14ac:dyDescent="0.3">
      <c r="A1980" t="s">
        <v>11555</v>
      </c>
      <c r="B1980" t="s">
        <v>11882</v>
      </c>
      <c r="C1980" s="20" t="s">
        <v>11883</v>
      </c>
      <c r="E1980" t="s">
        <v>11558</v>
      </c>
      <c r="F1980">
        <v>30</v>
      </c>
      <c r="G1980" s="17" t="s">
        <v>32</v>
      </c>
    </row>
    <row r="1981" spans="1:7" ht="28.8" x14ac:dyDescent="0.3">
      <c r="A1981" t="s">
        <v>11555</v>
      </c>
      <c r="B1981" t="s">
        <v>11884</v>
      </c>
      <c r="C1981" s="20" t="s">
        <v>11885</v>
      </c>
      <c r="E1981" t="s">
        <v>12386</v>
      </c>
      <c r="G1981" s="17" t="s">
        <v>32</v>
      </c>
    </row>
    <row r="1982" spans="1:7" ht="409.6" x14ac:dyDescent="0.3">
      <c r="A1982" t="s">
        <v>11555</v>
      </c>
      <c r="B1982" t="s">
        <v>11886</v>
      </c>
      <c r="C1982" s="20" t="s">
        <v>11887</v>
      </c>
      <c r="E1982" t="s">
        <v>11558</v>
      </c>
      <c r="G1982" s="28" t="s">
        <v>12757</v>
      </c>
    </row>
    <row r="1983" spans="1:7" ht="57.6" x14ac:dyDescent="0.3">
      <c r="A1983" t="s">
        <v>11555</v>
      </c>
      <c r="B1983" t="s">
        <v>11888</v>
      </c>
      <c r="C1983" s="20" t="s">
        <v>11889</v>
      </c>
      <c r="E1983" t="s">
        <v>11558</v>
      </c>
      <c r="F1983">
        <v>8</v>
      </c>
      <c r="G1983" s="17" t="s">
        <v>32</v>
      </c>
    </row>
    <row r="1984" spans="1:7" ht="57.6" x14ac:dyDescent="0.3">
      <c r="A1984" t="s">
        <v>11555</v>
      </c>
      <c r="B1984" t="s">
        <v>11888</v>
      </c>
      <c r="C1984" s="20" t="s">
        <v>11889</v>
      </c>
      <c r="E1984" t="s">
        <v>11558</v>
      </c>
      <c r="F1984">
        <v>8</v>
      </c>
      <c r="G1984" s="17" t="s">
        <v>32</v>
      </c>
    </row>
    <row r="1985" spans="1:7" ht="43.2" x14ac:dyDescent="0.3">
      <c r="A1985" t="s">
        <v>11555</v>
      </c>
      <c r="B1985" t="s">
        <v>11890</v>
      </c>
      <c r="C1985" s="20" t="s">
        <v>11891</v>
      </c>
      <c r="E1985" t="s">
        <v>11558</v>
      </c>
      <c r="F1985">
        <v>8</v>
      </c>
      <c r="G1985" s="17" t="s">
        <v>32</v>
      </c>
    </row>
    <row r="1986" spans="1:7" ht="28.8" x14ac:dyDescent="0.3">
      <c r="A1986" t="s">
        <v>11555</v>
      </c>
      <c r="B1986" t="s">
        <v>11892</v>
      </c>
      <c r="C1986" s="20" t="s">
        <v>11893</v>
      </c>
      <c r="E1986" t="s">
        <v>11558</v>
      </c>
      <c r="F1986">
        <v>30</v>
      </c>
      <c r="G1986" s="17" t="s">
        <v>32</v>
      </c>
    </row>
    <row r="1987" spans="1:7" ht="28.8" x14ac:dyDescent="0.3">
      <c r="A1987" t="s">
        <v>11555</v>
      </c>
      <c r="B1987" t="s">
        <v>11894</v>
      </c>
      <c r="C1987" s="20" t="s">
        <v>11895</v>
      </c>
      <c r="E1987" t="s">
        <v>11558</v>
      </c>
      <c r="F1987">
        <v>30</v>
      </c>
      <c r="G1987" s="17" t="s">
        <v>32</v>
      </c>
    </row>
    <row r="1988" spans="1:7" ht="28.8" x14ac:dyDescent="0.3">
      <c r="A1988" t="s">
        <v>11555</v>
      </c>
      <c r="B1988" t="s">
        <v>11896</v>
      </c>
      <c r="C1988" s="20" t="s">
        <v>11897</v>
      </c>
      <c r="E1988" t="s">
        <v>11558</v>
      </c>
      <c r="F1988">
        <v>30</v>
      </c>
      <c r="G1988" s="17" t="s">
        <v>32</v>
      </c>
    </row>
    <row r="1989" spans="1:7" ht="409.6" x14ac:dyDescent="0.3">
      <c r="A1989" t="s">
        <v>11555</v>
      </c>
      <c r="B1989" t="s">
        <v>11898</v>
      </c>
      <c r="C1989" s="20" t="s">
        <v>11899</v>
      </c>
      <c r="E1989" t="s">
        <v>11558</v>
      </c>
      <c r="G1989" s="28" t="s">
        <v>12757</v>
      </c>
    </row>
    <row r="1990" spans="1:7" ht="316.8" x14ac:dyDescent="0.3">
      <c r="A1990" t="s">
        <v>11555</v>
      </c>
      <c r="B1990" t="s">
        <v>11900</v>
      </c>
      <c r="C1990" s="20" t="s">
        <v>11901</v>
      </c>
      <c r="E1990" t="s">
        <v>11558</v>
      </c>
      <c r="G1990" s="28" t="s">
        <v>12778</v>
      </c>
    </row>
    <row r="1991" spans="1:7" ht="115.2" x14ac:dyDescent="0.3">
      <c r="A1991" t="s">
        <v>11555</v>
      </c>
      <c r="B1991" t="s">
        <v>11902</v>
      </c>
      <c r="C1991" s="20" t="s">
        <v>11903</v>
      </c>
      <c r="E1991" t="s">
        <v>11558</v>
      </c>
      <c r="G1991" s="28" t="s">
        <v>12779</v>
      </c>
    </row>
    <row r="1992" spans="1:7" ht="43.2" x14ac:dyDescent="0.3">
      <c r="A1992" t="s">
        <v>11555</v>
      </c>
      <c r="B1992" t="s">
        <v>11904</v>
      </c>
      <c r="C1992" s="20" t="s">
        <v>11905</v>
      </c>
      <c r="E1992" t="s">
        <v>11558</v>
      </c>
      <c r="F1992">
        <v>15</v>
      </c>
      <c r="G1992" s="17" t="s">
        <v>32</v>
      </c>
    </row>
    <row r="1993" spans="1:7" ht="57.6" x14ac:dyDescent="0.3">
      <c r="A1993" t="s">
        <v>11555</v>
      </c>
      <c r="B1993" t="s">
        <v>11906</v>
      </c>
      <c r="C1993" s="20" t="s">
        <v>11907</v>
      </c>
      <c r="E1993" t="s">
        <v>11558</v>
      </c>
      <c r="G1993" s="28" t="s">
        <v>12780</v>
      </c>
    </row>
    <row r="1994" spans="1:7" ht="28.8" x14ac:dyDescent="0.3">
      <c r="A1994" t="s">
        <v>11555</v>
      </c>
      <c r="B1994" t="s">
        <v>11908</v>
      </c>
      <c r="C1994" s="20" t="s">
        <v>11606</v>
      </c>
      <c r="E1994" t="s">
        <v>11558</v>
      </c>
      <c r="G1994" s="17" t="s">
        <v>32</v>
      </c>
    </row>
    <row r="1995" spans="1:7" ht="28.8" x14ac:dyDescent="0.3">
      <c r="A1995" t="s">
        <v>11555</v>
      </c>
      <c r="B1995" t="s">
        <v>11909</v>
      </c>
      <c r="C1995" s="20" t="s">
        <v>11910</v>
      </c>
      <c r="E1995" t="s">
        <v>11558</v>
      </c>
      <c r="F1995">
        <v>30</v>
      </c>
      <c r="G1995" s="17" t="s">
        <v>32</v>
      </c>
    </row>
    <row r="1996" spans="1:7" x14ac:dyDescent="0.3">
      <c r="A1996" t="s">
        <v>11555</v>
      </c>
      <c r="B1996" t="s">
        <v>11911</v>
      </c>
      <c r="C1996" s="20" t="s">
        <v>11912</v>
      </c>
      <c r="E1996" t="s">
        <v>11558</v>
      </c>
      <c r="F1996">
        <v>3</v>
      </c>
      <c r="G1996" s="17" t="s">
        <v>32</v>
      </c>
    </row>
    <row r="1997" spans="1:7" x14ac:dyDescent="0.3">
      <c r="A1997" t="s">
        <v>11555</v>
      </c>
      <c r="B1997" t="s">
        <v>11913</v>
      </c>
      <c r="C1997" s="20" t="s">
        <v>11914</v>
      </c>
      <c r="E1997" t="s">
        <v>11558</v>
      </c>
      <c r="F1997">
        <v>60</v>
      </c>
      <c r="G1997" s="17" t="s">
        <v>32</v>
      </c>
    </row>
    <row r="1998" spans="1:7" x14ac:dyDescent="0.3">
      <c r="A1998" t="s">
        <v>11555</v>
      </c>
      <c r="B1998" t="s">
        <v>11915</v>
      </c>
      <c r="C1998" s="20" t="s">
        <v>11916</v>
      </c>
      <c r="E1998" t="s">
        <v>11558</v>
      </c>
      <c r="F1998">
        <v>60</v>
      </c>
      <c r="G1998" s="17" t="s">
        <v>32</v>
      </c>
    </row>
    <row r="1999" spans="1:7" ht="43.2" x14ac:dyDescent="0.3">
      <c r="A1999" t="s">
        <v>11555</v>
      </c>
      <c r="B1999" t="s">
        <v>11917</v>
      </c>
      <c r="C1999" s="20" t="s">
        <v>11918</v>
      </c>
      <c r="E1999" t="s">
        <v>11558</v>
      </c>
      <c r="F1999">
        <v>26</v>
      </c>
      <c r="G1999" s="17" t="s">
        <v>32</v>
      </c>
    </row>
    <row r="2000" spans="1:7" ht="409.6" x14ac:dyDescent="0.3">
      <c r="A2000" t="s">
        <v>11555</v>
      </c>
      <c r="B2000" t="s">
        <v>11919</v>
      </c>
      <c r="C2000" s="20" t="s">
        <v>11920</v>
      </c>
      <c r="E2000" t="s">
        <v>11558</v>
      </c>
      <c r="G2000" s="28" t="s">
        <v>12781</v>
      </c>
    </row>
    <row r="2001" spans="1:7" ht="43.2" x14ac:dyDescent="0.3">
      <c r="A2001" t="s">
        <v>11555</v>
      </c>
      <c r="B2001" t="s">
        <v>11921</v>
      </c>
      <c r="C2001" s="20" t="s">
        <v>11922</v>
      </c>
      <c r="E2001" t="s">
        <v>12386</v>
      </c>
      <c r="G2001" s="17" t="s">
        <v>32</v>
      </c>
    </row>
    <row r="2002" spans="1:7" ht="144" x14ac:dyDescent="0.3">
      <c r="A2002" t="s">
        <v>11555</v>
      </c>
      <c r="B2002" t="s">
        <v>11923</v>
      </c>
      <c r="C2002" s="20" t="s">
        <v>11924</v>
      </c>
      <c r="E2002" t="s">
        <v>11558</v>
      </c>
      <c r="G2002" s="28" t="s">
        <v>12782</v>
      </c>
    </row>
    <row r="2003" spans="1:7" ht="86.4" x14ac:dyDescent="0.3">
      <c r="A2003" t="s">
        <v>11555</v>
      </c>
      <c r="B2003" t="s">
        <v>11925</v>
      </c>
      <c r="C2003" s="20" t="s">
        <v>11926</v>
      </c>
      <c r="E2003" t="s">
        <v>11558</v>
      </c>
      <c r="G2003" s="28" t="s">
        <v>12783</v>
      </c>
    </row>
    <row r="2004" spans="1:7" ht="43.2" x14ac:dyDescent="0.3">
      <c r="A2004" t="s">
        <v>11555</v>
      </c>
      <c r="B2004" t="s">
        <v>11927</v>
      </c>
      <c r="C2004" s="20" t="s">
        <v>11928</v>
      </c>
      <c r="E2004" t="s">
        <v>12390</v>
      </c>
      <c r="G2004" s="17" t="s">
        <v>32</v>
      </c>
    </row>
    <row r="2005" spans="1:7" ht="43.2" x14ac:dyDescent="0.3">
      <c r="A2005" t="s">
        <v>11555</v>
      </c>
      <c r="B2005" t="s">
        <v>11929</v>
      </c>
      <c r="C2005" s="20" t="s">
        <v>11930</v>
      </c>
      <c r="E2005" t="s">
        <v>12390</v>
      </c>
      <c r="G2005" s="17" t="s">
        <v>32</v>
      </c>
    </row>
    <row r="2006" spans="1:7" ht="28.8" x14ac:dyDescent="0.3">
      <c r="A2006" t="s">
        <v>11555</v>
      </c>
      <c r="B2006" t="s">
        <v>11931</v>
      </c>
      <c r="C2006" s="20" t="s">
        <v>11932</v>
      </c>
      <c r="E2006" t="s">
        <v>11558</v>
      </c>
      <c r="F2006">
        <v>60</v>
      </c>
      <c r="G2006" s="17" t="s">
        <v>32</v>
      </c>
    </row>
    <row r="2007" spans="1:7" ht="129.6" x14ac:dyDescent="0.3">
      <c r="A2007" t="s">
        <v>11555</v>
      </c>
      <c r="B2007" t="s">
        <v>11933</v>
      </c>
      <c r="C2007" s="20" t="s">
        <v>11934</v>
      </c>
      <c r="E2007" t="s">
        <v>11558</v>
      </c>
      <c r="G2007" s="28" t="s">
        <v>12784</v>
      </c>
    </row>
    <row r="2008" spans="1:7" ht="43.2" x14ac:dyDescent="0.3">
      <c r="A2008" t="s">
        <v>11555</v>
      </c>
      <c r="B2008" t="s">
        <v>11935</v>
      </c>
      <c r="C2008" s="20" t="s">
        <v>11936</v>
      </c>
      <c r="E2008" t="s">
        <v>11558</v>
      </c>
      <c r="G2008" s="17" t="s">
        <v>32</v>
      </c>
    </row>
    <row r="2009" spans="1:7" ht="57.6" x14ac:dyDescent="0.3">
      <c r="A2009" t="s">
        <v>11555</v>
      </c>
      <c r="B2009" t="s">
        <v>11937</v>
      </c>
      <c r="C2009" s="20" t="s">
        <v>11938</v>
      </c>
      <c r="E2009" t="s">
        <v>11558</v>
      </c>
      <c r="G2009" s="17" t="s">
        <v>32</v>
      </c>
    </row>
    <row r="2010" spans="1:7" ht="28.8" x14ac:dyDescent="0.3">
      <c r="A2010" t="s">
        <v>11555</v>
      </c>
      <c r="B2010" t="s">
        <v>11939</v>
      </c>
      <c r="C2010" s="20" t="s">
        <v>11940</v>
      </c>
      <c r="E2010" t="s">
        <v>11558</v>
      </c>
      <c r="G2010" s="17" t="s">
        <v>32</v>
      </c>
    </row>
    <row r="2011" spans="1:7" ht="115.2" x14ac:dyDescent="0.3">
      <c r="A2011" t="s">
        <v>11555</v>
      </c>
      <c r="B2011" t="s">
        <v>11941</v>
      </c>
      <c r="C2011" s="20" t="s">
        <v>11942</v>
      </c>
      <c r="E2011" t="s">
        <v>11558</v>
      </c>
      <c r="G2011" s="28" t="s">
        <v>12785</v>
      </c>
    </row>
    <row r="2012" spans="1:7" ht="57.6" x14ac:dyDescent="0.3">
      <c r="A2012" t="s">
        <v>11555</v>
      </c>
      <c r="B2012" t="s">
        <v>11943</v>
      </c>
      <c r="C2012" s="20" t="s">
        <v>11944</v>
      </c>
      <c r="E2012" t="s">
        <v>11558</v>
      </c>
      <c r="G2012" s="28" t="s">
        <v>12716</v>
      </c>
    </row>
    <row r="2013" spans="1:7" ht="28.8" x14ac:dyDescent="0.3">
      <c r="A2013" t="s">
        <v>11555</v>
      </c>
      <c r="B2013" t="s">
        <v>11945</v>
      </c>
      <c r="C2013" s="20" t="s">
        <v>11946</v>
      </c>
      <c r="E2013" t="s">
        <v>11558</v>
      </c>
      <c r="G2013" s="17" t="s">
        <v>32</v>
      </c>
    </row>
    <row r="2014" spans="1:7" ht="201.6" x14ac:dyDescent="0.3">
      <c r="A2014" t="s">
        <v>11555</v>
      </c>
      <c r="B2014" t="s">
        <v>11947</v>
      </c>
      <c r="C2014" s="20" t="s">
        <v>11948</v>
      </c>
      <c r="E2014" t="s">
        <v>11558</v>
      </c>
      <c r="G2014" s="28" t="s">
        <v>12786</v>
      </c>
    </row>
    <row r="2015" spans="1:7" ht="28.8" x14ac:dyDescent="0.3">
      <c r="A2015" t="s">
        <v>11555</v>
      </c>
      <c r="B2015" t="s">
        <v>11949</v>
      </c>
      <c r="C2015" s="20" t="s">
        <v>11950</v>
      </c>
      <c r="E2015" t="s">
        <v>11558</v>
      </c>
      <c r="F2015">
        <v>60</v>
      </c>
      <c r="G2015" s="17" t="s">
        <v>32</v>
      </c>
    </row>
    <row r="2016" spans="1:7" ht="28.8" x14ac:dyDescent="0.3">
      <c r="A2016" t="s">
        <v>11555</v>
      </c>
      <c r="B2016" t="s">
        <v>11951</v>
      </c>
      <c r="C2016" s="20" t="s">
        <v>11952</v>
      </c>
      <c r="E2016" t="s">
        <v>12389</v>
      </c>
      <c r="G2016" s="17" t="s">
        <v>32</v>
      </c>
    </row>
    <row r="2017" spans="1:7" ht="43.2" x14ac:dyDescent="0.3">
      <c r="A2017" t="s">
        <v>11555</v>
      </c>
      <c r="B2017" t="s">
        <v>11953</v>
      </c>
      <c r="C2017" s="20" t="s">
        <v>11954</v>
      </c>
      <c r="E2017" t="s">
        <v>11558</v>
      </c>
      <c r="F2017">
        <v>20</v>
      </c>
      <c r="G2017" s="17" t="s">
        <v>32</v>
      </c>
    </row>
    <row r="2018" spans="1:7" ht="72" x14ac:dyDescent="0.3">
      <c r="A2018" t="s">
        <v>11555</v>
      </c>
      <c r="B2018" t="s">
        <v>11955</v>
      </c>
      <c r="C2018" s="20" t="s">
        <v>11956</v>
      </c>
      <c r="E2018" t="s">
        <v>11558</v>
      </c>
      <c r="G2018" s="17" t="s">
        <v>32</v>
      </c>
    </row>
    <row r="2019" spans="1:7" ht="316.8" x14ac:dyDescent="0.3">
      <c r="A2019" t="s">
        <v>11555</v>
      </c>
      <c r="B2019" t="s">
        <v>11957</v>
      </c>
      <c r="C2019" s="20" t="s">
        <v>11958</v>
      </c>
      <c r="E2019" t="s">
        <v>11558</v>
      </c>
      <c r="G2019" s="28" t="s">
        <v>12787</v>
      </c>
    </row>
    <row r="2020" spans="1:7" ht="115.2" x14ac:dyDescent="0.3">
      <c r="A2020" t="s">
        <v>11555</v>
      </c>
      <c r="B2020" t="s">
        <v>11959</v>
      </c>
      <c r="C2020" s="20" t="s">
        <v>11960</v>
      </c>
      <c r="E2020" t="s">
        <v>11558</v>
      </c>
      <c r="G2020" s="28" t="s">
        <v>12788</v>
      </c>
    </row>
    <row r="2021" spans="1:7" ht="28.8" x14ac:dyDescent="0.3">
      <c r="A2021" t="s">
        <v>11555</v>
      </c>
      <c r="B2021" t="s">
        <v>11961</v>
      </c>
      <c r="C2021" s="20" t="s">
        <v>11962</v>
      </c>
      <c r="E2021" t="s">
        <v>11558</v>
      </c>
      <c r="F2021">
        <v>80</v>
      </c>
      <c r="G2021" s="17" t="s">
        <v>32</v>
      </c>
    </row>
    <row r="2022" spans="1:7" ht="57.6" x14ac:dyDescent="0.3">
      <c r="A2022" t="s">
        <v>11555</v>
      </c>
      <c r="B2022" t="s">
        <v>11963</v>
      </c>
      <c r="C2022" s="20" t="s">
        <v>11964</v>
      </c>
      <c r="E2022" t="s">
        <v>11558</v>
      </c>
      <c r="G2022" s="28" t="s">
        <v>12789</v>
      </c>
    </row>
    <row r="2023" spans="1:7" ht="28.8" x14ac:dyDescent="0.3">
      <c r="A2023" t="s">
        <v>11555</v>
      </c>
      <c r="B2023" t="s">
        <v>11965</v>
      </c>
      <c r="C2023" s="20" t="s">
        <v>11966</v>
      </c>
      <c r="E2023" t="s">
        <v>11558</v>
      </c>
      <c r="F2023">
        <v>40</v>
      </c>
      <c r="G2023" s="17" t="s">
        <v>32</v>
      </c>
    </row>
    <row r="2024" spans="1:7" ht="43.2" x14ac:dyDescent="0.3">
      <c r="A2024" t="s">
        <v>11555</v>
      </c>
      <c r="B2024" t="s">
        <v>11967</v>
      </c>
      <c r="C2024" s="20" t="s">
        <v>11968</v>
      </c>
      <c r="E2024" t="s">
        <v>11558</v>
      </c>
      <c r="F2024">
        <v>50</v>
      </c>
      <c r="G2024" s="17" t="s">
        <v>32</v>
      </c>
    </row>
    <row r="2025" spans="1:7" ht="28.8" x14ac:dyDescent="0.3">
      <c r="A2025" t="s">
        <v>11555</v>
      </c>
      <c r="B2025" t="s">
        <v>11969</v>
      </c>
      <c r="C2025" s="20" t="s">
        <v>11970</v>
      </c>
      <c r="E2025" t="s">
        <v>12386</v>
      </c>
      <c r="G2025" s="17" t="s">
        <v>32</v>
      </c>
    </row>
    <row r="2026" spans="1:7" ht="409.6" x14ac:dyDescent="0.3">
      <c r="A2026" t="s">
        <v>11555</v>
      </c>
      <c r="B2026" t="s">
        <v>11971</v>
      </c>
      <c r="C2026" s="20" t="s">
        <v>11972</v>
      </c>
      <c r="E2026" t="s">
        <v>11558</v>
      </c>
      <c r="F2026">
        <v>3</v>
      </c>
      <c r="G2026" s="28" t="s">
        <v>12790</v>
      </c>
    </row>
    <row r="2027" spans="1:7" ht="57.6" x14ac:dyDescent="0.3">
      <c r="A2027" t="s">
        <v>11555</v>
      </c>
      <c r="B2027" t="s">
        <v>11973</v>
      </c>
      <c r="C2027" s="20" t="s">
        <v>11974</v>
      </c>
      <c r="E2027" t="s">
        <v>11558</v>
      </c>
      <c r="G2027" s="28" t="s">
        <v>12791</v>
      </c>
    </row>
    <row r="2028" spans="1:7" ht="28.8" x14ac:dyDescent="0.3">
      <c r="A2028" t="s">
        <v>11555</v>
      </c>
      <c r="B2028" t="s">
        <v>11975</v>
      </c>
      <c r="C2028" s="20" t="s">
        <v>11976</v>
      </c>
      <c r="E2028" t="s">
        <v>11558</v>
      </c>
      <c r="F2028">
        <v>40</v>
      </c>
      <c r="G2028" s="17" t="s">
        <v>32</v>
      </c>
    </row>
    <row r="2029" spans="1:7" ht="28.8" x14ac:dyDescent="0.3">
      <c r="A2029" t="s">
        <v>11555</v>
      </c>
      <c r="B2029" t="s">
        <v>11977</v>
      </c>
      <c r="C2029" s="20" t="s">
        <v>11978</v>
      </c>
      <c r="E2029" t="s">
        <v>11558</v>
      </c>
      <c r="F2029">
        <v>40</v>
      </c>
      <c r="G2029" s="17" t="s">
        <v>32</v>
      </c>
    </row>
    <row r="2030" spans="1:7" ht="28.8" x14ac:dyDescent="0.3">
      <c r="A2030" t="s">
        <v>11555</v>
      </c>
      <c r="B2030" t="s">
        <v>11979</v>
      </c>
      <c r="C2030" s="20" t="s">
        <v>11980</v>
      </c>
      <c r="E2030" t="s">
        <v>11571</v>
      </c>
      <c r="G2030" s="17" t="s">
        <v>32</v>
      </c>
    </row>
    <row r="2031" spans="1:7" ht="28.8" x14ac:dyDescent="0.3">
      <c r="A2031" t="s">
        <v>11555</v>
      </c>
      <c r="B2031" t="s">
        <v>11981</v>
      </c>
      <c r="C2031" s="20" t="s">
        <v>11982</v>
      </c>
      <c r="E2031" t="s">
        <v>11571</v>
      </c>
      <c r="G2031" s="17" t="s">
        <v>32</v>
      </c>
    </row>
    <row r="2032" spans="1:7" ht="28.8" x14ac:dyDescent="0.3">
      <c r="A2032" t="s">
        <v>11555</v>
      </c>
      <c r="B2032" t="s">
        <v>11983</v>
      </c>
      <c r="C2032" s="20" t="s">
        <v>11984</v>
      </c>
      <c r="E2032" t="s">
        <v>11571</v>
      </c>
      <c r="G2032" s="17" t="s">
        <v>32</v>
      </c>
    </row>
    <row r="2033" spans="1:7" x14ac:dyDescent="0.3">
      <c r="A2033" t="s">
        <v>11985</v>
      </c>
      <c r="B2033" t="s">
        <v>11986</v>
      </c>
      <c r="C2033" s="20" t="s">
        <v>12391</v>
      </c>
      <c r="E2033" t="s">
        <v>11988</v>
      </c>
      <c r="G2033" s="17" t="s">
        <v>32</v>
      </c>
    </row>
    <row r="2034" spans="1:7" x14ac:dyDescent="0.3">
      <c r="A2034" t="s">
        <v>11985</v>
      </c>
      <c r="B2034" t="s">
        <v>11989</v>
      </c>
      <c r="E2034" t="s">
        <v>11990</v>
      </c>
      <c r="G2034" s="17" t="s">
        <v>32</v>
      </c>
    </row>
    <row r="2035" spans="1:7" x14ac:dyDescent="0.3">
      <c r="A2035" t="s">
        <v>11985</v>
      </c>
      <c r="B2035" t="s">
        <v>11991</v>
      </c>
      <c r="E2035" t="s">
        <v>11992</v>
      </c>
      <c r="G2035" s="17" t="s">
        <v>32</v>
      </c>
    </row>
    <row r="2036" spans="1:7" x14ac:dyDescent="0.3">
      <c r="A2036" t="s">
        <v>11985</v>
      </c>
      <c r="B2036" t="s">
        <v>11993</v>
      </c>
      <c r="C2036" s="20" t="s">
        <v>11987</v>
      </c>
      <c r="E2036" t="s">
        <v>11988</v>
      </c>
      <c r="G2036" s="17" t="s">
        <v>32</v>
      </c>
    </row>
    <row r="2037" spans="1:7" x14ac:dyDescent="0.3">
      <c r="A2037" t="s">
        <v>11985</v>
      </c>
      <c r="B2037" t="s">
        <v>11994</v>
      </c>
      <c r="C2037" s="20" t="s">
        <v>11995</v>
      </c>
      <c r="E2037" t="s">
        <v>11996</v>
      </c>
      <c r="G2037" s="17" t="s">
        <v>32</v>
      </c>
    </row>
    <row r="2038" spans="1:7" ht="100.8" x14ac:dyDescent="0.3">
      <c r="A2038" t="s">
        <v>11985</v>
      </c>
      <c r="B2038" t="s">
        <v>11997</v>
      </c>
      <c r="C2038" s="20" t="s">
        <v>11998</v>
      </c>
      <c r="E2038" t="s">
        <v>11996</v>
      </c>
      <c r="G2038" s="17" t="s">
        <v>32</v>
      </c>
    </row>
    <row r="2039" spans="1:7" ht="28.8" x14ac:dyDescent="0.3">
      <c r="A2039" t="s">
        <v>11985</v>
      </c>
      <c r="B2039" t="s">
        <v>11999</v>
      </c>
      <c r="C2039" s="20" t="s">
        <v>12000</v>
      </c>
      <c r="E2039" t="s">
        <v>11996</v>
      </c>
      <c r="G2039" s="17" t="s">
        <v>32</v>
      </c>
    </row>
    <row r="2040" spans="1:7" ht="57.6" x14ac:dyDescent="0.3">
      <c r="A2040" t="s">
        <v>11985</v>
      </c>
      <c r="B2040" t="s">
        <v>12001</v>
      </c>
      <c r="C2040" s="20" t="s">
        <v>12002</v>
      </c>
      <c r="E2040" t="s">
        <v>12003</v>
      </c>
      <c r="G2040" s="17" t="s">
        <v>32</v>
      </c>
    </row>
    <row r="2041" spans="1:7" ht="72" x14ac:dyDescent="0.3">
      <c r="A2041" t="s">
        <v>11985</v>
      </c>
      <c r="B2041" t="s">
        <v>12004</v>
      </c>
      <c r="C2041" s="20" t="s">
        <v>12005</v>
      </c>
      <c r="E2041" t="s">
        <v>12006</v>
      </c>
      <c r="G2041" s="17" t="s">
        <v>32</v>
      </c>
    </row>
    <row r="2042" spans="1:7" ht="86.4" x14ac:dyDescent="0.3">
      <c r="A2042" t="s">
        <v>11985</v>
      </c>
      <c r="B2042" t="s">
        <v>12007</v>
      </c>
      <c r="C2042" s="20" t="s">
        <v>12008</v>
      </c>
      <c r="E2042" t="s">
        <v>11996</v>
      </c>
      <c r="G2042" s="17" t="s">
        <v>32</v>
      </c>
    </row>
    <row r="2043" spans="1:7" ht="57.6" x14ac:dyDescent="0.3">
      <c r="A2043" t="s">
        <v>11985</v>
      </c>
      <c r="B2043" t="s">
        <v>12392</v>
      </c>
      <c r="C2043" s="20" t="s">
        <v>12009</v>
      </c>
      <c r="E2043" t="s">
        <v>11988</v>
      </c>
      <c r="G2043" s="17" t="s">
        <v>32</v>
      </c>
    </row>
    <row r="2044" spans="1:7" ht="57.6" x14ac:dyDescent="0.3">
      <c r="A2044" t="s">
        <v>11985</v>
      </c>
      <c r="B2044" t="s">
        <v>12010</v>
      </c>
      <c r="C2044" s="20" t="s">
        <v>12011</v>
      </c>
      <c r="E2044" t="s">
        <v>11996</v>
      </c>
      <c r="G2044" s="17" t="s">
        <v>32</v>
      </c>
    </row>
    <row r="2045" spans="1:7" ht="28.8" x14ac:dyDescent="0.3">
      <c r="A2045" t="s">
        <v>11985</v>
      </c>
      <c r="B2045" t="s">
        <v>12012</v>
      </c>
      <c r="C2045" s="20" t="s">
        <v>12013</v>
      </c>
      <c r="E2045" t="s">
        <v>12014</v>
      </c>
      <c r="G2045" s="17" t="s">
        <v>32</v>
      </c>
    </row>
    <row r="2046" spans="1:7" x14ac:dyDescent="0.3">
      <c r="A2046" t="s">
        <v>11985</v>
      </c>
      <c r="B2046" t="s">
        <v>12015</v>
      </c>
      <c r="E2046" t="s">
        <v>12016</v>
      </c>
      <c r="G2046" s="17" t="s">
        <v>32</v>
      </c>
    </row>
    <row r="2047" spans="1:7" x14ac:dyDescent="0.3">
      <c r="A2047" t="s">
        <v>11985</v>
      </c>
      <c r="B2047" t="s">
        <v>12017</v>
      </c>
      <c r="C2047" s="20" t="s">
        <v>12018</v>
      </c>
      <c r="E2047" t="s">
        <v>12019</v>
      </c>
      <c r="G2047" s="17" t="s">
        <v>32</v>
      </c>
    </row>
    <row r="2048" spans="1:7" ht="43.2" x14ac:dyDescent="0.3">
      <c r="A2048" t="s">
        <v>11985</v>
      </c>
      <c r="B2048" t="s">
        <v>12393</v>
      </c>
      <c r="C2048" s="20" t="s">
        <v>12020</v>
      </c>
      <c r="E2048" t="s">
        <v>11996</v>
      </c>
      <c r="G2048" s="17" t="s">
        <v>32</v>
      </c>
    </row>
    <row r="2049" spans="1:7" ht="57.6" x14ac:dyDescent="0.3">
      <c r="A2049" t="s">
        <v>11985</v>
      </c>
      <c r="B2049" t="s">
        <v>12021</v>
      </c>
      <c r="C2049" s="20" t="s">
        <v>12022</v>
      </c>
      <c r="E2049" t="s">
        <v>11996</v>
      </c>
      <c r="G2049" s="17" t="s">
        <v>32</v>
      </c>
    </row>
    <row r="2050" spans="1:7" ht="28.8" x14ac:dyDescent="0.3">
      <c r="A2050" t="s">
        <v>11985</v>
      </c>
      <c r="B2050" t="s">
        <v>12023</v>
      </c>
      <c r="C2050" s="20" t="s">
        <v>12024</v>
      </c>
      <c r="E2050" t="s">
        <v>12003</v>
      </c>
      <c r="G2050" s="17" t="s">
        <v>32</v>
      </c>
    </row>
    <row r="2051" spans="1:7" ht="72" x14ac:dyDescent="0.3">
      <c r="A2051" t="s">
        <v>11985</v>
      </c>
      <c r="B2051" t="s">
        <v>12025</v>
      </c>
      <c r="C2051" s="20" t="s">
        <v>12026</v>
      </c>
      <c r="E2051" t="s">
        <v>11996</v>
      </c>
      <c r="G2051" s="17" t="s">
        <v>32</v>
      </c>
    </row>
    <row r="2052" spans="1:7" ht="72" x14ac:dyDescent="0.3">
      <c r="A2052" t="s">
        <v>11985</v>
      </c>
      <c r="B2052" t="s">
        <v>12027</v>
      </c>
      <c r="C2052" s="20" t="s">
        <v>12028</v>
      </c>
      <c r="E2052" t="s">
        <v>11996</v>
      </c>
      <c r="G2052" s="17" t="s">
        <v>32</v>
      </c>
    </row>
    <row r="2053" spans="1:7" ht="86.4" x14ac:dyDescent="0.3">
      <c r="A2053" t="s">
        <v>11985</v>
      </c>
      <c r="B2053" t="s">
        <v>12029</v>
      </c>
      <c r="C2053" s="20" t="s">
        <v>12030</v>
      </c>
      <c r="E2053" t="s">
        <v>11996</v>
      </c>
      <c r="G2053" s="17" t="s">
        <v>32</v>
      </c>
    </row>
    <row r="2054" spans="1:7" ht="100.8" x14ac:dyDescent="0.3">
      <c r="A2054" t="s">
        <v>11985</v>
      </c>
      <c r="B2054" t="s">
        <v>12031</v>
      </c>
      <c r="C2054" s="20" t="s">
        <v>12032</v>
      </c>
      <c r="E2054" t="s">
        <v>12014</v>
      </c>
      <c r="G2054" s="17" t="s">
        <v>32</v>
      </c>
    </row>
    <row r="2055" spans="1:7" ht="43.2" x14ac:dyDescent="0.3">
      <c r="A2055" t="s">
        <v>11985</v>
      </c>
      <c r="B2055" t="s">
        <v>12033</v>
      </c>
      <c r="C2055" s="20" t="s">
        <v>12034</v>
      </c>
      <c r="E2055" t="s">
        <v>12035</v>
      </c>
      <c r="G2055" s="17" t="s">
        <v>32</v>
      </c>
    </row>
    <row r="2056" spans="1:7" ht="43.2" x14ac:dyDescent="0.3">
      <c r="A2056" t="s">
        <v>11985</v>
      </c>
      <c r="B2056" t="s">
        <v>12036</v>
      </c>
      <c r="C2056" s="20" t="s">
        <v>12037</v>
      </c>
      <c r="E2056" t="s">
        <v>11996</v>
      </c>
      <c r="G2056" s="17" t="s">
        <v>32</v>
      </c>
    </row>
    <row r="2057" spans="1:7" ht="72" x14ac:dyDescent="0.3">
      <c r="A2057" t="s">
        <v>11985</v>
      </c>
      <c r="B2057" t="s">
        <v>12038</v>
      </c>
      <c r="C2057" s="20" t="s">
        <v>12039</v>
      </c>
      <c r="E2057" t="s">
        <v>11996</v>
      </c>
      <c r="G2057" s="17" t="s">
        <v>32</v>
      </c>
    </row>
    <row r="2058" spans="1:7" x14ac:dyDescent="0.3">
      <c r="A2058" t="s">
        <v>11985</v>
      </c>
      <c r="B2058" t="s">
        <v>12040</v>
      </c>
      <c r="C2058" s="20" t="s">
        <v>12041</v>
      </c>
      <c r="E2058" t="s">
        <v>12042</v>
      </c>
      <c r="G2058" s="17" t="s">
        <v>32</v>
      </c>
    </row>
    <row r="2059" spans="1:7" ht="72" x14ac:dyDescent="0.3">
      <c r="A2059" t="s">
        <v>11985</v>
      </c>
      <c r="B2059" t="s">
        <v>12043</v>
      </c>
      <c r="C2059" s="20" t="s">
        <v>12044</v>
      </c>
      <c r="E2059" t="s">
        <v>12006</v>
      </c>
      <c r="G2059" s="17" t="s">
        <v>32</v>
      </c>
    </row>
    <row r="2060" spans="1:7" ht="86.4" x14ac:dyDescent="0.3">
      <c r="A2060" t="s">
        <v>11985</v>
      </c>
      <c r="B2060" t="s">
        <v>12045</v>
      </c>
      <c r="C2060" s="20" t="s">
        <v>12046</v>
      </c>
      <c r="E2060" t="s">
        <v>11996</v>
      </c>
      <c r="G2060" s="17" t="s">
        <v>32</v>
      </c>
    </row>
    <row r="2061" spans="1:7" ht="57.6" x14ac:dyDescent="0.3">
      <c r="A2061" t="s">
        <v>11985</v>
      </c>
      <c r="B2061" t="s">
        <v>12047</v>
      </c>
      <c r="C2061" s="20" t="s">
        <v>12394</v>
      </c>
      <c r="E2061" t="s">
        <v>11996</v>
      </c>
      <c r="G2061" s="17" t="s">
        <v>32</v>
      </c>
    </row>
    <row r="2062" spans="1:7" ht="57.6" x14ac:dyDescent="0.3">
      <c r="A2062" t="s">
        <v>11985</v>
      </c>
      <c r="B2062" t="s">
        <v>12048</v>
      </c>
      <c r="C2062" s="20" t="s">
        <v>12395</v>
      </c>
      <c r="E2062" t="s">
        <v>12003</v>
      </c>
      <c r="G2062" s="17" t="s">
        <v>32</v>
      </c>
    </row>
    <row r="2063" spans="1:7" ht="57.6" x14ac:dyDescent="0.3">
      <c r="A2063" t="s">
        <v>11985</v>
      </c>
      <c r="B2063" t="s">
        <v>12049</v>
      </c>
      <c r="C2063" s="20" t="s">
        <v>12396</v>
      </c>
      <c r="E2063" t="s">
        <v>12003</v>
      </c>
      <c r="G2063" s="17" t="s">
        <v>32</v>
      </c>
    </row>
    <row r="2064" spans="1:7" ht="43.2" x14ac:dyDescent="0.3">
      <c r="A2064" t="s">
        <v>11985</v>
      </c>
      <c r="B2064" t="s">
        <v>12050</v>
      </c>
      <c r="C2064" s="20" t="s">
        <v>12051</v>
      </c>
      <c r="E2064" t="s">
        <v>11996</v>
      </c>
      <c r="G2064" s="17" t="s">
        <v>32</v>
      </c>
    </row>
    <row r="2065" spans="1:7" ht="72" x14ac:dyDescent="0.3">
      <c r="A2065" t="s">
        <v>11985</v>
      </c>
      <c r="B2065" t="s">
        <v>12052</v>
      </c>
      <c r="C2065" s="20" t="s">
        <v>12028</v>
      </c>
      <c r="E2065" t="s">
        <v>11996</v>
      </c>
      <c r="G2065" s="17" t="s">
        <v>32</v>
      </c>
    </row>
    <row r="2066" spans="1:7" ht="100.8" x14ac:dyDescent="0.3">
      <c r="A2066" t="s">
        <v>11985</v>
      </c>
      <c r="B2066" t="s">
        <v>12053</v>
      </c>
      <c r="C2066" s="20" t="s">
        <v>12054</v>
      </c>
      <c r="E2066" t="s">
        <v>12014</v>
      </c>
      <c r="G2066" s="17" t="s">
        <v>32</v>
      </c>
    </row>
    <row r="2067" spans="1:7" ht="43.2" x14ac:dyDescent="0.3">
      <c r="A2067" t="s">
        <v>11985</v>
      </c>
      <c r="B2067" t="s">
        <v>12055</v>
      </c>
      <c r="C2067" s="20" t="s">
        <v>12056</v>
      </c>
      <c r="E2067" t="s">
        <v>12016</v>
      </c>
      <c r="G2067" s="17" t="s">
        <v>32</v>
      </c>
    </row>
    <row r="2068" spans="1:7" ht="72" x14ac:dyDescent="0.3">
      <c r="A2068" t="s">
        <v>11985</v>
      </c>
      <c r="B2068" t="s">
        <v>12057</v>
      </c>
      <c r="C2068" s="20" t="s">
        <v>12058</v>
      </c>
      <c r="E2068" t="s">
        <v>12059</v>
      </c>
      <c r="G2068" s="17" t="s">
        <v>32</v>
      </c>
    </row>
    <row r="2069" spans="1:7" ht="86.4" x14ac:dyDescent="0.3">
      <c r="A2069" t="s">
        <v>11985</v>
      </c>
      <c r="B2069" t="s">
        <v>12060</v>
      </c>
      <c r="C2069" s="20" t="s">
        <v>12061</v>
      </c>
      <c r="E2069" t="s">
        <v>11996</v>
      </c>
      <c r="G2069" s="17" t="s">
        <v>32</v>
      </c>
    </row>
    <row r="2070" spans="1:7" ht="28.8" x14ac:dyDescent="0.3">
      <c r="A2070" t="s">
        <v>11985</v>
      </c>
      <c r="B2070" t="s">
        <v>12062</v>
      </c>
      <c r="C2070" s="20" t="s">
        <v>12063</v>
      </c>
      <c r="E2070" t="s">
        <v>12003</v>
      </c>
      <c r="G2070" s="17" t="s">
        <v>32</v>
      </c>
    </row>
    <row r="2071" spans="1:7" ht="43.2" x14ac:dyDescent="0.3">
      <c r="A2071" t="s">
        <v>11985</v>
      </c>
      <c r="B2071" t="s">
        <v>12064</v>
      </c>
      <c r="C2071" s="20" t="s">
        <v>12065</v>
      </c>
      <c r="E2071" t="s">
        <v>11996</v>
      </c>
      <c r="G2071" s="17" t="s">
        <v>32</v>
      </c>
    </row>
    <row r="2072" spans="1:7" ht="43.2" x14ac:dyDescent="0.3">
      <c r="A2072" t="s">
        <v>11985</v>
      </c>
      <c r="B2072" t="s">
        <v>12066</v>
      </c>
      <c r="C2072" s="20" t="s">
        <v>12067</v>
      </c>
      <c r="E2072" t="s">
        <v>12016</v>
      </c>
      <c r="G2072" s="17" t="s">
        <v>32</v>
      </c>
    </row>
    <row r="2073" spans="1:7" ht="43.2" x14ac:dyDescent="0.3">
      <c r="A2073" t="s">
        <v>11985</v>
      </c>
      <c r="B2073" t="s">
        <v>12068</v>
      </c>
      <c r="C2073" s="20" t="s">
        <v>12069</v>
      </c>
      <c r="E2073" t="s">
        <v>11996</v>
      </c>
      <c r="G2073" s="17" t="s">
        <v>32</v>
      </c>
    </row>
    <row r="2074" spans="1:7" ht="43.2" x14ac:dyDescent="0.3">
      <c r="A2074" t="s">
        <v>11985</v>
      </c>
      <c r="B2074" t="s">
        <v>12070</v>
      </c>
      <c r="C2074" s="20" t="s">
        <v>12071</v>
      </c>
      <c r="E2074" t="s">
        <v>11996</v>
      </c>
      <c r="G2074" s="17" t="s">
        <v>32</v>
      </c>
    </row>
    <row r="2075" spans="1:7" ht="57.6" x14ac:dyDescent="0.3">
      <c r="A2075" t="s">
        <v>11985</v>
      </c>
      <c r="B2075" t="s">
        <v>12072</v>
      </c>
      <c r="C2075" s="20" t="s">
        <v>12073</v>
      </c>
      <c r="E2075" t="s">
        <v>11996</v>
      </c>
      <c r="G2075" s="17" t="s">
        <v>32</v>
      </c>
    </row>
    <row r="2076" spans="1:7" x14ac:dyDescent="0.3">
      <c r="A2076" t="s">
        <v>11985</v>
      </c>
      <c r="B2076" t="s">
        <v>12074</v>
      </c>
      <c r="C2076" s="20" t="s">
        <v>12075</v>
      </c>
      <c r="E2076" t="s">
        <v>12076</v>
      </c>
      <c r="G2076" s="17" t="s">
        <v>32</v>
      </c>
    </row>
    <row r="2077" spans="1:7" ht="43.2" x14ac:dyDescent="0.3">
      <c r="A2077" t="s">
        <v>11985</v>
      </c>
      <c r="B2077" t="s">
        <v>12077</v>
      </c>
      <c r="C2077" s="20" t="s">
        <v>12078</v>
      </c>
      <c r="E2077" t="s">
        <v>12079</v>
      </c>
      <c r="G2077" s="17" t="s">
        <v>32</v>
      </c>
    </row>
    <row r="2078" spans="1:7" x14ac:dyDescent="0.3">
      <c r="A2078" t="s">
        <v>11985</v>
      </c>
      <c r="B2078" t="s">
        <v>12080</v>
      </c>
      <c r="C2078" s="20" t="s">
        <v>11987</v>
      </c>
      <c r="E2078" t="s">
        <v>11988</v>
      </c>
      <c r="G2078" s="17" t="s">
        <v>32</v>
      </c>
    </row>
    <row r="2079" spans="1:7" ht="28.8" x14ac:dyDescent="0.3">
      <c r="A2079" t="s">
        <v>11985</v>
      </c>
      <c r="B2079" t="s">
        <v>12081</v>
      </c>
      <c r="C2079" s="20" t="s">
        <v>12082</v>
      </c>
      <c r="E2079" t="s">
        <v>11996</v>
      </c>
      <c r="G2079" s="17" t="s">
        <v>32</v>
      </c>
    </row>
    <row r="2080" spans="1:7" x14ac:dyDescent="0.3">
      <c r="A2080" t="s">
        <v>11985</v>
      </c>
      <c r="B2080" t="s">
        <v>12083</v>
      </c>
      <c r="C2080" s="20" t="s">
        <v>12084</v>
      </c>
      <c r="E2080" t="s">
        <v>12016</v>
      </c>
      <c r="G2080" s="17" t="s">
        <v>32</v>
      </c>
    </row>
    <row r="2081" spans="1:7" ht="43.2" x14ac:dyDescent="0.3">
      <c r="A2081" t="s">
        <v>11985</v>
      </c>
      <c r="B2081" t="s">
        <v>12085</v>
      </c>
      <c r="C2081" s="20" t="s">
        <v>12086</v>
      </c>
      <c r="E2081" t="s">
        <v>11996</v>
      </c>
      <c r="G2081" s="17" t="s">
        <v>32</v>
      </c>
    </row>
    <row r="2082" spans="1:7" ht="43.2" x14ac:dyDescent="0.3">
      <c r="A2082" t="s">
        <v>11985</v>
      </c>
      <c r="B2082" t="s">
        <v>12087</v>
      </c>
      <c r="C2082" s="20" t="s">
        <v>12088</v>
      </c>
      <c r="E2082" t="s">
        <v>12016</v>
      </c>
      <c r="G2082" s="17" t="s">
        <v>32</v>
      </c>
    </row>
    <row r="2083" spans="1:7" ht="28.8" x14ac:dyDescent="0.3">
      <c r="A2083" t="s">
        <v>11985</v>
      </c>
      <c r="B2083" t="s">
        <v>12089</v>
      </c>
      <c r="C2083" s="20" t="s">
        <v>12090</v>
      </c>
      <c r="E2083" t="s">
        <v>12016</v>
      </c>
      <c r="G2083" s="17" t="s">
        <v>32</v>
      </c>
    </row>
    <row r="2084" spans="1:7" ht="28.8" x14ac:dyDescent="0.3">
      <c r="A2084" t="s">
        <v>11985</v>
      </c>
      <c r="B2084" t="s">
        <v>12091</v>
      </c>
      <c r="C2084" s="20" t="s">
        <v>12092</v>
      </c>
      <c r="E2084" t="s">
        <v>12006</v>
      </c>
      <c r="G2084" s="17" t="s">
        <v>32</v>
      </c>
    </row>
    <row r="2085" spans="1:7" ht="43.2" x14ac:dyDescent="0.3">
      <c r="A2085" t="s">
        <v>11985</v>
      </c>
      <c r="B2085" t="s">
        <v>12093</v>
      </c>
      <c r="C2085" s="20" t="s">
        <v>12094</v>
      </c>
      <c r="E2085" t="s">
        <v>12016</v>
      </c>
      <c r="G2085" s="17" t="s">
        <v>32</v>
      </c>
    </row>
    <row r="2086" spans="1:7" ht="43.2" x14ac:dyDescent="0.3">
      <c r="A2086" t="s">
        <v>11985</v>
      </c>
      <c r="B2086" t="s">
        <v>12095</v>
      </c>
      <c r="C2086" s="20" t="s">
        <v>12096</v>
      </c>
      <c r="E2086" t="s">
        <v>12003</v>
      </c>
      <c r="G2086" s="17" t="s">
        <v>32</v>
      </c>
    </row>
    <row r="2087" spans="1:7" x14ac:dyDescent="0.3">
      <c r="A2087" t="s">
        <v>11985</v>
      </c>
      <c r="B2087" t="s">
        <v>12097</v>
      </c>
      <c r="E2087" t="s">
        <v>12076</v>
      </c>
      <c r="G2087" s="17" t="s">
        <v>32</v>
      </c>
    </row>
    <row r="2088" spans="1:7" ht="28.8" x14ac:dyDescent="0.3">
      <c r="A2088" t="s">
        <v>11985</v>
      </c>
      <c r="B2088" t="s">
        <v>12098</v>
      </c>
      <c r="C2088" s="20" t="s">
        <v>12099</v>
      </c>
      <c r="E2088" t="s">
        <v>11996</v>
      </c>
      <c r="G2088" s="17" t="s">
        <v>32</v>
      </c>
    </row>
    <row r="2089" spans="1:7" ht="28.8" x14ac:dyDescent="0.3">
      <c r="A2089" t="s">
        <v>11985</v>
      </c>
      <c r="B2089" t="s">
        <v>12098</v>
      </c>
      <c r="C2089" s="20" t="s">
        <v>12099</v>
      </c>
      <c r="E2089" t="s">
        <v>11996</v>
      </c>
      <c r="G2089" s="17" t="s">
        <v>32</v>
      </c>
    </row>
    <row r="2090" spans="1:7" ht="28.8" x14ac:dyDescent="0.3">
      <c r="A2090" t="s">
        <v>11985</v>
      </c>
      <c r="B2090" t="s">
        <v>12098</v>
      </c>
      <c r="C2090" s="20" t="s">
        <v>12099</v>
      </c>
      <c r="E2090" t="s">
        <v>11996</v>
      </c>
      <c r="G2090" s="17" t="s">
        <v>32</v>
      </c>
    </row>
    <row r="2091" spans="1:7" ht="28.8" x14ac:dyDescent="0.3">
      <c r="A2091" t="s">
        <v>11985</v>
      </c>
      <c r="B2091" t="s">
        <v>12098</v>
      </c>
      <c r="C2091" s="20" t="s">
        <v>12099</v>
      </c>
      <c r="E2091" t="s">
        <v>11996</v>
      </c>
      <c r="G2091" s="17" t="s">
        <v>32</v>
      </c>
    </row>
    <row r="2092" spans="1:7" ht="28.8" x14ac:dyDescent="0.3">
      <c r="A2092" t="s">
        <v>11985</v>
      </c>
      <c r="B2092" t="s">
        <v>12098</v>
      </c>
      <c r="C2092" s="20" t="s">
        <v>12099</v>
      </c>
      <c r="E2092" t="s">
        <v>11996</v>
      </c>
      <c r="G2092" s="17" t="s">
        <v>32</v>
      </c>
    </row>
    <row r="2093" spans="1:7" ht="28.8" x14ac:dyDescent="0.3">
      <c r="A2093" t="s">
        <v>11985</v>
      </c>
      <c r="B2093" t="s">
        <v>12098</v>
      </c>
      <c r="C2093" s="20" t="s">
        <v>12099</v>
      </c>
      <c r="E2093" t="s">
        <v>11996</v>
      </c>
      <c r="G2093" s="17" t="s">
        <v>32</v>
      </c>
    </row>
    <row r="2094" spans="1:7" ht="28.8" x14ac:dyDescent="0.3">
      <c r="A2094" t="s">
        <v>11985</v>
      </c>
      <c r="B2094" t="s">
        <v>12098</v>
      </c>
      <c r="C2094" s="20" t="s">
        <v>12099</v>
      </c>
      <c r="E2094" t="s">
        <v>11996</v>
      </c>
      <c r="G2094" s="17" t="s">
        <v>32</v>
      </c>
    </row>
    <row r="2095" spans="1:7" ht="28.8" x14ac:dyDescent="0.3">
      <c r="A2095" t="s">
        <v>11985</v>
      </c>
      <c r="B2095" t="s">
        <v>12098</v>
      </c>
      <c r="C2095" s="20" t="s">
        <v>12099</v>
      </c>
      <c r="E2095" t="s">
        <v>11996</v>
      </c>
      <c r="G2095" s="17" t="s">
        <v>32</v>
      </c>
    </row>
    <row r="2096" spans="1:7" ht="28.8" x14ac:dyDescent="0.3">
      <c r="A2096" t="s">
        <v>11985</v>
      </c>
      <c r="B2096" t="s">
        <v>12098</v>
      </c>
      <c r="C2096" s="20" t="s">
        <v>12099</v>
      </c>
      <c r="E2096" t="s">
        <v>11996</v>
      </c>
      <c r="G2096" s="17" t="s">
        <v>32</v>
      </c>
    </row>
    <row r="2097" spans="1:7" ht="28.8" x14ac:dyDescent="0.3">
      <c r="A2097" t="s">
        <v>11985</v>
      </c>
      <c r="B2097" t="s">
        <v>12098</v>
      </c>
      <c r="C2097" s="20" t="s">
        <v>12099</v>
      </c>
      <c r="E2097" t="s">
        <v>11996</v>
      </c>
      <c r="G2097" s="17" t="s">
        <v>32</v>
      </c>
    </row>
    <row r="2098" spans="1:7" ht="28.8" x14ac:dyDescent="0.3">
      <c r="A2098" t="s">
        <v>11985</v>
      </c>
      <c r="B2098" t="s">
        <v>12098</v>
      </c>
      <c r="C2098" s="20" t="s">
        <v>12099</v>
      </c>
      <c r="E2098" t="s">
        <v>11996</v>
      </c>
      <c r="G2098" s="17" t="s">
        <v>32</v>
      </c>
    </row>
    <row r="2099" spans="1:7" x14ac:dyDescent="0.3">
      <c r="A2099" t="s">
        <v>11985</v>
      </c>
      <c r="B2099" t="s">
        <v>12100</v>
      </c>
      <c r="E2099" t="s">
        <v>12016</v>
      </c>
      <c r="G2099" s="17" t="s">
        <v>32</v>
      </c>
    </row>
    <row r="2100" spans="1:7" x14ac:dyDescent="0.3">
      <c r="A2100" t="s">
        <v>11985</v>
      </c>
      <c r="B2100" t="s">
        <v>12100</v>
      </c>
      <c r="E2100" t="s">
        <v>12016</v>
      </c>
      <c r="G2100" s="17" t="s">
        <v>32</v>
      </c>
    </row>
    <row r="2101" spans="1:7" x14ac:dyDescent="0.3">
      <c r="A2101" t="s">
        <v>11985</v>
      </c>
      <c r="B2101" t="s">
        <v>12100</v>
      </c>
      <c r="E2101" t="s">
        <v>12016</v>
      </c>
      <c r="G2101" s="17" t="s">
        <v>32</v>
      </c>
    </row>
    <row r="2102" spans="1:7" x14ac:dyDescent="0.3">
      <c r="A2102" t="s">
        <v>11985</v>
      </c>
      <c r="B2102" t="s">
        <v>12101</v>
      </c>
      <c r="E2102" t="s">
        <v>12076</v>
      </c>
      <c r="G2102" s="17" t="s">
        <v>32</v>
      </c>
    </row>
    <row r="2103" spans="1:7" x14ac:dyDescent="0.3">
      <c r="A2103" t="s">
        <v>11985</v>
      </c>
      <c r="B2103" t="s">
        <v>12101</v>
      </c>
      <c r="E2103" t="s">
        <v>12076</v>
      </c>
      <c r="G2103" s="17" t="s">
        <v>32</v>
      </c>
    </row>
    <row r="2104" spans="1:7" x14ac:dyDescent="0.3">
      <c r="A2104" t="s">
        <v>11985</v>
      </c>
      <c r="B2104" t="s">
        <v>12101</v>
      </c>
      <c r="E2104" t="s">
        <v>12076</v>
      </c>
      <c r="G2104" s="17" t="s">
        <v>32</v>
      </c>
    </row>
    <row r="2105" spans="1:7" x14ac:dyDescent="0.3">
      <c r="A2105" t="s">
        <v>11985</v>
      </c>
      <c r="B2105" t="s">
        <v>12101</v>
      </c>
      <c r="E2105" t="s">
        <v>12076</v>
      </c>
      <c r="G2105" s="17" t="s">
        <v>32</v>
      </c>
    </row>
    <row r="2106" spans="1:7" x14ac:dyDescent="0.3">
      <c r="A2106" t="s">
        <v>11985</v>
      </c>
      <c r="B2106" t="s">
        <v>12101</v>
      </c>
      <c r="E2106" t="s">
        <v>12076</v>
      </c>
      <c r="G2106" s="17" t="s">
        <v>32</v>
      </c>
    </row>
    <row r="2107" spans="1:7" x14ac:dyDescent="0.3">
      <c r="A2107" t="s">
        <v>11985</v>
      </c>
      <c r="B2107" t="s">
        <v>12102</v>
      </c>
      <c r="E2107" t="s">
        <v>12076</v>
      </c>
      <c r="G2107" s="17" t="s">
        <v>32</v>
      </c>
    </row>
    <row r="2108" spans="1:7" x14ac:dyDescent="0.3">
      <c r="A2108" t="s">
        <v>11985</v>
      </c>
      <c r="B2108" t="s">
        <v>12102</v>
      </c>
      <c r="E2108" t="s">
        <v>12076</v>
      </c>
      <c r="G2108" s="17" t="s">
        <v>32</v>
      </c>
    </row>
    <row r="2109" spans="1:7" x14ac:dyDescent="0.3">
      <c r="A2109" t="s">
        <v>11985</v>
      </c>
      <c r="B2109" t="s">
        <v>12102</v>
      </c>
      <c r="E2109" t="s">
        <v>12076</v>
      </c>
      <c r="G2109" s="17" t="s">
        <v>32</v>
      </c>
    </row>
    <row r="2110" spans="1:7" x14ac:dyDescent="0.3">
      <c r="A2110" t="s">
        <v>11985</v>
      </c>
      <c r="B2110" t="s">
        <v>12103</v>
      </c>
      <c r="E2110" t="s">
        <v>12016</v>
      </c>
      <c r="G2110" s="17" t="s">
        <v>32</v>
      </c>
    </row>
    <row r="2111" spans="1:7" x14ac:dyDescent="0.3">
      <c r="A2111" t="s">
        <v>11985</v>
      </c>
      <c r="B2111" t="s">
        <v>12103</v>
      </c>
      <c r="E2111" t="s">
        <v>12016</v>
      </c>
      <c r="G2111" s="17" t="s">
        <v>32</v>
      </c>
    </row>
    <row r="2112" spans="1:7" x14ac:dyDescent="0.3">
      <c r="A2112" t="s">
        <v>11985</v>
      </c>
      <c r="B2112" t="s">
        <v>12103</v>
      </c>
      <c r="E2112" t="s">
        <v>12016</v>
      </c>
      <c r="G2112" s="17" t="s">
        <v>32</v>
      </c>
    </row>
    <row r="2113" spans="1:7" x14ac:dyDescent="0.3">
      <c r="A2113" t="s">
        <v>11985</v>
      </c>
      <c r="B2113" t="s">
        <v>12104</v>
      </c>
      <c r="E2113" t="s">
        <v>12076</v>
      </c>
      <c r="G2113" s="17" t="s">
        <v>32</v>
      </c>
    </row>
    <row r="2114" spans="1:7" x14ac:dyDescent="0.3">
      <c r="A2114" t="s">
        <v>11985</v>
      </c>
      <c r="B2114" t="s">
        <v>12104</v>
      </c>
      <c r="E2114" t="s">
        <v>12076</v>
      </c>
      <c r="G2114" s="17" t="s">
        <v>32</v>
      </c>
    </row>
    <row r="2115" spans="1:7" x14ac:dyDescent="0.3">
      <c r="A2115" t="s">
        <v>11985</v>
      </c>
      <c r="B2115" t="s">
        <v>12104</v>
      </c>
      <c r="E2115" t="s">
        <v>12076</v>
      </c>
      <c r="G2115" s="17" t="s">
        <v>32</v>
      </c>
    </row>
    <row r="2116" spans="1:7" ht="28.8" x14ac:dyDescent="0.3">
      <c r="A2116" t="s">
        <v>11985</v>
      </c>
      <c r="B2116" t="s">
        <v>12105</v>
      </c>
      <c r="C2116" s="20" t="s">
        <v>12106</v>
      </c>
      <c r="E2116" t="s">
        <v>12076</v>
      </c>
      <c r="G2116" s="17" t="s">
        <v>32</v>
      </c>
    </row>
    <row r="2117" spans="1:7" ht="28.8" x14ac:dyDescent="0.3">
      <c r="A2117" t="s">
        <v>11985</v>
      </c>
      <c r="B2117" t="s">
        <v>12105</v>
      </c>
      <c r="C2117" s="20" t="s">
        <v>12106</v>
      </c>
      <c r="E2117" t="s">
        <v>12076</v>
      </c>
      <c r="G2117" s="17" t="s">
        <v>32</v>
      </c>
    </row>
    <row r="2118" spans="1:7" ht="28.8" x14ac:dyDescent="0.3">
      <c r="A2118" t="s">
        <v>11985</v>
      </c>
      <c r="B2118" t="s">
        <v>12105</v>
      </c>
      <c r="C2118" s="20" t="s">
        <v>12106</v>
      </c>
      <c r="E2118" t="s">
        <v>12076</v>
      </c>
      <c r="G2118" s="17" t="s">
        <v>32</v>
      </c>
    </row>
    <row r="2119" spans="1:7" ht="28.8" x14ac:dyDescent="0.3">
      <c r="A2119" t="s">
        <v>11985</v>
      </c>
      <c r="B2119" t="s">
        <v>12105</v>
      </c>
      <c r="C2119" s="20" t="s">
        <v>12106</v>
      </c>
      <c r="E2119" t="s">
        <v>12076</v>
      </c>
      <c r="G2119" s="17" t="s">
        <v>32</v>
      </c>
    </row>
    <row r="2120" spans="1:7" ht="28.8" x14ac:dyDescent="0.3">
      <c r="A2120" t="s">
        <v>11985</v>
      </c>
      <c r="B2120" t="s">
        <v>12105</v>
      </c>
      <c r="C2120" s="20" t="s">
        <v>12106</v>
      </c>
      <c r="E2120" t="s">
        <v>12076</v>
      </c>
      <c r="G2120" s="17" t="s">
        <v>32</v>
      </c>
    </row>
    <row r="2121" spans="1:7" x14ac:dyDescent="0.3">
      <c r="A2121" t="s">
        <v>11985</v>
      </c>
      <c r="B2121" t="s">
        <v>12397</v>
      </c>
      <c r="E2121" t="s">
        <v>12016</v>
      </c>
      <c r="G2121" s="17" t="s">
        <v>32</v>
      </c>
    </row>
    <row r="2122" spans="1:7" x14ac:dyDescent="0.3">
      <c r="A2122" t="s">
        <v>11985</v>
      </c>
      <c r="B2122" t="s">
        <v>12397</v>
      </c>
      <c r="E2122" t="s">
        <v>12016</v>
      </c>
      <c r="G2122" s="17" t="s">
        <v>32</v>
      </c>
    </row>
    <row r="2123" spans="1:7" x14ac:dyDescent="0.3">
      <c r="A2123" t="s">
        <v>11985</v>
      </c>
      <c r="B2123" t="s">
        <v>12398</v>
      </c>
      <c r="E2123" t="s">
        <v>11996</v>
      </c>
      <c r="G2123" s="17" t="s">
        <v>32</v>
      </c>
    </row>
    <row r="2124" spans="1:7" x14ac:dyDescent="0.3">
      <c r="A2124" t="s">
        <v>11985</v>
      </c>
      <c r="B2124" t="s">
        <v>12398</v>
      </c>
      <c r="E2124" t="s">
        <v>11996</v>
      </c>
      <c r="G2124" s="17" t="s">
        <v>32</v>
      </c>
    </row>
    <row r="2125" spans="1:7" ht="43.2" x14ac:dyDescent="0.3">
      <c r="A2125" t="s">
        <v>11985</v>
      </c>
      <c r="B2125" t="s">
        <v>12107</v>
      </c>
      <c r="C2125" s="20" t="s">
        <v>12399</v>
      </c>
      <c r="E2125" t="s">
        <v>11996</v>
      </c>
      <c r="G2125" s="17" t="s">
        <v>32</v>
      </c>
    </row>
    <row r="2126" spans="1:7" ht="43.2" x14ac:dyDescent="0.3">
      <c r="A2126" t="s">
        <v>11985</v>
      </c>
      <c r="B2126" t="s">
        <v>12107</v>
      </c>
      <c r="C2126" s="20" t="s">
        <v>12399</v>
      </c>
      <c r="E2126" t="s">
        <v>11996</v>
      </c>
      <c r="G2126" s="17" t="s">
        <v>32</v>
      </c>
    </row>
    <row r="2127" spans="1:7" ht="43.2" x14ac:dyDescent="0.3">
      <c r="A2127" t="s">
        <v>11985</v>
      </c>
      <c r="B2127" t="s">
        <v>12107</v>
      </c>
      <c r="C2127" s="20" t="s">
        <v>12399</v>
      </c>
      <c r="E2127" t="s">
        <v>11996</v>
      </c>
      <c r="G2127" s="17" t="s">
        <v>32</v>
      </c>
    </row>
    <row r="2128" spans="1:7" x14ac:dyDescent="0.3">
      <c r="A2128" t="s">
        <v>11985</v>
      </c>
      <c r="B2128" t="s">
        <v>12108</v>
      </c>
      <c r="E2128" t="s">
        <v>12109</v>
      </c>
      <c r="G2128" s="17" t="s">
        <v>32</v>
      </c>
    </row>
    <row r="2129" spans="1:7" x14ac:dyDescent="0.3">
      <c r="A2129" t="s">
        <v>11985</v>
      </c>
      <c r="B2129" t="s">
        <v>12108</v>
      </c>
      <c r="E2129" t="s">
        <v>12109</v>
      </c>
      <c r="G2129" s="17" t="s">
        <v>32</v>
      </c>
    </row>
    <row r="2130" spans="1:7" x14ac:dyDescent="0.3">
      <c r="A2130" t="s">
        <v>11985</v>
      </c>
      <c r="B2130" t="s">
        <v>12108</v>
      </c>
      <c r="E2130" t="s">
        <v>12109</v>
      </c>
      <c r="G2130" s="17" t="s">
        <v>32</v>
      </c>
    </row>
    <row r="2131" spans="1:7" x14ac:dyDescent="0.3">
      <c r="A2131" t="s">
        <v>11985</v>
      </c>
      <c r="B2131" t="s">
        <v>12110</v>
      </c>
      <c r="E2131" t="s">
        <v>11996</v>
      </c>
      <c r="G2131" s="17" t="s">
        <v>32</v>
      </c>
    </row>
    <row r="2132" spans="1:7" x14ac:dyDescent="0.3">
      <c r="A2132" t="s">
        <v>11985</v>
      </c>
      <c r="B2132" t="s">
        <v>12110</v>
      </c>
      <c r="E2132" t="s">
        <v>11996</v>
      </c>
      <c r="G2132" s="17" t="s">
        <v>32</v>
      </c>
    </row>
    <row r="2133" spans="1:7" x14ac:dyDescent="0.3">
      <c r="A2133" t="s">
        <v>11985</v>
      </c>
      <c r="B2133" t="s">
        <v>12110</v>
      </c>
      <c r="E2133" t="s">
        <v>11996</v>
      </c>
      <c r="G2133" s="17" t="s">
        <v>32</v>
      </c>
    </row>
    <row r="2134" spans="1:7" ht="28.8" x14ac:dyDescent="0.3">
      <c r="A2134" t="s">
        <v>11985</v>
      </c>
      <c r="B2134" t="s">
        <v>12111</v>
      </c>
      <c r="C2134" s="20" t="s">
        <v>12112</v>
      </c>
      <c r="E2134" t="s">
        <v>12016</v>
      </c>
      <c r="G2134" s="17" t="s">
        <v>32</v>
      </c>
    </row>
    <row r="2135" spans="1:7" ht="28.8" x14ac:dyDescent="0.3">
      <c r="A2135" t="s">
        <v>11985</v>
      </c>
      <c r="B2135" t="s">
        <v>12111</v>
      </c>
      <c r="C2135" s="20" t="s">
        <v>12112</v>
      </c>
      <c r="E2135" t="s">
        <v>12016</v>
      </c>
      <c r="G2135" s="17" t="s">
        <v>32</v>
      </c>
    </row>
    <row r="2136" spans="1:7" ht="28.8" x14ac:dyDescent="0.3">
      <c r="A2136" t="s">
        <v>11985</v>
      </c>
      <c r="B2136" t="s">
        <v>12111</v>
      </c>
      <c r="C2136" s="20" t="s">
        <v>12112</v>
      </c>
      <c r="E2136" t="s">
        <v>12016</v>
      </c>
      <c r="G2136" s="17" t="s">
        <v>32</v>
      </c>
    </row>
    <row r="2137" spans="1:7" x14ac:dyDescent="0.3">
      <c r="A2137" t="s">
        <v>11985</v>
      </c>
      <c r="B2137" t="s">
        <v>12113</v>
      </c>
      <c r="E2137" t="s">
        <v>12109</v>
      </c>
      <c r="G2137" s="17" t="s">
        <v>32</v>
      </c>
    </row>
    <row r="2138" spans="1:7" x14ac:dyDescent="0.3">
      <c r="A2138" t="s">
        <v>11985</v>
      </c>
      <c r="B2138" t="s">
        <v>12113</v>
      </c>
      <c r="E2138" t="s">
        <v>12109</v>
      </c>
      <c r="G2138" s="17" t="s">
        <v>32</v>
      </c>
    </row>
    <row r="2139" spans="1:7" x14ac:dyDescent="0.3">
      <c r="A2139" t="s">
        <v>11985</v>
      </c>
      <c r="B2139" t="s">
        <v>12113</v>
      </c>
      <c r="E2139" t="s">
        <v>12109</v>
      </c>
      <c r="G2139" s="17" t="s">
        <v>32</v>
      </c>
    </row>
    <row r="2140" spans="1:7" x14ac:dyDescent="0.3">
      <c r="A2140" t="s">
        <v>11985</v>
      </c>
      <c r="B2140" t="s">
        <v>12114</v>
      </c>
      <c r="E2140" t="s">
        <v>12115</v>
      </c>
      <c r="G2140" s="17" t="s">
        <v>32</v>
      </c>
    </row>
    <row r="2141" spans="1:7" x14ac:dyDescent="0.3">
      <c r="A2141" t="s">
        <v>11985</v>
      </c>
      <c r="B2141" t="s">
        <v>12116</v>
      </c>
      <c r="E2141" t="s">
        <v>12006</v>
      </c>
      <c r="G2141" s="17" t="s">
        <v>32</v>
      </c>
    </row>
    <row r="2142" spans="1:7" x14ac:dyDescent="0.3">
      <c r="A2142" t="s">
        <v>11985</v>
      </c>
      <c r="B2142" t="s">
        <v>12116</v>
      </c>
      <c r="E2142" t="s">
        <v>12006</v>
      </c>
      <c r="G2142" s="17" t="s">
        <v>32</v>
      </c>
    </row>
    <row r="2143" spans="1:7" x14ac:dyDescent="0.3">
      <c r="A2143" t="s">
        <v>11985</v>
      </c>
      <c r="B2143" t="s">
        <v>12116</v>
      </c>
      <c r="E2143" t="s">
        <v>12006</v>
      </c>
      <c r="G2143" s="17" t="s">
        <v>32</v>
      </c>
    </row>
    <row r="2144" spans="1:7" x14ac:dyDescent="0.3">
      <c r="A2144" t="s">
        <v>11985</v>
      </c>
      <c r="B2144" t="s">
        <v>12117</v>
      </c>
      <c r="E2144" t="s">
        <v>12118</v>
      </c>
      <c r="G2144" s="17" t="s">
        <v>32</v>
      </c>
    </row>
    <row r="2145" spans="1:7" x14ac:dyDescent="0.3">
      <c r="A2145" t="s">
        <v>11985</v>
      </c>
      <c r="B2145" t="s">
        <v>12117</v>
      </c>
      <c r="E2145" t="s">
        <v>12118</v>
      </c>
      <c r="G2145" s="17" t="s">
        <v>32</v>
      </c>
    </row>
    <row r="2146" spans="1:7" x14ac:dyDescent="0.3">
      <c r="A2146" t="s">
        <v>11985</v>
      </c>
      <c r="B2146" t="s">
        <v>12117</v>
      </c>
      <c r="E2146" t="s">
        <v>12118</v>
      </c>
      <c r="G2146" s="17" t="s">
        <v>32</v>
      </c>
    </row>
    <row r="2147" spans="1:7" x14ac:dyDescent="0.3">
      <c r="A2147" t="s">
        <v>11985</v>
      </c>
      <c r="B2147" t="s">
        <v>12119</v>
      </c>
      <c r="E2147" t="s">
        <v>12118</v>
      </c>
      <c r="G2147" s="17" t="s">
        <v>32</v>
      </c>
    </row>
    <row r="2148" spans="1:7" x14ac:dyDescent="0.3">
      <c r="A2148" t="s">
        <v>11985</v>
      </c>
      <c r="B2148" t="s">
        <v>12119</v>
      </c>
      <c r="E2148" t="s">
        <v>12118</v>
      </c>
      <c r="G2148" s="17" t="s">
        <v>32</v>
      </c>
    </row>
    <row r="2149" spans="1:7" x14ac:dyDescent="0.3">
      <c r="A2149" t="s">
        <v>11985</v>
      </c>
      <c r="B2149" t="s">
        <v>12119</v>
      </c>
      <c r="E2149" t="s">
        <v>12118</v>
      </c>
      <c r="G2149" s="17" t="s">
        <v>32</v>
      </c>
    </row>
    <row r="2150" spans="1:7" ht="28.8" x14ac:dyDescent="0.3">
      <c r="A2150" t="s">
        <v>11985</v>
      </c>
      <c r="B2150" t="s">
        <v>12120</v>
      </c>
      <c r="C2150" s="20" t="s">
        <v>12121</v>
      </c>
      <c r="E2150" t="s">
        <v>12122</v>
      </c>
      <c r="G2150" s="17" t="s">
        <v>32</v>
      </c>
    </row>
    <row r="2151" spans="1:7" ht="28.8" x14ac:dyDescent="0.3">
      <c r="A2151" t="s">
        <v>11985</v>
      </c>
      <c r="B2151" t="s">
        <v>12120</v>
      </c>
      <c r="C2151" s="20" t="s">
        <v>12121</v>
      </c>
      <c r="E2151" t="s">
        <v>12122</v>
      </c>
      <c r="G2151" s="17" t="s">
        <v>32</v>
      </c>
    </row>
    <row r="2152" spans="1:7" ht="28.8" x14ac:dyDescent="0.3">
      <c r="A2152" t="s">
        <v>11985</v>
      </c>
      <c r="B2152" t="s">
        <v>12120</v>
      </c>
      <c r="C2152" s="20" t="s">
        <v>12121</v>
      </c>
      <c r="E2152" t="s">
        <v>12122</v>
      </c>
      <c r="G2152" s="17" t="s">
        <v>32</v>
      </c>
    </row>
    <row r="2153" spans="1:7" ht="43.2" x14ac:dyDescent="0.3">
      <c r="A2153" t="s">
        <v>11985</v>
      </c>
      <c r="B2153" t="s">
        <v>12123</v>
      </c>
      <c r="C2153" s="20" t="s">
        <v>12124</v>
      </c>
      <c r="E2153" t="s">
        <v>12125</v>
      </c>
      <c r="G2153" s="17" t="s">
        <v>32</v>
      </c>
    </row>
    <row r="2154" spans="1:7" ht="43.2" x14ac:dyDescent="0.3">
      <c r="A2154" t="s">
        <v>11985</v>
      </c>
      <c r="B2154" t="s">
        <v>12123</v>
      </c>
      <c r="C2154" s="20" t="s">
        <v>12124</v>
      </c>
      <c r="E2154" t="s">
        <v>12125</v>
      </c>
      <c r="G2154" s="17" t="s">
        <v>32</v>
      </c>
    </row>
    <row r="2155" spans="1:7" ht="43.2" x14ac:dyDescent="0.3">
      <c r="A2155" t="s">
        <v>11985</v>
      </c>
      <c r="B2155" t="s">
        <v>12123</v>
      </c>
      <c r="C2155" s="20" t="s">
        <v>12124</v>
      </c>
      <c r="E2155" t="s">
        <v>12125</v>
      </c>
      <c r="G2155" s="17" t="s">
        <v>32</v>
      </c>
    </row>
    <row r="2156" spans="1:7" x14ac:dyDescent="0.3">
      <c r="A2156" t="s">
        <v>11985</v>
      </c>
      <c r="B2156" t="s">
        <v>12126</v>
      </c>
      <c r="C2156" s="20" t="s">
        <v>12127</v>
      </c>
      <c r="E2156" t="s">
        <v>12128</v>
      </c>
      <c r="G2156" s="17" t="s">
        <v>32</v>
      </c>
    </row>
    <row r="2157" spans="1:7" x14ac:dyDescent="0.3">
      <c r="A2157" t="s">
        <v>11985</v>
      </c>
      <c r="B2157" t="s">
        <v>12126</v>
      </c>
      <c r="C2157" s="20" t="s">
        <v>12127</v>
      </c>
      <c r="E2157" t="s">
        <v>12128</v>
      </c>
      <c r="G2157" s="17" t="s">
        <v>32</v>
      </c>
    </row>
    <row r="2158" spans="1:7" x14ac:dyDescent="0.3">
      <c r="A2158" t="s">
        <v>11985</v>
      </c>
      <c r="B2158" t="s">
        <v>12126</v>
      </c>
      <c r="C2158" s="20" t="s">
        <v>12127</v>
      </c>
      <c r="E2158" t="s">
        <v>12128</v>
      </c>
      <c r="G2158" s="17" t="s">
        <v>32</v>
      </c>
    </row>
    <row r="2159" spans="1:7" x14ac:dyDescent="0.3">
      <c r="A2159" t="s">
        <v>11985</v>
      </c>
      <c r="B2159" t="s">
        <v>12129</v>
      </c>
      <c r="E2159" t="s">
        <v>12109</v>
      </c>
      <c r="G2159" s="17" t="s">
        <v>32</v>
      </c>
    </row>
    <row r="2160" spans="1:7" x14ac:dyDescent="0.3">
      <c r="A2160" t="s">
        <v>11985</v>
      </c>
      <c r="B2160" t="s">
        <v>12129</v>
      </c>
      <c r="E2160" t="s">
        <v>12109</v>
      </c>
      <c r="G2160" s="17" t="s">
        <v>32</v>
      </c>
    </row>
    <row r="2161" spans="1:7" x14ac:dyDescent="0.3">
      <c r="A2161" t="s">
        <v>11985</v>
      </c>
      <c r="B2161" t="s">
        <v>12129</v>
      </c>
      <c r="E2161" t="s">
        <v>12109</v>
      </c>
      <c r="G2161" s="17" t="s">
        <v>32</v>
      </c>
    </row>
    <row r="2162" spans="1:7" ht="43.2" x14ac:dyDescent="0.3">
      <c r="A2162" t="s">
        <v>11985</v>
      </c>
      <c r="B2162" t="s">
        <v>12130</v>
      </c>
      <c r="C2162" s="20" t="s">
        <v>12131</v>
      </c>
      <c r="E2162" t="s">
        <v>11992</v>
      </c>
      <c r="G2162" s="17" t="s">
        <v>32</v>
      </c>
    </row>
    <row r="2163" spans="1:7" ht="57.6" x14ac:dyDescent="0.3">
      <c r="A2163" t="s">
        <v>11985</v>
      </c>
      <c r="B2163" t="s">
        <v>12132</v>
      </c>
      <c r="C2163" s="20" t="s">
        <v>12133</v>
      </c>
      <c r="E2163" t="s">
        <v>12134</v>
      </c>
      <c r="G2163" s="17" t="s">
        <v>32</v>
      </c>
    </row>
    <row r="2164" spans="1:7" ht="72" x14ac:dyDescent="0.3">
      <c r="A2164" t="s">
        <v>11985</v>
      </c>
      <c r="B2164" t="s">
        <v>12135</v>
      </c>
      <c r="C2164" s="20" t="s">
        <v>12136</v>
      </c>
      <c r="E2164" t="s">
        <v>12006</v>
      </c>
      <c r="G2164" s="17" t="s">
        <v>32</v>
      </c>
    </row>
    <row r="2165" spans="1:7" ht="100.8" x14ac:dyDescent="0.3">
      <c r="A2165" t="s">
        <v>11985</v>
      </c>
      <c r="B2165" t="s">
        <v>12137</v>
      </c>
      <c r="C2165" s="20" t="s">
        <v>12138</v>
      </c>
      <c r="E2165" t="s">
        <v>12006</v>
      </c>
      <c r="G2165" s="17" t="s">
        <v>32</v>
      </c>
    </row>
    <row r="2166" spans="1:7" ht="28.8" x14ac:dyDescent="0.3">
      <c r="A2166" t="s">
        <v>11985</v>
      </c>
      <c r="B2166" t="s">
        <v>12139</v>
      </c>
      <c r="C2166" s="20" t="s">
        <v>12400</v>
      </c>
      <c r="E2166" t="s">
        <v>12134</v>
      </c>
      <c r="G2166" s="17" t="s">
        <v>32</v>
      </c>
    </row>
    <row r="2167" spans="1:7" x14ac:dyDescent="0.3">
      <c r="A2167" t="s">
        <v>11985</v>
      </c>
      <c r="B2167" t="s">
        <v>12140</v>
      </c>
      <c r="E2167" t="s">
        <v>12006</v>
      </c>
      <c r="G2167" s="17" t="s">
        <v>32</v>
      </c>
    </row>
    <row r="2168" spans="1:7" x14ac:dyDescent="0.3">
      <c r="A2168" t="s">
        <v>11985</v>
      </c>
      <c r="B2168" t="s">
        <v>12141</v>
      </c>
      <c r="E2168" t="s">
        <v>12006</v>
      </c>
      <c r="G2168" s="17" t="s">
        <v>32</v>
      </c>
    </row>
    <row r="2169" spans="1:7" x14ac:dyDescent="0.3">
      <c r="A2169" t="s">
        <v>11985</v>
      </c>
      <c r="B2169" t="s">
        <v>12142</v>
      </c>
      <c r="E2169" t="s">
        <v>12003</v>
      </c>
      <c r="G2169" s="17" t="s">
        <v>32</v>
      </c>
    </row>
    <row r="2170" spans="1:7" x14ac:dyDescent="0.3">
      <c r="A2170" t="s">
        <v>11985</v>
      </c>
      <c r="B2170" t="s">
        <v>12143</v>
      </c>
      <c r="E2170" t="s">
        <v>11996</v>
      </c>
      <c r="G2170" s="17" t="s">
        <v>32</v>
      </c>
    </row>
    <row r="2171" spans="1:7" x14ac:dyDescent="0.3">
      <c r="A2171" t="s">
        <v>11985</v>
      </c>
      <c r="B2171" t="s">
        <v>12144</v>
      </c>
      <c r="E2171" t="s">
        <v>12006</v>
      </c>
      <c r="G2171" s="17" t="s">
        <v>32</v>
      </c>
    </row>
    <row r="2172" spans="1:7" x14ac:dyDescent="0.3">
      <c r="A2172" t="s">
        <v>11985</v>
      </c>
      <c r="B2172" t="s">
        <v>12145</v>
      </c>
      <c r="E2172" t="s">
        <v>12006</v>
      </c>
      <c r="G2172" s="17" t="s">
        <v>32</v>
      </c>
    </row>
    <row r="2173" spans="1:7" x14ac:dyDescent="0.3">
      <c r="A2173" t="s">
        <v>11985</v>
      </c>
      <c r="B2173" t="s">
        <v>12146</v>
      </c>
      <c r="E2173" t="s">
        <v>12006</v>
      </c>
      <c r="G2173" s="17" t="s">
        <v>32</v>
      </c>
    </row>
    <row r="2174" spans="1:7" x14ac:dyDescent="0.3">
      <c r="A2174" t="s">
        <v>11985</v>
      </c>
      <c r="B2174" t="s">
        <v>12147</v>
      </c>
      <c r="E2174" t="s">
        <v>11996</v>
      </c>
      <c r="G2174" s="17" t="s">
        <v>32</v>
      </c>
    </row>
    <row r="2175" spans="1:7" ht="57.6" x14ac:dyDescent="0.3">
      <c r="A2175" t="s">
        <v>11985</v>
      </c>
      <c r="B2175" t="s">
        <v>12401</v>
      </c>
      <c r="C2175" s="20" t="s">
        <v>12402</v>
      </c>
      <c r="E2175" t="s">
        <v>12076</v>
      </c>
      <c r="G2175" s="17" t="s">
        <v>32</v>
      </c>
    </row>
    <row r="2176" spans="1:7" x14ac:dyDescent="0.3">
      <c r="A2176" t="s">
        <v>11985</v>
      </c>
      <c r="B2176" t="s">
        <v>12148</v>
      </c>
      <c r="E2176" t="s">
        <v>12149</v>
      </c>
      <c r="G2176" s="17" t="s">
        <v>32</v>
      </c>
    </row>
    <row r="2177" spans="1:7" x14ac:dyDescent="0.3">
      <c r="A2177" t="s">
        <v>11985</v>
      </c>
      <c r="B2177" t="s">
        <v>12150</v>
      </c>
      <c r="E2177" t="s">
        <v>11996</v>
      </c>
      <c r="G2177" s="17" t="s">
        <v>32</v>
      </c>
    </row>
    <row r="2178" spans="1:7" x14ac:dyDescent="0.3">
      <c r="A2178" t="s">
        <v>11985</v>
      </c>
      <c r="B2178" t="s">
        <v>12151</v>
      </c>
      <c r="E2178" t="s">
        <v>12076</v>
      </c>
      <c r="G2178" s="17" t="s">
        <v>32</v>
      </c>
    </row>
    <row r="2179" spans="1:7" x14ac:dyDescent="0.3">
      <c r="A2179" t="s">
        <v>11985</v>
      </c>
      <c r="B2179" t="s">
        <v>12152</v>
      </c>
      <c r="C2179" s="20" t="s">
        <v>12153</v>
      </c>
      <c r="E2179" t="s">
        <v>12076</v>
      </c>
      <c r="G2179" s="17" t="s">
        <v>32</v>
      </c>
    </row>
    <row r="2180" spans="1:7" x14ac:dyDescent="0.3">
      <c r="A2180" t="s">
        <v>11985</v>
      </c>
      <c r="B2180" t="s">
        <v>12154</v>
      </c>
      <c r="E2180" t="s">
        <v>12076</v>
      </c>
      <c r="G2180" s="17" t="s">
        <v>32</v>
      </c>
    </row>
    <row r="2181" spans="1:7" x14ac:dyDescent="0.3">
      <c r="A2181" t="s">
        <v>11985</v>
      </c>
      <c r="B2181" t="s">
        <v>12155</v>
      </c>
      <c r="E2181" t="s">
        <v>12079</v>
      </c>
      <c r="G2181" s="17" t="s">
        <v>32</v>
      </c>
    </row>
    <row r="2182" spans="1:7" x14ac:dyDescent="0.3">
      <c r="A2182" t="s">
        <v>11985</v>
      </c>
      <c r="B2182" t="s">
        <v>12156</v>
      </c>
      <c r="E2182" t="s">
        <v>11990</v>
      </c>
      <c r="G2182" s="17" t="s">
        <v>32</v>
      </c>
    </row>
    <row r="2183" spans="1:7" x14ac:dyDescent="0.3">
      <c r="A2183" t="s">
        <v>11985</v>
      </c>
      <c r="B2183" t="s">
        <v>12157</v>
      </c>
      <c r="C2183" s="20" t="s">
        <v>12158</v>
      </c>
      <c r="E2183" t="s">
        <v>12159</v>
      </c>
      <c r="G2183" s="17" t="s">
        <v>32</v>
      </c>
    </row>
    <row r="2184" spans="1:7" x14ac:dyDescent="0.3">
      <c r="A2184" t="s">
        <v>11985</v>
      </c>
      <c r="B2184" t="s">
        <v>12160</v>
      </c>
      <c r="C2184" s="20" t="s">
        <v>12161</v>
      </c>
      <c r="E2184" t="s">
        <v>12162</v>
      </c>
      <c r="G2184" s="17" t="s">
        <v>32</v>
      </c>
    </row>
    <row r="2185" spans="1:7" ht="57.6" x14ac:dyDescent="0.3">
      <c r="A2185" t="s">
        <v>11985</v>
      </c>
      <c r="B2185" t="s">
        <v>12163</v>
      </c>
      <c r="C2185" s="20" t="s">
        <v>12164</v>
      </c>
      <c r="E2185" t="s">
        <v>12165</v>
      </c>
      <c r="G2185" s="17" t="s">
        <v>32</v>
      </c>
    </row>
    <row r="2186" spans="1:7" ht="57.6" x14ac:dyDescent="0.3">
      <c r="A2186" t="s">
        <v>11985</v>
      </c>
      <c r="B2186" t="s">
        <v>12163</v>
      </c>
      <c r="C2186" s="20" t="s">
        <v>12164</v>
      </c>
      <c r="E2186" t="s">
        <v>12165</v>
      </c>
      <c r="G2186" s="17" t="s">
        <v>32</v>
      </c>
    </row>
    <row r="2187" spans="1:7" ht="57.6" x14ac:dyDescent="0.3">
      <c r="A2187" t="s">
        <v>11985</v>
      </c>
      <c r="B2187" t="s">
        <v>12163</v>
      </c>
      <c r="C2187" s="20" t="s">
        <v>12164</v>
      </c>
      <c r="E2187" t="s">
        <v>12165</v>
      </c>
      <c r="G2187" s="17" t="s">
        <v>32</v>
      </c>
    </row>
    <row r="2188" spans="1:7" ht="57.6" x14ac:dyDescent="0.3">
      <c r="A2188" t="s">
        <v>11985</v>
      </c>
      <c r="B2188" t="s">
        <v>12163</v>
      </c>
      <c r="C2188" s="20" t="s">
        <v>12164</v>
      </c>
      <c r="E2188" t="s">
        <v>12165</v>
      </c>
      <c r="G2188" s="17" t="s">
        <v>32</v>
      </c>
    </row>
    <row r="2189" spans="1:7" ht="57.6" x14ac:dyDescent="0.3">
      <c r="A2189" t="s">
        <v>11985</v>
      </c>
      <c r="B2189" t="s">
        <v>12163</v>
      </c>
      <c r="C2189" s="20" t="s">
        <v>12164</v>
      </c>
      <c r="E2189" t="s">
        <v>12165</v>
      </c>
      <c r="G2189" s="17" t="s">
        <v>32</v>
      </c>
    </row>
    <row r="2190" spans="1:7" ht="28.8" x14ac:dyDescent="0.3">
      <c r="A2190" t="s">
        <v>11985</v>
      </c>
      <c r="B2190" t="s">
        <v>12166</v>
      </c>
      <c r="C2190" s="20" t="s">
        <v>12403</v>
      </c>
      <c r="E2190" t="s">
        <v>11996</v>
      </c>
      <c r="G2190" s="17" t="s">
        <v>32</v>
      </c>
    </row>
    <row r="2191" spans="1:7" x14ac:dyDescent="0.3">
      <c r="A2191" t="s">
        <v>11985</v>
      </c>
      <c r="B2191" t="s">
        <v>12167</v>
      </c>
      <c r="E2191" t="s">
        <v>12006</v>
      </c>
      <c r="G2191" s="17" t="s">
        <v>32</v>
      </c>
    </row>
    <row r="2192" spans="1:7" ht="28.8" x14ac:dyDescent="0.3">
      <c r="A2192" t="s">
        <v>11985</v>
      </c>
      <c r="B2192" t="s">
        <v>12168</v>
      </c>
      <c r="C2192" s="20" t="s">
        <v>12404</v>
      </c>
      <c r="E2192" t="s">
        <v>11996</v>
      </c>
      <c r="G2192" s="17" t="s">
        <v>32</v>
      </c>
    </row>
    <row r="2193" spans="1:7" x14ac:dyDescent="0.3">
      <c r="A2193" t="s">
        <v>11985</v>
      </c>
      <c r="B2193" t="s">
        <v>12169</v>
      </c>
      <c r="E2193" t="s">
        <v>12006</v>
      </c>
      <c r="G2193" s="17" t="s">
        <v>32</v>
      </c>
    </row>
    <row r="2194" spans="1:7" x14ac:dyDescent="0.3">
      <c r="A2194" t="s">
        <v>11985</v>
      </c>
      <c r="B2194" t="s">
        <v>12405</v>
      </c>
      <c r="E2194" t="s">
        <v>12006</v>
      </c>
      <c r="G2194" s="17" t="s">
        <v>32</v>
      </c>
    </row>
    <row r="2195" spans="1:7" x14ac:dyDescent="0.3">
      <c r="A2195" t="s">
        <v>11985</v>
      </c>
      <c r="B2195" t="s">
        <v>12170</v>
      </c>
      <c r="E2195" t="s">
        <v>12006</v>
      </c>
      <c r="G2195" s="17" t="s">
        <v>32</v>
      </c>
    </row>
    <row r="2196" spans="1:7" x14ac:dyDescent="0.3">
      <c r="A2196" t="s">
        <v>11985</v>
      </c>
      <c r="B2196" t="s">
        <v>12406</v>
      </c>
      <c r="E2196" t="s">
        <v>12171</v>
      </c>
      <c r="G2196" s="17" t="s">
        <v>32</v>
      </c>
    </row>
    <row r="2197" spans="1:7" x14ac:dyDescent="0.3">
      <c r="A2197" t="s">
        <v>11985</v>
      </c>
      <c r="B2197" t="s">
        <v>12407</v>
      </c>
      <c r="E2197" t="s">
        <v>11996</v>
      </c>
      <c r="G2197" s="17" t="s">
        <v>32</v>
      </c>
    </row>
    <row r="2198" spans="1:7" x14ac:dyDescent="0.3">
      <c r="A2198" t="s">
        <v>11985</v>
      </c>
      <c r="B2198" t="s">
        <v>12408</v>
      </c>
      <c r="E2198" t="s">
        <v>12006</v>
      </c>
      <c r="G2198" s="17" t="s">
        <v>32</v>
      </c>
    </row>
    <row r="2199" spans="1:7" x14ac:dyDescent="0.3">
      <c r="A2199" t="s">
        <v>11985</v>
      </c>
      <c r="B2199" t="s">
        <v>12409</v>
      </c>
      <c r="E2199" t="s">
        <v>12006</v>
      </c>
      <c r="G2199" s="17" t="s">
        <v>32</v>
      </c>
    </row>
    <row r="2200" spans="1:7" ht="57.6" x14ac:dyDescent="0.3">
      <c r="A2200" t="s">
        <v>11985</v>
      </c>
      <c r="B2200" t="s">
        <v>12410</v>
      </c>
      <c r="C2200" s="20" t="s">
        <v>12164</v>
      </c>
      <c r="E2200" t="s">
        <v>12165</v>
      </c>
      <c r="G2200" s="17" t="s">
        <v>32</v>
      </c>
    </row>
    <row r="2201" spans="1:7" ht="57.6" x14ac:dyDescent="0.3">
      <c r="A2201" t="s">
        <v>11985</v>
      </c>
      <c r="B2201" t="s">
        <v>12410</v>
      </c>
      <c r="C2201" s="20" t="s">
        <v>12164</v>
      </c>
      <c r="E2201" t="s">
        <v>12165</v>
      </c>
      <c r="G2201" s="17" t="s">
        <v>32</v>
      </c>
    </row>
    <row r="2202" spans="1:7" ht="57.6" x14ac:dyDescent="0.3">
      <c r="A2202" t="s">
        <v>11985</v>
      </c>
      <c r="B2202" t="s">
        <v>12410</v>
      </c>
      <c r="C2202" s="20" t="s">
        <v>12164</v>
      </c>
      <c r="E2202" t="s">
        <v>12165</v>
      </c>
      <c r="G2202" s="17" t="s">
        <v>32</v>
      </c>
    </row>
    <row r="2203" spans="1:7" ht="57.6" x14ac:dyDescent="0.3">
      <c r="A2203" t="s">
        <v>11985</v>
      </c>
      <c r="B2203" t="s">
        <v>12410</v>
      </c>
      <c r="C2203" s="20" t="s">
        <v>12164</v>
      </c>
      <c r="E2203" t="s">
        <v>12165</v>
      </c>
      <c r="G2203" s="17" t="s">
        <v>32</v>
      </c>
    </row>
    <row r="2204" spans="1:7" ht="57.6" x14ac:dyDescent="0.3">
      <c r="A2204" t="s">
        <v>11985</v>
      </c>
      <c r="B2204" t="s">
        <v>12410</v>
      </c>
      <c r="C2204" s="20" t="s">
        <v>12164</v>
      </c>
      <c r="E2204" t="s">
        <v>12165</v>
      </c>
      <c r="G2204" s="17" t="s">
        <v>32</v>
      </c>
    </row>
    <row r="2205" spans="1:7" ht="57.6" x14ac:dyDescent="0.3">
      <c r="A2205" t="s">
        <v>11985</v>
      </c>
      <c r="B2205" t="s">
        <v>12172</v>
      </c>
      <c r="C2205" s="20" t="s">
        <v>12173</v>
      </c>
      <c r="E2205" t="s">
        <v>12109</v>
      </c>
      <c r="G2205" s="17" t="s">
        <v>32</v>
      </c>
    </row>
    <row r="2206" spans="1:7" ht="57.6" x14ac:dyDescent="0.3">
      <c r="A2206" t="s">
        <v>11985</v>
      </c>
      <c r="B2206" t="s">
        <v>12174</v>
      </c>
      <c r="C2206" s="20" t="s">
        <v>12411</v>
      </c>
      <c r="E2206" t="s">
        <v>11996</v>
      </c>
      <c r="G2206" s="17" t="s">
        <v>32</v>
      </c>
    </row>
    <row r="2207" spans="1:7" ht="57.6" x14ac:dyDescent="0.3">
      <c r="A2207" t="s">
        <v>11985</v>
      </c>
      <c r="B2207" t="s">
        <v>12175</v>
      </c>
      <c r="C2207" s="20" t="s">
        <v>12176</v>
      </c>
      <c r="E2207" t="s">
        <v>11996</v>
      </c>
      <c r="G2207" s="17" t="s">
        <v>32</v>
      </c>
    </row>
    <row r="2208" spans="1:7" ht="57.6" x14ac:dyDescent="0.3">
      <c r="A2208" t="s">
        <v>11985</v>
      </c>
      <c r="B2208" t="s">
        <v>12175</v>
      </c>
      <c r="C2208" s="20" t="s">
        <v>12176</v>
      </c>
      <c r="E2208" t="s">
        <v>11996</v>
      </c>
      <c r="G2208" s="17" t="s">
        <v>32</v>
      </c>
    </row>
    <row r="2209" spans="1:7" x14ac:dyDescent="0.3">
      <c r="A2209" t="s">
        <v>11985</v>
      </c>
      <c r="B2209" t="s">
        <v>12177</v>
      </c>
      <c r="C2209" s="20" t="s">
        <v>12178</v>
      </c>
      <c r="E2209" t="s">
        <v>12006</v>
      </c>
      <c r="G2209" s="17" t="s">
        <v>32</v>
      </c>
    </row>
    <row r="2210" spans="1:7" x14ac:dyDescent="0.3">
      <c r="A2210" t="s">
        <v>11985</v>
      </c>
      <c r="B2210" t="s">
        <v>12177</v>
      </c>
      <c r="C2210" s="20" t="s">
        <v>12178</v>
      </c>
      <c r="E2210" t="s">
        <v>12006</v>
      </c>
      <c r="G2210" s="17" t="s">
        <v>32</v>
      </c>
    </row>
    <row r="2211" spans="1:7" x14ac:dyDescent="0.3">
      <c r="A2211" t="s">
        <v>11985</v>
      </c>
      <c r="B2211" t="s">
        <v>12179</v>
      </c>
      <c r="C2211" s="20" t="s">
        <v>12180</v>
      </c>
      <c r="E2211" t="s">
        <v>12006</v>
      </c>
      <c r="G2211" s="17" t="s">
        <v>32</v>
      </c>
    </row>
    <row r="2212" spans="1:7" x14ac:dyDescent="0.3">
      <c r="A2212" t="s">
        <v>11985</v>
      </c>
      <c r="B2212" t="s">
        <v>12179</v>
      </c>
      <c r="C2212" s="20" t="s">
        <v>12180</v>
      </c>
      <c r="E2212" t="s">
        <v>12006</v>
      </c>
      <c r="G2212" s="17" t="s">
        <v>32</v>
      </c>
    </row>
    <row r="2213" spans="1:7" ht="57.6" x14ac:dyDescent="0.3">
      <c r="A2213" t="s">
        <v>11985</v>
      </c>
      <c r="B2213" t="s">
        <v>12181</v>
      </c>
      <c r="C2213" s="20" t="s">
        <v>12411</v>
      </c>
      <c r="E2213" t="s">
        <v>11996</v>
      </c>
      <c r="G2213" s="17" t="s">
        <v>32</v>
      </c>
    </row>
    <row r="2214" spans="1:7" ht="57.6" x14ac:dyDescent="0.3">
      <c r="A2214" t="s">
        <v>11985</v>
      </c>
      <c r="B2214" t="s">
        <v>12181</v>
      </c>
      <c r="C2214" s="20" t="s">
        <v>12411</v>
      </c>
      <c r="E2214" t="s">
        <v>11996</v>
      </c>
      <c r="G2214" s="17" t="s">
        <v>32</v>
      </c>
    </row>
    <row r="2215" spans="1:7" x14ac:dyDescent="0.3">
      <c r="A2215" t="s">
        <v>11985</v>
      </c>
      <c r="B2215" t="s">
        <v>12182</v>
      </c>
      <c r="E2215" t="s">
        <v>12006</v>
      </c>
      <c r="G2215" s="17" t="s">
        <v>32</v>
      </c>
    </row>
    <row r="2216" spans="1:7" x14ac:dyDescent="0.3">
      <c r="A2216" t="s">
        <v>11985</v>
      </c>
      <c r="B2216" t="s">
        <v>12182</v>
      </c>
      <c r="E2216" t="s">
        <v>12006</v>
      </c>
      <c r="G2216" s="17" t="s">
        <v>32</v>
      </c>
    </row>
    <row r="2217" spans="1:7" x14ac:dyDescent="0.3">
      <c r="A2217" t="s">
        <v>11985</v>
      </c>
      <c r="B2217" t="s">
        <v>12182</v>
      </c>
      <c r="E2217" t="s">
        <v>12006</v>
      </c>
      <c r="G2217" s="17" t="s">
        <v>32</v>
      </c>
    </row>
    <row r="2218" spans="1:7" x14ac:dyDescent="0.3">
      <c r="A2218" t="s">
        <v>11985</v>
      </c>
      <c r="B2218" t="s">
        <v>12183</v>
      </c>
      <c r="E2218" t="s">
        <v>12006</v>
      </c>
      <c r="G2218" s="17" t="s">
        <v>32</v>
      </c>
    </row>
    <row r="2219" spans="1:7" x14ac:dyDescent="0.3">
      <c r="A2219" t="s">
        <v>11985</v>
      </c>
      <c r="B2219" t="s">
        <v>12183</v>
      </c>
      <c r="E2219" t="s">
        <v>12006</v>
      </c>
      <c r="G2219" s="17" t="s">
        <v>32</v>
      </c>
    </row>
    <row r="2220" spans="1:7" x14ac:dyDescent="0.3">
      <c r="A2220" t="s">
        <v>11985</v>
      </c>
      <c r="B2220" t="s">
        <v>12183</v>
      </c>
      <c r="E2220" t="s">
        <v>12006</v>
      </c>
      <c r="G2220" s="17" t="s">
        <v>32</v>
      </c>
    </row>
    <row r="2221" spans="1:7" ht="86.4" x14ac:dyDescent="0.3">
      <c r="A2221" t="s">
        <v>11985</v>
      </c>
      <c r="B2221" t="s">
        <v>12184</v>
      </c>
      <c r="C2221" s="20" t="s">
        <v>12185</v>
      </c>
      <c r="E2221" t="s">
        <v>12186</v>
      </c>
      <c r="G2221" s="17" t="s">
        <v>32</v>
      </c>
    </row>
    <row r="2222" spans="1:7" ht="86.4" x14ac:dyDescent="0.3">
      <c r="A2222" t="s">
        <v>11985</v>
      </c>
      <c r="B2222" t="s">
        <v>12184</v>
      </c>
      <c r="C2222" s="20" t="s">
        <v>12185</v>
      </c>
      <c r="E2222" t="s">
        <v>12186</v>
      </c>
      <c r="G2222" s="17" t="s">
        <v>32</v>
      </c>
    </row>
    <row r="2223" spans="1:7" ht="86.4" x14ac:dyDescent="0.3">
      <c r="A2223" t="s">
        <v>11985</v>
      </c>
      <c r="B2223" t="s">
        <v>12184</v>
      </c>
      <c r="C2223" s="20" t="s">
        <v>12185</v>
      </c>
      <c r="E2223" t="s">
        <v>12186</v>
      </c>
      <c r="G2223" s="17" t="s">
        <v>32</v>
      </c>
    </row>
    <row r="2224" spans="1:7" x14ac:dyDescent="0.3">
      <c r="A2224" t="s">
        <v>11985</v>
      </c>
      <c r="B2224" t="s">
        <v>12187</v>
      </c>
      <c r="C2224" s="20" t="s">
        <v>12188</v>
      </c>
      <c r="E2224" t="s">
        <v>11992</v>
      </c>
      <c r="G2224" s="17" t="s">
        <v>32</v>
      </c>
    </row>
    <row r="2225" spans="1:7" x14ac:dyDescent="0.3">
      <c r="A2225" t="s">
        <v>11985</v>
      </c>
      <c r="B2225" t="s">
        <v>12187</v>
      </c>
      <c r="C2225" s="20" t="s">
        <v>12188</v>
      </c>
      <c r="E2225" t="s">
        <v>11992</v>
      </c>
      <c r="G2225" s="17" t="s">
        <v>32</v>
      </c>
    </row>
    <row r="2226" spans="1:7" x14ac:dyDescent="0.3">
      <c r="A2226" t="s">
        <v>11985</v>
      </c>
      <c r="B2226" t="s">
        <v>12187</v>
      </c>
      <c r="C2226" s="20" t="s">
        <v>12188</v>
      </c>
      <c r="E2226" t="s">
        <v>11992</v>
      </c>
      <c r="G2226" s="17" t="s">
        <v>32</v>
      </c>
    </row>
    <row r="2227" spans="1:7" ht="28.8" x14ac:dyDescent="0.3">
      <c r="A2227" t="s">
        <v>11985</v>
      </c>
      <c r="B2227" t="s">
        <v>12189</v>
      </c>
      <c r="C2227" s="20" t="s">
        <v>12190</v>
      </c>
      <c r="E2227" t="s">
        <v>12191</v>
      </c>
      <c r="G2227" s="17" t="s">
        <v>32</v>
      </c>
    </row>
    <row r="2228" spans="1:7" ht="28.8" x14ac:dyDescent="0.3">
      <c r="A2228" t="s">
        <v>11985</v>
      </c>
      <c r="B2228" t="s">
        <v>12189</v>
      </c>
      <c r="C2228" s="20" t="s">
        <v>12190</v>
      </c>
      <c r="E2228" t="s">
        <v>12191</v>
      </c>
      <c r="G2228" s="17" t="s">
        <v>32</v>
      </c>
    </row>
    <row r="2229" spans="1:7" ht="28.8" x14ac:dyDescent="0.3">
      <c r="A2229" t="s">
        <v>11985</v>
      </c>
      <c r="B2229" t="s">
        <v>12189</v>
      </c>
      <c r="C2229" s="20" t="s">
        <v>12190</v>
      </c>
      <c r="E2229" t="s">
        <v>12191</v>
      </c>
      <c r="G2229" s="17" t="s">
        <v>32</v>
      </c>
    </row>
    <row r="2230" spans="1:7" x14ac:dyDescent="0.3">
      <c r="A2230" t="s">
        <v>11985</v>
      </c>
      <c r="B2230" t="s">
        <v>12192</v>
      </c>
      <c r="E2230" t="s">
        <v>12193</v>
      </c>
      <c r="G2230" s="17" t="s">
        <v>32</v>
      </c>
    </row>
    <row r="2231" spans="1:7" x14ac:dyDescent="0.3">
      <c r="A2231" t="s">
        <v>11985</v>
      </c>
      <c r="B2231" t="s">
        <v>12412</v>
      </c>
      <c r="E2231" t="s">
        <v>12194</v>
      </c>
      <c r="G2231" s="17" t="s">
        <v>32</v>
      </c>
    </row>
    <row r="2232" spans="1:7" ht="28.8" x14ac:dyDescent="0.3">
      <c r="A2232" t="s">
        <v>11985</v>
      </c>
      <c r="B2232" t="s">
        <v>12195</v>
      </c>
      <c r="C2232" s="20" t="s">
        <v>12196</v>
      </c>
      <c r="E2232" t="s">
        <v>11996</v>
      </c>
      <c r="G2232" s="17" t="s">
        <v>32</v>
      </c>
    </row>
    <row r="2233" spans="1:7" ht="28.8" x14ac:dyDescent="0.3">
      <c r="A2233" t="s">
        <v>11985</v>
      </c>
      <c r="B2233" t="s">
        <v>12195</v>
      </c>
      <c r="C2233" s="20" t="s">
        <v>12196</v>
      </c>
      <c r="E2233" t="s">
        <v>11996</v>
      </c>
      <c r="G2233" s="17" t="s">
        <v>32</v>
      </c>
    </row>
    <row r="2234" spans="1:7" x14ac:dyDescent="0.3">
      <c r="A2234" t="s">
        <v>11985</v>
      </c>
      <c r="B2234" t="s">
        <v>12197</v>
      </c>
      <c r="C2234" s="20" t="s">
        <v>12198</v>
      </c>
      <c r="E2234" t="s">
        <v>12006</v>
      </c>
      <c r="G2234" s="17" t="s">
        <v>32</v>
      </c>
    </row>
    <row r="2235" spans="1:7" x14ac:dyDescent="0.3">
      <c r="A2235" t="s">
        <v>11985</v>
      </c>
      <c r="B2235" t="s">
        <v>12199</v>
      </c>
      <c r="E2235" t="s">
        <v>12016</v>
      </c>
      <c r="G2235" s="17" t="s">
        <v>32</v>
      </c>
    </row>
    <row r="2236" spans="1:7" x14ac:dyDescent="0.3">
      <c r="A2236" t="s">
        <v>11985</v>
      </c>
      <c r="B2236" t="s">
        <v>12200</v>
      </c>
      <c r="C2236" s="20" t="s">
        <v>12158</v>
      </c>
      <c r="E2236" t="s">
        <v>12159</v>
      </c>
      <c r="G2236" s="17" t="s">
        <v>32</v>
      </c>
    </row>
    <row r="2237" spans="1:7" x14ac:dyDescent="0.3">
      <c r="A2237" t="s">
        <v>11985</v>
      </c>
      <c r="B2237" t="s">
        <v>12201</v>
      </c>
      <c r="C2237" s="20" t="s">
        <v>12202</v>
      </c>
      <c r="E2237" t="s">
        <v>12203</v>
      </c>
      <c r="G2237" s="17" t="s">
        <v>32</v>
      </c>
    </row>
    <row r="2238" spans="1:7" ht="57.6" x14ac:dyDescent="0.3">
      <c r="A2238" t="s">
        <v>11985</v>
      </c>
      <c r="B2238" t="s">
        <v>12204</v>
      </c>
      <c r="C2238" s="20" t="s">
        <v>12413</v>
      </c>
      <c r="E2238" t="s">
        <v>12205</v>
      </c>
      <c r="G2238" s="17" t="s">
        <v>32</v>
      </c>
    </row>
    <row r="2239" spans="1:7" x14ac:dyDescent="0.3">
      <c r="A2239" t="s">
        <v>11985</v>
      </c>
      <c r="B2239" t="s">
        <v>12206</v>
      </c>
      <c r="E2239" t="s">
        <v>11996</v>
      </c>
      <c r="G2239" s="17" t="s">
        <v>32</v>
      </c>
    </row>
    <row r="2240" spans="1:7" x14ac:dyDescent="0.3">
      <c r="A2240" t="s">
        <v>11985</v>
      </c>
      <c r="B2240" t="s">
        <v>12207</v>
      </c>
      <c r="E2240" t="s">
        <v>12109</v>
      </c>
      <c r="G2240" s="17" t="s">
        <v>32</v>
      </c>
    </row>
    <row r="2241" spans="1:7" x14ac:dyDescent="0.3">
      <c r="A2241" t="s">
        <v>11985</v>
      </c>
      <c r="B2241" t="s">
        <v>12208</v>
      </c>
      <c r="C2241" s="20" t="s">
        <v>12209</v>
      </c>
      <c r="E2241" t="s">
        <v>12109</v>
      </c>
      <c r="G2241" s="17" t="s">
        <v>32</v>
      </c>
    </row>
    <row r="2242" spans="1:7" x14ac:dyDescent="0.3">
      <c r="A2242" t="s">
        <v>11985</v>
      </c>
      <c r="B2242" t="s">
        <v>12210</v>
      </c>
      <c r="E2242" t="s">
        <v>11996</v>
      </c>
      <c r="G2242" s="17" t="s">
        <v>32</v>
      </c>
    </row>
    <row r="2243" spans="1:7" x14ac:dyDescent="0.3">
      <c r="A2243" t="s">
        <v>11985</v>
      </c>
      <c r="B2243" t="s">
        <v>12210</v>
      </c>
      <c r="E2243" t="s">
        <v>11996</v>
      </c>
      <c r="G2243" s="17" t="s">
        <v>32</v>
      </c>
    </row>
    <row r="2244" spans="1:7" x14ac:dyDescent="0.3">
      <c r="A2244" t="s">
        <v>11985</v>
      </c>
      <c r="B2244" t="s">
        <v>12210</v>
      </c>
      <c r="E2244" t="s">
        <v>11996</v>
      </c>
      <c r="G2244" s="17" t="s">
        <v>32</v>
      </c>
    </row>
    <row r="2245" spans="1:7" x14ac:dyDescent="0.3">
      <c r="A2245" t="s">
        <v>11985</v>
      </c>
      <c r="B2245" t="s">
        <v>12210</v>
      </c>
      <c r="E2245" t="s">
        <v>11996</v>
      </c>
      <c r="G2245" s="17" t="s">
        <v>32</v>
      </c>
    </row>
    <row r="2246" spans="1:7" x14ac:dyDescent="0.3">
      <c r="A2246" t="s">
        <v>11985</v>
      </c>
      <c r="B2246" t="s">
        <v>12210</v>
      </c>
      <c r="E2246" t="s">
        <v>11996</v>
      </c>
      <c r="G2246" s="17" t="s">
        <v>32</v>
      </c>
    </row>
    <row r="2247" spans="1:7" x14ac:dyDescent="0.3">
      <c r="A2247" t="s">
        <v>11985</v>
      </c>
      <c r="B2247" t="s">
        <v>12210</v>
      </c>
      <c r="E2247" t="s">
        <v>11996</v>
      </c>
      <c r="G2247" s="17" t="s">
        <v>32</v>
      </c>
    </row>
    <row r="2248" spans="1:7" x14ac:dyDescent="0.3">
      <c r="A2248" t="s">
        <v>11985</v>
      </c>
      <c r="B2248" t="s">
        <v>12210</v>
      </c>
      <c r="E2248" t="s">
        <v>11996</v>
      </c>
      <c r="G2248" s="17" t="s">
        <v>32</v>
      </c>
    </row>
    <row r="2249" spans="1:7" x14ac:dyDescent="0.3">
      <c r="A2249" t="s">
        <v>11985</v>
      </c>
      <c r="B2249" t="s">
        <v>12210</v>
      </c>
      <c r="E2249" t="s">
        <v>11996</v>
      </c>
      <c r="G2249" s="17" t="s">
        <v>32</v>
      </c>
    </row>
    <row r="2250" spans="1:7" x14ac:dyDescent="0.3">
      <c r="A2250" t="s">
        <v>11985</v>
      </c>
      <c r="B2250" t="s">
        <v>12210</v>
      </c>
      <c r="E2250" t="s">
        <v>11996</v>
      </c>
      <c r="G2250" s="17" t="s">
        <v>32</v>
      </c>
    </row>
    <row r="2251" spans="1:7" x14ac:dyDescent="0.3">
      <c r="A2251" t="s">
        <v>11985</v>
      </c>
      <c r="B2251" t="s">
        <v>12210</v>
      </c>
      <c r="E2251" t="s">
        <v>11996</v>
      </c>
      <c r="G2251" s="17" t="s">
        <v>32</v>
      </c>
    </row>
    <row r="2252" spans="1:7" x14ac:dyDescent="0.3">
      <c r="A2252" t="s">
        <v>11985</v>
      </c>
      <c r="B2252" t="s">
        <v>12210</v>
      </c>
      <c r="E2252" t="s">
        <v>11996</v>
      </c>
      <c r="G2252" s="17" t="s">
        <v>32</v>
      </c>
    </row>
    <row r="2253" spans="1:7" x14ac:dyDescent="0.3">
      <c r="A2253" t="s">
        <v>11985</v>
      </c>
      <c r="B2253" t="s">
        <v>12211</v>
      </c>
      <c r="E2253" t="s">
        <v>11996</v>
      </c>
      <c r="G2253" s="17" t="s">
        <v>32</v>
      </c>
    </row>
    <row r="2254" spans="1:7" x14ac:dyDescent="0.3">
      <c r="A2254" t="s">
        <v>11985</v>
      </c>
      <c r="B2254" t="s">
        <v>12211</v>
      </c>
      <c r="E2254" t="s">
        <v>11996</v>
      </c>
      <c r="G2254" s="17" t="s">
        <v>32</v>
      </c>
    </row>
    <row r="2255" spans="1:7" x14ac:dyDescent="0.3">
      <c r="A2255" t="s">
        <v>11985</v>
      </c>
      <c r="B2255" t="s">
        <v>12211</v>
      </c>
      <c r="E2255" t="s">
        <v>11996</v>
      </c>
      <c r="G2255" s="17" t="s">
        <v>32</v>
      </c>
    </row>
    <row r="2256" spans="1:7" x14ac:dyDescent="0.3">
      <c r="A2256" t="s">
        <v>11985</v>
      </c>
      <c r="B2256" t="s">
        <v>12211</v>
      </c>
      <c r="E2256" t="s">
        <v>11996</v>
      </c>
      <c r="G2256" s="17" t="s">
        <v>32</v>
      </c>
    </row>
    <row r="2257" spans="1:7" x14ac:dyDescent="0.3">
      <c r="A2257" t="s">
        <v>11985</v>
      </c>
      <c r="B2257" t="s">
        <v>12211</v>
      </c>
      <c r="E2257" t="s">
        <v>11996</v>
      </c>
      <c r="G2257" s="17" t="s">
        <v>32</v>
      </c>
    </row>
    <row r="2258" spans="1:7" x14ac:dyDescent="0.3">
      <c r="A2258" t="s">
        <v>11985</v>
      </c>
      <c r="B2258" t="s">
        <v>12211</v>
      </c>
      <c r="E2258" t="s">
        <v>11996</v>
      </c>
      <c r="G2258" s="17" t="s">
        <v>32</v>
      </c>
    </row>
    <row r="2259" spans="1:7" x14ac:dyDescent="0.3">
      <c r="A2259" t="s">
        <v>11985</v>
      </c>
      <c r="B2259" t="s">
        <v>12211</v>
      </c>
      <c r="E2259" t="s">
        <v>11996</v>
      </c>
      <c r="G2259" s="17" t="s">
        <v>32</v>
      </c>
    </row>
    <row r="2260" spans="1:7" x14ac:dyDescent="0.3">
      <c r="A2260" t="s">
        <v>11985</v>
      </c>
      <c r="B2260" t="s">
        <v>12211</v>
      </c>
      <c r="E2260" t="s">
        <v>11996</v>
      </c>
      <c r="G2260" s="17" t="s">
        <v>32</v>
      </c>
    </row>
    <row r="2261" spans="1:7" x14ac:dyDescent="0.3">
      <c r="A2261" t="s">
        <v>11985</v>
      </c>
      <c r="B2261" t="s">
        <v>12211</v>
      </c>
      <c r="E2261" t="s">
        <v>11996</v>
      </c>
      <c r="G2261" s="17" t="s">
        <v>32</v>
      </c>
    </row>
    <row r="2262" spans="1:7" x14ac:dyDescent="0.3">
      <c r="A2262" t="s">
        <v>11985</v>
      </c>
      <c r="B2262" t="s">
        <v>12211</v>
      </c>
      <c r="E2262" t="s">
        <v>11996</v>
      </c>
      <c r="G2262" s="17" t="s">
        <v>32</v>
      </c>
    </row>
    <row r="2263" spans="1:7" x14ac:dyDescent="0.3">
      <c r="A2263" t="s">
        <v>11985</v>
      </c>
      <c r="B2263" t="s">
        <v>12211</v>
      </c>
      <c r="E2263" t="s">
        <v>11996</v>
      </c>
      <c r="G2263" s="17" t="s">
        <v>32</v>
      </c>
    </row>
    <row r="2264" spans="1:7" x14ac:dyDescent="0.3">
      <c r="A2264" t="s">
        <v>11985</v>
      </c>
      <c r="B2264" t="s">
        <v>12212</v>
      </c>
      <c r="E2264" t="s">
        <v>11996</v>
      </c>
      <c r="G2264" s="17" t="s">
        <v>32</v>
      </c>
    </row>
    <row r="2265" spans="1:7" x14ac:dyDescent="0.3">
      <c r="A2265" t="s">
        <v>11985</v>
      </c>
      <c r="B2265" t="s">
        <v>12212</v>
      </c>
      <c r="E2265" t="s">
        <v>11996</v>
      </c>
      <c r="G2265" s="17" t="s">
        <v>32</v>
      </c>
    </row>
    <row r="2266" spans="1:7" x14ac:dyDescent="0.3">
      <c r="A2266" t="s">
        <v>11985</v>
      </c>
      <c r="B2266" t="s">
        <v>12212</v>
      </c>
      <c r="E2266" t="s">
        <v>11996</v>
      </c>
      <c r="G2266" s="17" t="s">
        <v>32</v>
      </c>
    </row>
    <row r="2267" spans="1:7" x14ac:dyDescent="0.3">
      <c r="A2267" t="s">
        <v>11985</v>
      </c>
      <c r="B2267" t="s">
        <v>12212</v>
      </c>
      <c r="E2267" t="s">
        <v>11996</v>
      </c>
      <c r="G2267" s="17" t="s">
        <v>32</v>
      </c>
    </row>
    <row r="2268" spans="1:7" x14ac:dyDescent="0.3">
      <c r="A2268" t="s">
        <v>11985</v>
      </c>
      <c r="B2268" t="s">
        <v>12212</v>
      </c>
      <c r="E2268" t="s">
        <v>11996</v>
      </c>
      <c r="G2268" s="17" t="s">
        <v>32</v>
      </c>
    </row>
    <row r="2269" spans="1:7" x14ac:dyDescent="0.3">
      <c r="A2269" t="s">
        <v>11985</v>
      </c>
      <c r="B2269" t="s">
        <v>12212</v>
      </c>
      <c r="E2269" t="s">
        <v>11996</v>
      </c>
      <c r="G2269" s="17" t="s">
        <v>32</v>
      </c>
    </row>
    <row r="2270" spans="1:7" x14ac:dyDescent="0.3">
      <c r="A2270" t="s">
        <v>11985</v>
      </c>
      <c r="B2270" t="s">
        <v>12212</v>
      </c>
      <c r="E2270" t="s">
        <v>11996</v>
      </c>
      <c r="G2270" s="17" t="s">
        <v>32</v>
      </c>
    </row>
    <row r="2271" spans="1:7" x14ac:dyDescent="0.3">
      <c r="A2271" t="s">
        <v>11985</v>
      </c>
      <c r="B2271" t="s">
        <v>12212</v>
      </c>
      <c r="E2271" t="s">
        <v>11996</v>
      </c>
      <c r="G2271" s="17" t="s">
        <v>32</v>
      </c>
    </row>
    <row r="2272" spans="1:7" x14ac:dyDescent="0.3">
      <c r="A2272" t="s">
        <v>11985</v>
      </c>
      <c r="B2272" t="s">
        <v>12212</v>
      </c>
      <c r="E2272" t="s">
        <v>11996</v>
      </c>
      <c r="G2272" s="17" t="s">
        <v>32</v>
      </c>
    </row>
    <row r="2273" spans="1:7" x14ac:dyDescent="0.3">
      <c r="A2273" t="s">
        <v>11985</v>
      </c>
      <c r="B2273" t="s">
        <v>12212</v>
      </c>
      <c r="E2273" t="s">
        <v>11996</v>
      </c>
      <c r="G2273" s="17" t="s">
        <v>32</v>
      </c>
    </row>
    <row r="2274" spans="1:7" x14ac:dyDescent="0.3">
      <c r="A2274" t="s">
        <v>11985</v>
      </c>
      <c r="B2274" t="s">
        <v>12212</v>
      </c>
      <c r="E2274" t="s">
        <v>11996</v>
      </c>
      <c r="G2274" s="17" t="s">
        <v>32</v>
      </c>
    </row>
    <row r="2275" spans="1:7" x14ac:dyDescent="0.3">
      <c r="A2275" t="s">
        <v>11985</v>
      </c>
      <c r="B2275" t="s">
        <v>12213</v>
      </c>
      <c r="E2275" t="s">
        <v>12076</v>
      </c>
      <c r="G2275" s="17" t="s">
        <v>32</v>
      </c>
    </row>
    <row r="2276" spans="1:7" x14ac:dyDescent="0.3">
      <c r="A2276" t="s">
        <v>11985</v>
      </c>
      <c r="B2276" t="s">
        <v>12213</v>
      </c>
      <c r="E2276" t="s">
        <v>12076</v>
      </c>
      <c r="G2276" s="17" t="s">
        <v>32</v>
      </c>
    </row>
    <row r="2277" spans="1:7" x14ac:dyDescent="0.3">
      <c r="A2277" t="s">
        <v>11985</v>
      </c>
      <c r="B2277" t="s">
        <v>12213</v>
      </c>
      <c r="E2277" t="s">
        <v>12076</v>
      </c>
      <c r="G2277" s="17" t="s">
        <v>32</v>
      </c>
    </row>
    <row r="2278" spans="1:7" x14ac:dyDescent="0.3">
      <c r="A2278" t="s">
        <v>11985</v>
      </c>
      <c r="B2278" t="s">
        <v>12213</v>
      </c>
      <c r="E2278" t="s">
        <v>12076</v>
      </c>
      <c r="G2278" s="17" t="s">
        <v>32</v>
      </c>
    </row>
    <row r="2279" spans="1:7" x14ac:dyDescent="0.3">
      <c r="A2279" t="s">
        <v>11985</v>
      </c>
      <c r="B2279" t="s">
        <v>12213</v>
      </c>
      <c r="E2279" t="s">
        <v>12076</v>
      </c>
      <c r="G2279" s="17" t="s">
        <v>32</v>
      </c>
    </row>
    <row r="2280" spans="1:7" x14ac:dyDescent="0.3">
      <c r="A2280" t="s">
        <v>11985</v>
      </c>
      <c r="B2280" t="s">
        <v>12213</v>
      </c>
      <c r="E2280" t="s">
        <v>12076</v>
      </c>
      <c r="G2280" s="17" t="s">
        <v>32</v>
      </c>
    </row>
    <row r="2281" spans="1:7" x14ac:dyDescent="0.3">
      <c r="A2281" t="s">
        <v>11985</v>
      </c>
      <c r="B2281" t="s">
        <v>12213</v>
      </c>
      <c r="E2281" t="s">
        <v>12076</v>
      </c>
      <c r="G2281" s="17" t="s">
        <v>32</v>
      </c>
    </row>
    <row r="2282" spans="1:7" x14ac:dyDescent="0.3">
      <c r="A2282" t="s">
        <v>11985</v>
      </c>
      <c r="B2282" t="s">
        <v>12213</v>
      </c>
      <c r="E2282" t="s">
        <v>12076</v>
      </c>
      <c r="G2282" s="17" t="s">
        <v>32</v>
      </c>
    </row>
    <row r="2283" spans="1:7" x14ac:dyDescent="0.3">
      <c r="A2283" t="s">
        <v>11985</v>
      </c>
      <c r="B2283" t="s">
        <v>12213</v>
      </c>
      <c r="E2283" t="s">
        <v>12076</v>
      </c>
      <c r="G2283" s="17" t="s">
        <v>32</v>
      </c>
    </row>
    <row r="2284" spans="1:7" x14ac:dyDescent="0.3">
      <c r="A2284" t="s">
        <v>11985</v>
      </c>
      <c r="B2284" t="s">
        <v>12213</v>
      </c>
      <c r="E2284" t="s">
        <v>12076</v>
      </c>
      <c r="G2284" s="17" t="s">
        <v>32</v>
      </c>
    </row>
    <row r="2285" spans="1:7" x14ac:dyDescent="0.3">
      <c r="A2285" t="s">
        <v>11985</v>
      </c>
      <c r="B2285" t="s">
        <v>12213</v>
      </c>
      <c r="E2285" t="s">
        <v>12076</v>
      </c>
      <c r="G2285" s="17" t="s">
        <v>32</v>
      </c>
    </row>
    <row r="2286" spans="1:7" x14ac:dyDescent="0.3">
      <c r="A2286" t="s">
        <v>11985</v>
      </c>
      <c r="B2286" t="s">
        <v>12214</v>
      </c>
      <c r="E2286" t="s">
        <v>12076</v>
      </c>
      <c r="G2286" s="17" t="s">
        <v>32</v>
      </c>
    </row>
    <row r="2287" spans="1:7" x14ac:dyDescent="0.3">
      <c r="A2287" t="s">
        <v>11985</v>
      </c>
      <c r="B2287" t="s">
        <v>12214</v>
      </c>
      <c r="E2287" t="s">
        <v>12076</v>
      </c>
      <c r="G2287" s="17" t="s">
        <v>32</v>
      </c>
    </row>
    <row r="2288" spans="1:7" x14ac:dyDescent="0.3">
      <c r="A2288" t="s">
        <v>11985</v>
      </c>
      <c r="B2288" t="s">
        <v>12214</v>
      </c>
      <c r="E2288" t="s">
        <v>12076</v>
      </c>
      <c r="G2288" s="17" t="s">
        <v>32</v>
      </c>
    </row>
    <row r="2289" spans="1:7" x14ac:dyDescent="0.3">
      <c r="A2289" t="s">
        <v>11985</v>
      </c>
      <c r="B2289" t="s">
        <v>12214</v>
      </c>
      <c r="E2289" t="s">
        <v>12076</v>
      </c>
      <c r="G2289" s="17" t="s">
        <v>32</v>
      </c>
    </row>
    <row r="2290" spans="1:7" x14ac:dyDescent="0.3">
      <c r="A2290" t="s">
        <v>11985</v>
      </c>
      <c r="B2290" t="s">
        <v>12214</v>
      </c>
      <c r="E2290" t="s">
        <v>12076</v>
      </c>
      <c r="G2290" s="17" t="s">
        <v>32</v>
      </c>
    </row>
    <row r="2291" spans="1:7" x14ac:dyDescent="0.3">
      <c r="A2291" t="s">
        <v>11985</v>
      </c>
      <c r="B2291" t="s">
        <v>12214</v>
      </c>
      <c r="E2291" t="s">
        <v>12076</v>
      </c>
      <c r="G2291" s="17" t="s">
        <v>32</v>
      </c>
    </row>
    <row r="2292" spans="1:7" x14ac:dyDescent="0.3">
      <c r="A2292" t="s">
        <v>11985</v>
      </c>
      <c r="B2292" t="s">
        <v>12214</v>
      </c>
      <c r="E2292" t="s">
        <v>12076</v>
      </c>
      <c r="G2292" s="17" t="s">
        <v>32</v>
      </c>
    </row>
    <row r="2293" spans="1:7" x14ac:dyDescent="0.3">
      <c r="A2293" t="s">
        <v>11985</v>
      </c>
      <c r="B2293" t="s">
        <v>12214</v>
      </c>
      <c r="E2293" t="s">
        <v>12076</v>
      </c>
      <c r="G2293" s="17" t="s">
        <v>32</v>
      </c>
    </row>
    <row r="2294" spans="1:7" x14ac:dyDescent="0.3">
      <c r="A2294" t="s">
        <v>11985</v>
      </c>
      <c r="B2294" t="s">
        <v>12214</v>
      </c>
      <c r="E2294" t="s">
        <v>12076</v>
      </c>
      <c r="G2294" s="17" t="s">
        <v>32</v>
      </c>
    </row>
    <row r="2295" spans="1:7" x14ac:dyDescent="0.3">
      <c r="A2295" t="s">
        <v>11985</v>
      </c>
      <c r="B2295" t="s">
        <v>12214</v>
      </c>
      <c r="E2295" t="s">
        <v>12076</v>
      </c>
      <c r="G2295" s="17" t="s">
        <v>32</v>
      </c>
    </row>
    <row r="2296" spans="1:7" x14ac:dyDescent="0.3">
      <c r="A2296" t="s">
        <v>11985</v>
      </c>
      <c r="B2296" t="s">
        <v>12214</v>
      </c>
      <c r="E2296" t="s">
        <v>12076</v>
      </c>
      <c r="G2296" s="17" t="s">
        <v>32</v>
      </c>
    </row>
    <row r="2297" spans="1:7" x14ac:dyDescent="0.3">
      <c r="A2297" t="s">
        <v>11985</v>
      </c>
      <c r="B2297" t="s">
        <v>12215</v>
      </c>
      <c r="E2297" t="s">
        <v>12076</v>
      </c>
      <c r="G2297" s="17" t="s">
        <v>32</v>
      </c>
    </row>
    <row r="2298" spans="1:7" x14ac:dyDescent="0.3">
      <c r="A2298" t="s">
        <v>11985</v>
      </c>
      <c r="B2298" t="s">
        <v>12215</v>
      </c>
      <c r="E2298" t="s">
        <v>12076</v>
      </c>
      <c r="G2298" s="17" t="s">
        <v>32</v>
      </c>
    </row>
    <row r="2299" spans="1:7" x14ac:dyDescent="0.3">
      <c r="A2299" t="s">
        <v>11985</v>
      </c>
      <c r="B2299" t="s">
        <v>12215</v>
      </c>
      <c r="E2299" t="s">
        <v>12076</v>
      </c>
      <c r="G2299" s="17" t="s">
        <v>32</v>
      </c>
    </row>
    <row r="2300" spans="1:7" x14ac:dyDescent="0.3">
      <c r="A2300" t="s">
        <v>11985</v>
      </c>
      <c r="B2300" t="s">
        <v>12215</v>
      </c>
      <c r="E2300" t="s">
        <v>12076</v>
      </c>
      <c r="G2300" s="17" t="s">
        <v>32</v>
      </c>
    </row>
    <row r="2301" spans="1:7" x14ac:dyDescent="0.3">
      <c r="A2301" t="s">
        <v>11985</v>
      </c>
      <c r="B2301" t="s">
        <v>12215</v>
      </c>
      <c r="E2301" t="s">
        <v>12076</v>
      </c>
      <c r="G2301" s="17" t="s">
        <v>32</v>
      </c>
    </row>
    <row r="2302" spans="1:7" x14ac:dyDescent="0.3">
      <c r="A2302" t="s">
        <v>11985</v>
      </c>
      <c r="B2302" t="s">
        <v>12215</v>
      </c>
      <c r="E2302" t="s">
        <v>12076</v>
      </c>
      <c r="G2302" s="17" t="s">
        <v>32</v>
      </c>
    </row>
    <row r="2303" spans="1:7" x14ac:dyDescent="0.3">
      <c r="A2303" t="s">
        <v>11985</v>
      </c>
      <c r="B2303" t="s">
        <v>12215</v>
      </c>
      <c r="E2303" t="s">
        <v>12076</v>
      </c>
      <c r="G2303" s="17" t="s">
        <v>32</v>
      </c>
    </row>
    <row r="2304" spans="1:7" x14ac:dyDescent="0.3">
      <c r="A2304" t="s">
        <v>11985</v>
      </c>
      <c r="B2304" t="s">
        <v>12215</v>
      </c>
      <c r="E2304" t="s">
        <v>12076</v>
      </c>
      <c r="G2304" s="17" t="s">
        <v>32</v>
      </c>
    </row>
    <row r="2305" spans="1:7" x14ac:dyDescent="0.3">
      <c r="A2305" t="s">
        <v>11985</v>
      </c>
      <c r="B2305" t="s">
        <v>12215</v>
      </c>
      <c r="E2305" t="s">
        <v>12076</v>
      </c>
      <c r="G2305" s="17" t="s">
        <v>32</v>
      </c>
    </row>
    <row r="2306" spans="1:7" x14ac:dyDescent="0.3">
      <c r="A2306" t="s">
        <v>11985</v>
      </c>
      <c r="B2306" t="s">
        <v>12215</v>
      </c>
      <c r="E2306" t="s">
        <v>12076</v>
      </c>
      <c r="G2306" s="17" t="s">
        <v>32</v>
      </c>
    </row>
    <row r="2307" spans="1:7" x14ac:dyDescent="0.3">
      <c r="A2307" t="s">
        <v>11985</v>
      </c>
      <c r="B2307" t="s">
        <v>12215</v>
      </c>
      <c r="E2307" t="s">
        <v>12076</v>
      </c>
      <c r="G2307" s="17" t="s">
        <v>32</v>
      </c>
    </row>
    <row r="2308" spans="1:7" x14ac:dyDescent="0.3">
      <c r="A2308" t="s">
        <v>11985</v>
      </c>
      <c r="B2308" t="s">
        <v>12216</v>
      </c>
      <c r="E2308" t="s">
        <v>12076</v>
      </c>
      <c r="G2308" s="17" t="s">
        <v>32</v>
      </c>
    </row>
    <row r="2309" spans="1:7" x14ac:dyDescent="0.3">
      <c r="A2309" t="s">
        <v>11985</v>
      </c>
      <c r="B2309" t="s">
        <v>12216</v>
      </c>
      <c r="E2309" t="s">
        <v>12076</v>
      </c>
      <c r="G2309" s="17" t="s">
        <v>32</v>
      </c>
    </row>
    <row r="2310" spans="1:7" x14ac:dyDescent="0.3">
      <c r="A2310" t="s">
        <v>11985</v>
      </c>
      <c r="B2310" t="s">
        <v>12216</v>
      </c>
      <c r="E2310" t="s">
        <v>12076</v>
      </c>
      <c r="G2310" s="17" t="s">
        <v>32</v>
      </c>
    </row>
    <row r="2311" spans="1:7" x14ac:dyDescent="0.3">
      <c r="A2311" t="s">
        <v>11985</v>
      </c>
      <c r="B2311" t="s">
        <v>12216</v>
      </c>
      <c r="E2311" t="s">
        <v>12076</v>
      </c>
      <c r="G2311" s="17" t="s">
        <v>32</v>
      </c>
    </row>
    <row r="2312" spans="1:7" x14ac:dyDescent="0.3">
      <c r="A2312" t="s">
        <v>11985</v>
      </c>
      <c r="B2312" t="s">
        <v>12216</v>
      </c>
      <c r="E2312" t="s">
        <v>12076</v>
      </c>
      <c r="G2312" s="17" t="s">
        <v>32</v>
      </c>
    </row>
    <row r="2313" spans="1:7" x14ac:dyDescent="0.3">
      <c r="A2313" t="s">
        <v>11985</v>
      </c>
      <c r="B2313" t="s">
        <v>12216</v>
      </c>
      <c r="E2313" t="s">
        <v>12076</v>
      </c>
      <c r="G2313" s="17" t="s">
        <v>32</v>
      </c>
    </row>
    <row r="2314" spans="1:7" x14ac:dyDescent="0.3">
      <c r="A2314" t="s">
        <v>11985</v>
      </c>
      <c r="B2314" t="s">
        <v>12216</v>
      </c>
      <c r="E2314" t="s">
        <v>12076</v>
      </c>
      <c r="G2314" s="17" t="s">
        <v>32</v>
      </c>
    </row>
    <row r="2315" spans="1:7" x14ac:dyDescent="0.3">
      <c r="A2315" t="s">
        <v>11985</v>
      </c>
      <c r="B2315" t="s">
        <v>12216</v>
      </c>
      <c r="E2315" t="s">
        <v>12076</v>
      </c>
      <c r="G2315" s="17" t="s">
        <v>32</v>
      </c>
    </row>
    <row r="2316" spans="1:7" x14ac:dyDescent="0.3">
      <c r="A2316" t="s">
        <v>11985</v>
      </c>
      <c r="B2316" t="s">
        <v>12216</v>
      </c>
      <c r="E2316" t="s">
        <v>12076</v>
      </c>
      <c r="G2316" s="17" t="s">
        <v>32</v>
      </c>
    </row>
    <row r="2317" spans="1:7" x14ac:dyDescent="0.3">
      <c r="A2317" t="s">
        <v>11985</v>
      </c>
      <c r="B2317" t="s">
        <v>12216</v>
      </c>
      <c r="E2317" t="s">
        <v>12076</v>
      </c>
      <c r="G2317" s="17" t="s">
        <v>32</v>
      </c>
    </row>
    <row r="2318" spans="1:7" x14ac:dyDescent="0.3">
      <c r="A2318" t="s">
        <v>11985</v>
      </c>
      <c r="B2318" t="s">
        <v>12216</v>
      </c>
      <c r="E2318" t="s">
        <v>12076</v>
      </c>
      <c r="G2318" s="17" t="s">
        <v>32</v>
      </c>
    </row>
    <row r="2319" spans="1:7" x14ac:dyDescent="0.3">
      <c r="A2319" t="s">
        <v>11985</v>
      </c>
      <c r="B2319" t="s">
        <v>12217</v>
      </c>
      <c r="E2319" t="s">
        <v>11996</v>
      </c>
      <c r="G2319" s="17" t="s">
        <v>32</v>
      </c>
    </row>
    <row r="2320" spans="1:7" x14ac:dyDescent="0.3">
      <c r="A2320" t="s">
        <v>11985</v>
      </c>
      <c r="B2320" t="s">
        <v>12217</v>
      </c>
      <c r="E2320" t="s">
        <v>11996</v>
      </c>
      <c r="G2320" s="17" t="s">
        <v>32</v>
      </c>
    </row>
    <row r="2321" spans="1:7" x14ac:dyDescent="0.3">
      <c r="A2321" t="s">
        <v>11985</v>
      </c>
      <c r="B2321" t="s">
        <v>12217</v>
      </c>
      <c r="E2321" t="s">
        <v>11996</v>
      </c>
      <c r="G2321" s="17" t="s">
        <v>32</v>
      </c>
    </row>
    <row r="2322" spans="1:7" x14ac:dyDescent="0.3">
      <c r="A2322" t="s">
        <v>11985</v>
      </c>
      <c r="B2322" t="s">
        <v>12217</v>
      </c>
      <c r="E2322" t="s">
        <v>11996</v>
      </c>
      <c r="G2322" s="17" t="s">
        <v>32</v>
      </c>
    </row>
    <row r="2323" spans="1:7" x14ac:dyDescent="0.3">
      <c r="A2323" t="s">
        <v>11985</v>
      </c>
      <c r="B2323" t="s">
        <v>12217</v>
      </c>
      <c r="E2323" t="s">
        <v>11996</v>
      </c>
      <c r="G2323" s="17" t="s">
        <v>32</v>
      </c>
    </row>
    <row r="2324" spans="1:7" x14ac:dyDescent="0.3">
      <c r="A2324" t="s">
        <v>11985</v>
      </c>
      <c r="B2324" t="s">
        <v>12217</v>
      </c>
      <c r="E2324" t="s">
        <v>11996</v>
      </c>
      <c r="G2324" s="17" t="s">
        <v>32</v>
      </c>
    </row>
    <row r="2325" spans="1:7" x14ac:dyDescent="0.3">
      <c r="A2325" t="s">
        <v>11985</v>
      </c>
      <c r="B2325" t="s">
        <v>12217</v>
      </c>
      <c r="E2325" t="s">
        <v>11996</v>
      </c>
      <c r="G2325" s="17" t="s">
        <v>32</v>
      </c>
    </row>
    <row r="2326" spans="1:7" x14ac:dyDescent="0.3">
      <c r="A2326" t="s">
        <v>11985</v>
      </c>
      <c r="B2326" t="s">
        <v>12217</v>
      </c>
      <c r="E2326" t="s">
        <v>11996</v>
      </c>
      <c r="G2326" s="17" t="s">
        <v>32</v>
      </c>
    </row>
    <row r="2327" spans="1:7" x14ac:dyDescent="0.3">
      <c r="A2327" t="s">
        <v>11985</v>
      </c>
      <c r="B2327" t="s">
        <v>12217</v>
      </c>
      <c r="E2327" t="s">
        <v>11996</v>
      </c>
      <c r="G2327" s="17" t="s">
        <v>32</v>
      </c>
    </row>
    <row r="2328" spans="1:7" x14ac:dyDescent="0.3">
      <c r="A2328" t="s">
        <v>11985</v>
      </c>
      <c r="B2328" t="s">
        <v>12217</v>
      </c>
      <c r="E2328" t="s">
        <v>11996</v>
      </c>
      <c r="G2328" s="17" t="s">
        <v>32</v>
      </c>
    </row>
    <row r="2329" spans="1:7" x14ac:dyDescent="0.3">
      <c r="A2329" t="s">
        <v>11985</v>
      </c>
      <c r="B2329" t="s">
        <v>12217</v>
      </c>
      <c r="E2329" t="s">
        <v>11996</v>
      </c>
      <c r="G2329" s="17" t="s">
        <v>32</v>
      </c>
    </row>
    <row r="2330" spans="1:7" x14ac:dyDescent="0.3">
      <c r="A2330" t="s">
        <v>11985</v>
      </c>
      <c r="B2330" t="s">
        <v>12218</v>
      </c>
      <c r="E2330" t="s">
        <v>11996</v>
      </c>
      <c r="G2330" s="17" t="s">
        <v>32</v>
      </c>
    </row>
    <row r="2331" spans="1:7" x14ac:dyDescent="0.3">
      <c r="A2331" t="s">
        <v>11985</v>
      </c>
      <c r="B2331" t="s">
        <v>12218</v>
      </c>
      <c r="E2331" t="s">
        <v>11996</v>
      </c>
      <c r="G2331" s="17" t="s">
        <v>32</v>
      </c>
    </row>
    <row r="2332" spans="1:7" x14ac:dyDescent="0.3">
      <c r="A2332" t="s">
        <v>11985</v>
      </c>
      <c r="B2332" t="s">
        <v>12218</v>
      </c>
      <c r="E2332" t="s">
        <v>11996</v>
      </c>
      <c r="G2332" s="17" t="s">
        <v>32</v>
      </c>
    </row>
    <row r="2333" spans="1:7" x14ac:dyDescent="0.3">
      <c r="A2333" t="s">
        <v>11985</v>
      </c>
      <c r="B2333" t="s">
        <v>12218</v>
      </c>
      <c r="E2333" t="s">
        <v>11996</v>
      </c>
      <c r="G2333" s="17" t="s">
        <v>32</v>
      </c>
    </row>
    <row r="2334" spans="1:7" x14ac:dyDescent="0.3">
      <c r="A2334" t="s">
        <v>11985</v>
      </c>
      <c r="B2334" t="s">
        <v>12218</v>
      </c>
      <c r="E2334" t="s">
        <v>11996</v>
      </c>
      <c r="G2334" s="17" t="s">
        <v>32</v>
      </c>
    </row>
    <row r="2335" spans="1:7" x14ac:dyDescent="0.3">
      <c r="A2335" t="s">
        <v>11985</v>
      </c>
      <c r="B2335" t="s">
        <v>12218</v>
      </c>
      <c r="E2335" t="s">
        <v>11996</v>
      </c>
      <c r="G2335" s="17" t="s">
        <v>32</v>
      </c>
    </row>
    <row r="2336" spans="1:7" x14ac:dyDescent="0.3">
      <c r="A2336" t="s">
        <v>11985</v>
      </c>
      <c r="B2336" t="s">
        <v>12218</v>
      </c>
      <c r="E2336" t="s">
        <v>11996</v>
      </c>
      <c r="G2336" s="17" t="s">
        <v>32</v>
      </c>
    </row>
    <row r="2337" spans="1:7" x14ac:dyDescent="0.3">
      <c r="A2337" t="s">
        <v>11985</v>
      </c>
      <c r="B2337" t="s">
        <v>12218</v>
      </c>
      <c r="E2337" t="s">
        <v>11996</v>
      </c>
      <c r="G2337" s="17" t="s">
        <v>32</v>
      </c>
    </row>
    <row r="2338" spans="1:7" x14ac:dyDescent="0.3">
      <c r="A2338" t="s">
        <v>11985</v>
      </c>
      <c r="B2338" t="s">
        <v>12218</v>
      </c>
      <c r="E2338" t="s">
        <v>11996</v>
      </c>
      <c r="G2338" s="17" t="s">
        <v>32</v>
      </c>
    </row>
    <row r="2339" spans="1:7" x14ac:dyDescent="0.3">
      <c r="A2339" t="s">
        <v>11985</v>
      </c>
      <c r="B2339" t="s">
        <v>12218</v>
      </c>
      <c r="E2339" t="s">
        <v>11996</v>
      </c>
      <c r="G2339" s="17" t="s">
        <v>32</v>
      </c>
    </row>
    <row r="2340" spans="1:7" x14ac:dyDescent="0.3">
      <c r="A2340" t="s">
        <v>11985</v>
      </c>
      <c r="B2340" t="s">
        <v>12218</v>
      </c>
      <c r="E2340" t="s">
        <v>11996</v>
      </c>
      <c r="G2340" s="17" t="s">
        <v>32</v>
      </c>
    </row>
    <row r="2341" spans="1:7" x14ac:dyDescent="0.3">
      <c r="A2341" t="s">
        <v>11985</v>
      </c>
      <c r="B2341" t="s">
        <v>12219</v>
      </c>
      <c r="E2341" t="s">
        <v>11996</v>
      </c>
      <c r="G2341" s="17" t="s">
        <v>32</v>
      </c>
    </row>
    <row r="2342" spans="1:7" x14ac:dyDescent="0.3">
      <c r="A2342" t="s">
        <v>11985</v>
      </c>
      <c r="B2342" t="s">
        <v>12219</v>
      </c>
      <c r="E2342" t="s">
        <v>11996</v>
      </c>
      <c r="G2342" s="17" t="s">
        <v>32</v>
      </c>
    </row>
    <row r="2343" spans="1:7" x14ac:dyDescent="0.3">
      <c r="A2343" t="s">
        <v>11985</v>
      </c>
      <c r="B2343" t="s">
        <v>12219</v>
      </c>
      <c r="E2343" t="s">
        <v>11996</v>
      </c>
      <c r="G2343" s="17" t="s">
        <v>32</v>
      </c>
    </row>
    <row r="2344" spans="1:7" x14ac:dyDescent="0.3">
      <c r="A2344" t="s">
        <v>11985</v>
      </c>
      <c r="B2344" t="s">
        <v>12219</v>
      </c>
      <c r="E2344" t="s">
        <v>11996</v>
      </c>
      <c r="G2344" s="17" t="s">
        <v>32</v>
      </c>
    </row>
    <row r="2345" spans="1:7" x14ac:dyDescent="0.3">
      <c r="A2345" t="s">
        <v>11985</v>
      </c>
      <c r="B2345" t="s">
        <v>12219</v>
      </c>
      <c r="E2345" t="s">
        <v>11996</v>
      </c>
      <c r="G2345" s="17" t="s">
        <v>32</v>
      </c>
    </row>
    <row r="2346" spans="1:7" x14ac:dyDescent="0.3">
      <c r="A2346" t="s">
        <v>11985</v>
      </c>
      <c r="B2346" t="s">
        <v>12219</v>
      </c>
      <c r="E2346" t="s">
        <v>11996</v>
      </c>
      <c r="G2346" s="17" t="s">
        <v>32</v>
      </c>
    </row>
    <row r="2347" spans="1:7" x14ac:dyDescent="0.3">
      <c r="A2347" t="s">
        <v>11985</v>
      </c>
      <c r="B2347" t="s">
        <v>12219</v>
      </c>
      <c r="E2347" t="s">
        <v>11996</v>
      </c>
      <c r="G2347" s="17" t="s">
        <v>32</v>
      </c>
    </row>
    <row r="2348" spans="1:7" x14ac:dyDescent="0.3">
      <c r="A2348" t="s">
        <v>11985</v>
      </c>
      <c r="B2348" t="s">
        <v>12219</v>
      </c>
      <c r="E2348" t="s">
        <v>11996</v>
      </c>
      <c r="G2348" s="17" t="s">
        <v>32</v>
      </c>
    </row>
    <row r="2349" spans="1:7" x14ac:dyDescent="0.3">
      <c r="A2349" t="s">
        <v>11985</v>
      </c>
      <c r="B2349" t="s">
        <v>12219</v>
      </c>
      <c r="E2349" t="s">
        <v>11996</v>
      </c>
      <c r="G2349" s="17" t="s">
        <v>32</v>
      </c>
    </row>
    <row r="2350" spans="1:7" x14ac:dyDescent="0.3">
      <c r="A2350" t="s">
        <v>11985</v>
      </c>
      <c r="B2350" t="s">
        <v>12219</v>
      </c>
      <c r="E2350" t="s">
        <v>11996</v>
      </c>
      <c r="G2350" s="17" t="s">
        <v>32</v>
      </c>
    </row>
    <row r="2351" spans="1:7" x14ac:dyDescent="0.3">
      <c r="A2351" t="s">
        <v>11985</v>
      </c>
      <c r="B2351" t="s">
        <v>12219</v>
      </c>
      <c r="E2351" t="s">
        <v>11996</v>
      </c>
      <c r="G2351" s="17" t="s">
        <v>32</v>
      </c>
    </row>
    <row r="2352" spans="1:7" x14ac:dyDescent="0.3">
      <c r="A2352" t="s">
        <v>11985</v>
      </c>
      <c r="B2352" t="s">
        <v>12220</v>
      </c>
      <c r="E2352" t="s">
        <v>11996</v>
      </c>
      <c r="G2352" s="17" t="s">
        <v>32</v>
      </c>
    </row>
    <row r="2353" spans="1:7" x14ac:dyDescent="0.3">
      <c r="A2353" t="s">
        <v>11985</v>
      </c>
      <c r="B2353" t="s">
        <v>12220</v>
      </c>
      <c r="E2353" t="s">
        <v>11996</v>
      </c>
      <c r="G2353" s="17" t="s">
        <v>32</v>
      </c>
    </row>
    <row r="2354" spans="1:7" x14ac:dyDescent="0.3">
      <c r="A2354" t="s">
        <v>11985</v>
      </c>
      <c r="B2354" t="s">
        <v>12220</v>
      </c>
      <c r="E2354" t="s">
        <v>11996</v>
      </c>
      <c r="G2354" s="17" t="s">
        <v>32</v>
      </c>
    </row>
    <row r="2355" spans="1:7" x14ac:dyDescent="0.3">
      <c r="A2355" t="s">
        <v>11985</v>
      </c>
      <c r="B2355" t="s">
        <v>12220</v>
      </c>
      <c r="E2355" t="s">
        <v>11996</v>
      </c>
      <c r="G2355" s="17" t="s">
        <v>32</v>
      </c>
    </row>
    <row r="2356" spans="1:7" x14ac:dyDescent="0.3">
      <c r="A2356" t="s">
        <v>11985</v>
      </c>
      <c r="B2356" t="s">
        <v>12220</v>
      </c>
      <c r="E2356" t="s">
        <v>11996</v>
      </c>
      <c r="G2356" s="17" t="s">
        <v>32</v>
      </c>
    </row>
    <row r="2357" spans="1:7" x14ac:dyDescent="0.3">
      <c r="A2357" t="s">
        <v>11985</v>
      </c>
      <c r="B2357" t="s">
        <v>12220</v>
      </c>
      <c r="E2357" t="s">
        <v>11996</v>
      </c>
      <c r="G2357" s="17" t="s">
        <v>32</v>
      </c>
    </row>
    <row r="2358" spans="1:7" x14ac:dyDescent="0.3">
      <c r="A2358" t="s">
        <v>11985</v>
      </c>
      <c r="B2358" t="s">
        <v>12220</v>
      </c>
      <c r="E2358" t="s">
        <v>11996</v>
      </c>
      <c r="G2358" s="17" t="s">
        <v>32</v>
      </c>
    </row>
    <row r="2359" spans="1:7" x14ac:dyDescent="0.3">
      <c r="A2359" t="s">
        <v>11985</v>
      </c>
      <c r="B2359" t="s">
        <v>12220</v>
      </c>
      <c r="E2359" t="s">
        <v>11996</v>
      </c>
      <c r="G2359" s="17" t="s">
        <v>32</v>
      </c>
    </row>
    <row r="2360" spans="1:7" x14ac:dyDescent="0.3">
      <c r="A2360" t="s">
        <v>11985</v>
      </c>
      <c r="B2360" t="s">
        <v>12220</v>
      </c>
      <c r="E2360" t="s">
        <v>11996</v>
      </c>
      <c r="G2360" s="17" t="s">
        <v>32</v>
      </c>
    </row>
    <row r="2361" spans="1:7" x14ac:dyDescent="0.3">
      <c r="A2361" t="s">
        <v>11985</v>
      </c>
      <c r="B2361" t="s">
        <v>12220</v>
      </c>
      <c r="E2361" t="s">
        <v>11996</v>
      </c>
      <c r="G2361" s="17" t="s">
        <v>32</v>
      </c>
    </row>
    <row r="2362" spans="1:7" x14ac:dyDescent="0.3">
      <c r="A2362" t="s">
        <v>11985</v>
      </c>
      <c r="B2362" t="s">
        <v>12220</v>
      </c>
      <c r="E2362" t="s">
        <v>11996</v>
      </c>
      <c r="G2362" s="17" t="s">
        <v>32</v>
      </c>
    </row>
    <row r="2363" spans="1:7" x14ac:dyDescent="0.3">
      <c r="A2363" t="s">
        <v>11985</v>
      </c>
      <c r="B2363" t="s">
        <v>12221</v>
      </c>
      <c r="E2363" t="s">
        <v>12016</v>
      </c>
      <c r="G2363" s="17" t="s">
        <v>32</v>
      </c>
    </row>
    <row r="2364" spans="1:7" ht="28.8" x14ac:dyDescent="0.3">
      <c r="A2364" t="s">
        <v>11985</v>
      </c>
      <c r="B2364" t="s">
        <v>12222</v>
      </c>
      <c r="C2364" s="20" t="s">
        <v>12223</v>
      </c>
      <c r="E2364" t="s">
        <v>12224</v>
      </c>
      <c r="G2364" s="17" t="s">
        <v>32</v>
      </c>
    </row>
    <row r="2365" spans="1:7" x14ac:dyDescent="0.3">
      <c r="A2365" t="s">
        <v>11985</v>
      </c>
      <c r="B2365" t="s">
        <v>12225</v>
      </c>
      <c r="E2365" t="s">
        <v>12109</v>
      </c>
      <c r="G2365" s="17" t="s">
        <v>32</v>
      </c>
    </row>
    <row r="2366" spans="1:7" ht="100.8" x14ac:dyDescent="0.3">
      <c r="A2366" t="s">
        <v>11985</v>
      </c>
      <c r="B2366" t="s">
        <v>12226</v>
      </c>
      <c r="C2366" s="20" t="s">
        <v>12227</v>
      </c>
      <c r="E2366" t="s">
        <v>12228</v>
      </c>
      <c r="G2366" s="17" t="s">
        <v>32</v>
      </c>
    </row>
    <row r="2367" spans="1:7" ht="43.2" x14ac:dyDescent="0.3">
      <c r="A2367" t="s">
        <v>11985</v>
      </c>
      <c r="B2367" t="s">
        <v>12229</v>
      </c>
      <c r="C2367" s="20" t="s">
        <v>12414</v>
      </c>
      <c r="E2367" t="s">
        <v>12230</v>
      </c>
      <c r="G2367" s="17" t="s">
        <v>32</v>
      </c>
    </row>
    <row r="2368" spans="1:7" ht="57.6" x14ac:dyDescent="0.3">
      <c r="A2368" t="s">
        <v>11985</v>
      </c>
      <c r="B2368" t="s">
        <v>12231</v>
      </c>
      <c r="C2368" s="20" t="s">
        <v>12232</v>
      </c>
      <c r="E2368" t="s">
        <v>12233</v>
      </c>
      <c r="G2368" s="17" t="s">
        <v>32</v>
      </c>
    </row>
    <row r="2369" spans="1:7" ht="28.8" x14ac:dyDescent="0.3">
      <c r="A2369" t="s">
        <v>11985</v>
      </c>
      <c r="B2369" t="s">
        <v>12234</v>
      </c>
      <c r="C2369" s="20" t="s">
        <v>12415</v>
      </c>
      <c r="E2369" t="s">
        <v>12235</v>
      </c>
      <c r="G2369" s="17" t="s">
        <v>32</v>
      </c>
    </row>
    <row r="2370" spans="1:7" ht="28.8" x14ac:dyDescent="0.3">
      <c r="A2370" t="s">
        <v>11985</v>
      </c>
      <c r="B2370" t="s">
        <v>12236</v>
      </c>
      <c r="C2370" s="20" t="s">
        <v>12416</v>
      </c>
      <c r="E2370" t="s">
        <v>12237</v>
      </c>
      <c r="G2370" s="17" t="s">
        <v>32</v>
      </c>
    </row>
    <row r="2371" spans="1:7" x14ac:dyDescent="0.3">
      <c r="A2371" t="s">
        <v>11985</v>
      </c>
      <c r="B2371" t="s">
        <v>12238</v>
      </c>
      <c r="C2371" s="20" t="s">
        <v>12018</v>
      </c>
      <c r="E2371" t="s">
        <v>12115</v>
      </c>
      <c r="G2371" s="17" t="s">
        <v>32</v>
      </c>
    </row>
    <row r="2372" spans="1:7" x14ac:dyDescent="0.3">
      <c r="A2372" t="s">
        <v>11985</v>
      </c>
      <c r="B2372" t="s">
        <v>12239</v>
      </c>
      <c r="E2372" t="s">
        <v>11996</v>
      </c>
      <c r="G2372" s="17" t="s">
        <v>32</v>
      </c>
    </row>
    <row r="2373" spans="1:7" x14ac:dyDescent="0.3">
      <c r="A2373" t="s">
        <v>11985</v>
      </c>
      <c r="B2373" t="s">
        <v>12239</v>
      </c>
      <c r="E2373" t="s">
        <v>11996</v>
      </c>
      <c r="G2373" s="17" t="s">
        <v>32</v>
      </c>
    </row>
    <row r="2374" spans="1:7" x14ac:dyDescent="0.3">
      <c r="A2374" t="s">
        <v>11985</v>
      </c>
      <c r="B2374" t="s">
        <v>12240</v>
      </c>
      <c r="E2374" t="s">
        <v>12003</v>
      </c>
      <c r="G2374" s="17" t="s">
        <v>32</v>
      </c>
    </row>
    <row r="2375" spans="1:7" x14ac:dyDescent="0.3">
      <c r="A2375" t="s">
        <v>11985</v>
      </c>
      <c r="B2375" t="s">
        <v>12241</v>
      </c>
      <c r="C2375" s="20" t="s">
        <v>12242</v>
      </c>
      <c r="E2375" t="s">
        <v>12006</v>
      </c>
      <c r="G2375" s="17" t="s">
        <v>32</v>
      </c>
    </row>
    <row r="2376" spans="1:7" x14ac:dyDescent="0.3">
      <c r="A2376" t="s">
        <v>11985</v>
      </c>
      <c r="B2376" t="s">
        <v>12243</v>
      </c>
      <c r="C2376" s="20" t="s">
        <v>12244</v>
      </c>
      <c r="E2376" t="s">
        <v>12006</v>
      </c>
      <c r="G2376" s="17" t="s">
        <v>32</v>
      </c>
    </row>
    <row r="2377" spans="1:7" ht="28.8" x14ac:dyDescent="0.3">
      <c r="A2377" t="s">
        <v>11985</v>
      </c>
      <c r="B2377" t="s">
        <v>12245</v>
      </c>
      <c r="C2377" s="20" t="s">
        <v>12246</v>
      </c>
      <c r="E2377" t="s">
        <v>11996</v>
      </c>
      <c r="G2377" s="17" t="s">
        <v>32</v>
      </c>
    </row>
    <row r="2378" spans="1:7" x14ac:dyDescent="0.3">
      <c r="A2378" t="s">
        <v>11985</v>
      </c>
      <c r="B2378" t="s">
        <v>12247</v>
      </c>
      <c r="E2378" t="s">
        <v>12248</v>
      </c>
      <c r="G2378" s="17" t="s">
        <v>32</v>
      </c>
    </row>
    <row r="2379" spans="1:7" ht="57.6" x14ac:dyDescent="0.3">
      <c r="A2379" t="s">
        <v>11985</v>
      </c>
      <c r="B2379" t="s">
        <v>12249</v>
      </c>
      <c r="C2379" s="20" t="s">
        <v>12250</v>
      </c>
      <c r="E2379" t="s">
        <v>12076</v>
      </c>
      <c r="G2379" s="17" t="s">
        <v>32</v>
      </c>
    </row>
    <row r="2380" spans="1:7" ht="72" x14ac:dyDescent="0.3">
      <c r="A2380" t="s">
        <v>11985</v>
      </c>
      <c r="B2380" t="s">
        <v>12251</v>
      </c>
      <c r="C2380" s="20" t="s">
        <v>12252</v>
      </c>
      <c r="E2380" t="s">
        <v>11996</v>
      </c>
      <c r="G2380" s="17" t="s">
        <v>32</v>
      </c>
    </row>
    <row r="2381" spans="1:7" ht="43.2" x14ac:dyDescent="0.3">
      <c r="A2381" t="s">
        <v>11985</v>
      </c>
      <c r="B2381" t="s">
        <v>12253</v>
      </c>
      <c r="C2381" s="20" t="s">
        <v>12254</v>
      </c>
      <c r="E2381" t="s">
        <v>11996</v>
      </c>
      <c r="G2381" s="17" t="s">
        <v>32</v>
      </c>
    </row>
    <row r="2382" spans="1:7" ht="28.8" x14ac:dyDescent="0.3">
      <c r="A2382" t="s">
        <v>11985</v>
      </c>
      <c r="B2382" t="s">
        <v>12255</v>
      </c>
      <c r="C2382" s="20" t="s">
        <v>12256</v>
      </c>
      <c r="E2382" t="s">
        <v>12076</v>
      </c>
      <c r="G2382" s="17" t="s">
        <v>32</v>
      </c>
    </row>
    <row r="2383" spans="1:7" x14ac:dyDescent="0.3">
      <c r="A2383" t="s">
        <v>11985</v>
      </c>
      <c r="B2383" t="s">
        <v>12257</v>
      </c>
      <c r="C2383" s="20" t="s">
        <v>12258</v>
      </c>
      <c r="E2383" t="s">
        <v>12006</v>
      </c>
      <c r="G2383" s="17" t="s">
        <v>32</v>
      </c>
    </row>
    <row r="2384" spans="1:7" x14ac:dyDescent="0.3">
      <c r="A2384" t="s">
        <v>11985</v>
      </c>
      <c r="B2384" t="s">
        <v>12259</v>
      </c>
      <c r="C2384" s="20" t="s">
        <v>12260</v>
      </c>
      <c r="E2384" t="s">
        <v>12076</v>
      </c>
      <c r="G2384" s="17" t="s">
        <v>32</v>
      </c>
    </row>
    <row r="2385" spans="1:7" ht="28.8" x14ac:dyDescent="0.3">
      <c r="A2385" t="s">
        <v>11985</v>
      </c>
      <c r="B2385" t="s">
        <v>12261</v>
      </c>
      <c r="C2385" s="20" t="s">
        <v>12262</v>
      </c>
      <c r="E2385" t="s">
        <v>11996</v>
      </c>
      <c r="G2385" s="17" t="s">
        <v>32</v>
      </c>
    </row>
    <row r="2386" spans="1:7" ht="43.2" x14ac:dyDescent="0.3">
      <c r="A2386" t="s">
        <v>11985</v>
      </c>
      <c r="B2386" t="s">
        <v>12263</v>
      </c>
      <c r="C2386" s="20" t="s">
        <v>12264</v>
      </c>
      <c r="E2386" t="s">
        <v>11996</v>
      </c>
      <c r="G2386" s="17" t="s">
        <v>32</v>
      </c>
    </row>
    <row r="2387" spans="1:7" ht="28.8" x14ac:dyDescent="0.3">
      <c r="A2387" t="s">
        <v>11985</v>
      </c>
      <c r="B2387" t="s">
        <v>12265</v>
      </c>
      <c r="C2387" s="20" t="s">
        <v>12266</v>
      </c>
      <c r="E2387" t="s">
        <v>11996</v>
      </c>
      <c r="G2387" s="17" t="s">
        <v>32</v>
      </c>
    </row>
    <row r="2388" spans="1:7" ht="72" x14ac:dyDescent="0.3">
      <c r="A2388" t="s">
        <v>11985</v>
      </c>
      <c r="B2388" t="s">
        <v>12267</v>
      </c>
      <c r="C2388" s="20" t="s">
        <v>12268</v>
      </c>
      <c r="E2388" t="s">
        <v>12042</v>
      </c>
      <c r="G2388" s="17" t="s">
        <v>32</v>
      </c>
    </row>
    <row r="2389" spans="1:7" ht="72" x14ac:dyDescent="0.3">
      <c r="A2389" t="s">
        <v>11985</v>
      </c>
      <c r="B2389" t="s">
        <v>12267</v>
      </c>
      <c r="C2389" s="20" t="s">
        <v>12268</v>
      </c>
      <c r="E2389" t="s">
        <v>12042</v>
      </c>
      <c r="G2389" s="17" t="s">
        <v>32</v>
      </c>
    </row>
    <row r="2390" spans="1:7" ht="28.8" x14ac:dyDescent="0.3">
      <c r="A2390" t="s">
        <v>11985</v>
      </c>
      <c r="B2390" t="s">
        <v>12269</v>
      </c>
      <c r="C2390" s="20" t="s">
        <v>12270</v>
      </c>
      <c r="E2390" t="s">
        <v>12016</v>
      </c>
      <c r="G2390" s="17" t="s">
        <v>32</v>
      </c>
    </row>
    <row r="2391" spans="1:7" ht="28.8" x14ac:dyDescent="0.3">
      <c r="A2391" t="s">
        <v>11985</v>
      </c>
      <c r="B2391" t="s">
        <v>12269</v>
      </c>
      <c r="C2391" s="20" t="s">
        <v>12270</v>
      </c>
      <c r="E2391" t="s">
        <v>12016</v>
      </c>
      <c r="G2391" s="17" t="s">
        <v>32</v>
      </c>
    </row>
    <row r="2392" spans="1:7" ht="28.8" x14ac:dyDescent="0.3">
      <c r="A2392" t="s">
        <v>11985</v>
      </c>
      <c r="B2392" t="s">
        <v>12271</v>
      </c>
      <c r="C2392" s="20" t="s">
        <v>12272</v>
      </c>
      <c r="E2392" t="s">
        <v>12079</v>
      </c>
      <c r="G2392" s="17" t="s">
        <v>32</v>
      </c>
    </row>
    <row r="2393" spans="1:7" ht="28.8" x14ac:dyDescent="0.3">
      <c r="A2393" t="s">
        <v>11985</v>
      </c>
      <c r="B2393" t="s">
        <v>12271</v>
      </c>
      <c r="C2393" s="20" t="s">
        <v>12272</v>
      </c>
      <c r="E2393" t="s">
        <v>12079</v>
      </c>
      <c r="G2393" s="17" t="s">
        <v>32</v>
      </c>
    </row>
    <row r="2394" spans="1:7" x14ac:dyDescent="0.3">
      <c r="A2394" t="s">
        <v>11985</v>
      </c>
      <c r="B2394" t="s">
        <v>12273</v>
      </c>
      <c r="C2394" s="20" t="s">
        <v>12274</v>
      </c>
      <c r="E2394" t="s">
        <v>12275</v>
      </c>
      <c r="G2394" s="17" t="s">
        <v>32</v>
      </c>
    </row>
    <row r="2395" spans="1:7" x14ac:dyDescent="0.3">
      <c r="A2395" t="s">
        <v>11985</v>
      </c>
      <c r="B2395" t="s">
        <v>12273</v>
      </c>
      <c r="C2395" s="20" t="s">
        <v>12274</v>
      </c>
      <c r="E2395" t="s">
        <v>12275</v>
      </c>
      <c r="G2395" s="17" t="s">
        <v>32</v>
      </c>
    </row>
    <row r="2396" spans="1:7" ht="100.8" x14ac:dyDescent="0.3">
      <c r="A2396" t="s">
        <v>11985</v>
      </c>
      <c r="B2396" t="s">
        <v>12276</v>
      </c>
      <c r="C2396" s="20" t="s">
        <v>12277</v>
      </c>
      <c r="E2396" t="s">
        <v>12042</v>
      </c>
      <c r="G2396" s="17" t="s">
        <v>32</v>
      </c>
    </row>
    <row r="2397" spans="1:7" ht="100.8" x14ac:dyDescent="0.3">
      <c r="A2397" t="s">
        <v>11985</v>
      </c>
      <c r="B2397" t="s">
        <v>12276</v>
      </c>
      <c r="C2397" s="20" t="s">
        <v>12277</v>
      </c>
      <c r="E2397" t="s">
        <v>12042</v>
      </c>
      <c r="G2397" s="17" t="s">
        <v>32</v>
      </c>
    </row>
    <row r="2398" spans="1:7" ht="28.8" x14ac:dyDescent="0.3">
      <c r="A2398" t="s">
        <v>11985</v>
      </c>
      <c r="B2398" t="s">
        <v>12278</v>
      </c>
      <c r="C2398" s="20" t="s">
        <v>12279</v>
      </c>
      <c r="E2398" t="s">
        <v>12016</v>
      </c>
      <c r="G2398" s="17" t="s">
        <v>32</v>
      </c>
    </row>
    <row r="2399" spans="1:7" ht="28.8" x14ac:dyDescent="0.3">
      <c r="A2399" t="s">
        <v>11985</v>
      </c>
      <c r="B2399" t="s">
        <v>12278</v>
      </c>
      <c r="C2399" s="20" t="s">
        <v>12279</v>
      </c>
      <c r="E2399" t="s">
        <v>12016</v>
      </c>
      <c r="G2399" s="17" t="s">
        <v>32</v>
      </c>
    </row>
    <row r="2400" spans="1:7" ht="72" x14ac:dyDescent="0.3">
      <c r="A2400" t="s">
        <v>11985</v>
      </c>
      <c r="B2400" t="s">
        <v>12280</v>
      </c>
      <c r="C2400" s="20" t="s">
        <v>12281</v>
      </c>
      <c r="E2400" t="s">
        <v>12042</v>
      </c>
      <c r="G2400" s="17" t="s">
        <v>32</v>
      </c>
    </row>
    <row r="2401" spans="1:7" ht="72" x14ac:dyDescent="0.3">
      <c r="A2401" t="s">
        <v>11985</v>
      </c>
      <c r="B2401" t="s">
        <v>12280</v>
      </c>
      <c r="C2401" s="20" t="s">
        <v>12281</v>
      </c>
      <c r="E2401" t="s">
        <v>12042</v>
      </c>
      <c r="G2401" s="17" t="s">
        <v>32</v>
      </c>
    </row>
    <row r="2402" spans="1:7" ht="28.8" x14ac:dyDescent="0.3">
      <c r="A2402" t="s">
        <v>11985</v>
      </c>
      <c r="B2402" t="s">
        <v>12282</v>
      </c>
      <c r="C2402" s="20" t="s">
        <v>12283</v>
      </c>
      <c r="E2402" t="s">
        <v>12016</v>
      </c>
      <c r="G2402" s="17" t="s">
        <v>32</v>
      </c>
    </row>
    <row r="2403" spans="1:7" ht="28.8" x14ac:dyDescent="0.3">
      <c r="A2403" t="s">
        <v>11985</v>
      </c>
      <c r="B2403" t="s">
        <v>12282</v>
      </c>
      <c r="C2403" s="20" t="s">
        <v>12283</v>
      </c>
      <c r="E2403" t="s">
        <v>12016</v>
      </c>
      <c r="G2403" s="17" t="s">
        <v>32</v>
      </c>
    </row>
    <row r="2404" spans="1:7" ht="28.8" x14ac:dyDescent="0.3">
      <c r="A2404" t="s">
        <v>11985</v>
      </c>
      <c r="B2404" t="s">
        <v>12284</v>
      </c>
      <c r="C2404" s="20" t="s">
        <v>12285</v>
      </c>
      <c r="E2404" t="s">
        <v>11996</v>
      </c>
      <c r="G2404" s="17" t="s">
        <v>32</v>
      </c>
    </row>
    <row r="2405" spans="1:7" x14ac:dyDescent="0.3">
      <c r="A2405" t="s">
        <v>11985</v>
      </c>
      <c r="B2405" t="s">
        <v>12286</v>
      </c>
      <c r="C2405" s="20" t="s">
        <v>12287</v>
      </c>
      <c r="E2405" t="s">
        <v>12186</v>
      </c>
      <c r="G2405" s="17" t="s">
        <v>32</v>
      </c>
    </row>
    <row r="2406" spans="1:7" x14ac:dyDescent="0.3">
      <c r="A2406" t="s">
        <v>11985</v>
      </c>
      <c r="B2406" t="s">
        <v>12288</v>
      </c>
      <c r="C2406" s="20" t="s">
        <v>12289</v>
      </c>
      <c r="E2406" t="s">
        <v>12290</v>
      </c>
      <c r="G2406" s="17" t="s">
        <v>32</v>
      </c>
    </row>
    <row r="2407" spans="1:7" ht="28.8" x14ac:dyDescent="0.3">
      <c r="A2407" t="s">
        <v>11985</v>
      </c>
      <c r="B2407" t="s">
        <v>12291</v>
      </c>
      <c r="C2407" s="20" t="s">
        <v>12292</v>
      </c>
      <c r="E2407" t="s">
        <v>12290</v>
      </c>
      <c r="G2407" s="17" t="s">
        <v>32</v>
      </c>
    </row>
    <row r="2408" spans="1:7" ht="28.8" x14ac:dyDescent="0.3">
      <c r="A2408" t="s">
        <v>11985</v>
      </c>
      <c r="B2408" t="s">
        <v>12293</v>
      </c>
      <c r="C2408" s="20" t="s">
        <v>12294</v>
      </c>
      <c r="E2408" t="s">
        <v>11996</v>
      </c>
      <c r="G2408" s="17" t="s">
        <v>32</v>
      </c>
    </row>
    <row r="2409" spans="1:7" ht="43.2" x14ac:dyDescent="0.3">
      <c r="A2409" t="s">
        <v>11985</v>
      </c>
      <c r="B2409" t="s">
        <v>12295</v>
      </c>
      <c r="C2409" s="20" t="s">
        <v>12296</v>
      </c>
      <c r="E2409" t="s">
        <v>12006</v>
      </c>
      <c r="G2409" s="17" t="s">
        <v>32</v>
      </c>
    </row>
    <row r="2410" spans="1:7" ht="28.8" x14ac:dyDescent="0.3">
      <c r="A2410" t="s">
        <v>11985</v>
      </c>
      <c r="B2410" t="s">
        <v>12297</v>
      </c>
      <c r="C2410" s="20" t="s">
        <v>12298</v>
      </c>
      <c r="E2410" t="s">
        <v>11996</v>
      </c>
      <c r="G2410" s="17" t="s">
        <v>32</v>
      </c>
    </row>
    <row r="2411" spans="1:7" ht="28.8" x14ac:dyDescent="0.3">
      <c r="A2411" t="s">
        <v>11985</v>
      </c>
      <c r="B2411" t="s">
        <v>12299</v>
      </c>
      <c r="C2411" s="20" t="s">
        <v>12300</v>
      </c>
      <c r="E2411" t="s">
        <v>12003</v>
      </c>
      <c r="G2411" s="17" t="s">
        <v>32</v>
      </c>
    </row>
    <row r="2412" spans="1:7" ht="43.2" x14ac:dyDescent="0.3">
      <c r="A2412" t="s">
        <v>11985</v>
      </c>
      <c r="B2412" t="s">
        <v>12301</v>
      </c>
      <c r="C2412" s="20" t="s">
        <v>12302</v>
      </c>
      <c r="E2412" t="s">
        <v>12003</v>
      </c>
      <c r="G2412" s="17" t="s">
        <v>32</v>
      </c>
    </row>
    <row r="2413" spans="1:7" ht="28.8" x14ac:dyDescent="0.3">
      <c r="A2413" t="s">
        <v>11985</v>
      </c>
      <c r="B2413" t="s">
        <v>12303</v>
      </c>
      <c r="C2413" s="20" t="s">
        <v>12304</v>
      </c>
      <c r="E2413" t="s">
        <v>11996</v>
      </c>
      <c r="G2413" s="17" t="s">
        <v>32</v>
      </c>
    </row>
    <row r="2414" spans="1:7" ht="72" x14ac:dyDescent="0.3">
      <c r="A2414" t="s">
        <v>11985</v>
      </c>
      <c r="B2414" t="s">
        <v>12305</v>
      </c>
      <c r="C2414" s="20" t="s">
        <v>12306</v>
      </c>
      <c r="E2414" t="s">
        <v>12076</v>
      </c>
      <c r="G2414" s="17" t="s">
        <v>32</v>
      </c>
    </row>
    <row r="2415" spans="1:7" ht="43.2" x14ac:dyDescent="0.3">
      <c r="A2415" t="s">
        <v>11985</v>
      </c>
      <c r="B2415" t="s">
        <v>12307</v>
      </c>
      <c r="C2415" s="20" t="s">
        <v>12308</v>
      </c>
      <c r="E2415" t="s">
        <v>12006</v>
      </c>
      <c r="G2415" s="17" t="s">
        <v>32</v>
      </c>
    </row>
    <row r="2416" spans="1:7" ht="43.2" x14ac:dyDescent="0.3">
      <c r="A2416" t="s">
        <v>11985</v>
      </c>
      <c r="B2416" t="s">
        <v>12309</v>
      </c>
      <c r="C2416" s="20" t="s">
        <v>12310</v>
      </c>
      <c r="E2416" t="s">
        <v>12006</v>
      </c>
      <c r="G2416" s="17" t="s">
        <v>32</v>
      </c>
    </row>
    <row r="2417" spans="1:7" x14ac:dyDescent="0.3">
      <c r="A2417" t="s">
        <v>11985</v>
      </c>
      <c r="B2417" t="s">
        <v>12311</v>
      </c>
      <c r="E2417" t="s">
        <v>12003</v>
      </c>
      <c r="G2417" s="17" t="s">
        <v>32</v>
      </c>
    </row>
    <row r="2418" spans="1:7" x14ac:dyDescent="0.3">
      <c r="A2418" t="s">
        <v>11985</v>
      </c>
      <c r="B2418" t="s">
        <v>12312</v>
      </c>
      <c r="E2418" t="s">
        <v>11996</v>
      </c>
      <c r="G2418" s="17" t="s">
        <v>32</v>
      </c>
    </row>
    <row r="2419" spans="1:7" ht="43.2" x14ac:dyDescent="0.3">
      <c r="A2419" t="s">
        <v>11985</v>
      </c>
      <c r="B2419" t="s">
        <v>12313</v>
      </c>
      <c r="C2419" s="20" t="s">
        <v>12314</v>
      </c>
      <c r="E2419" t="s">
        <v>11996</v>
      </c>
      <c r="G2419" s="17" t="s">
        <v>32</v>
      </c>
    </row>
    <row r="2420" spans="1:7" ht="57.6" x14ac:dyDescent="0.3">
      <c r="A2420" t="s">
        <v>11985</v>
      </c>
      <c r="B2420" t="s">
        <v>12315</v>
      </c>
      <c r="C2420" s="20" t="s">
        <v>12316</v>
      </c>
      <c r="E2420" t="s">
        <v>12003</v>
      </c>
      <c r="G2420" s="17" t="s">
        <v>32</v>
      </c>
    </row>
    <row r="2421" spans="1:7" ht="28.8" x14ac:dyDescent="0.3">
      <c r="A2421" t="s">
        <v>11985</v>
      </c>
      <c r="B2421" t="s">
        <v>12317</v>
      </c>
      <c r="C2421" s="20" t="s">
        <v>12318</v>
      </c>
      <c r="E2421" t="s">
        <v>12042</v>
      </c>
      <c r="G2421" s="17" t="s">
        <v>32</v>
      </c>
    </row>
    <row r="2422" spans="1:7" ht="28.8" x14ac:dyDescent="0.3">
      <c r="A2422" t="s">
        <v>11985</v>
      </c>
      <c r="B2422" t="s">
        <v>12319</v>
      </c>
      <c r="C2422" s="20" t="s">
        <v>12320</v>
      </c>
      <c r="E2422" t="s">
        <v>12042</v>
      </c>
      <c r="G2422" s="17" t="s">
        <v>32</v>
      </c>
    </row>
    <row r="2423" spans="1:7" ht="28.8" x14ac:dyDescent="0.3">
      <c r="A2423" t="s">
        <v>11985</v>
      </c>
      <c r="B2423" t="s">
        <v>12321</v>
      </c>
      <c r="C2423" s="20" t="s">
        <v>12322</v>
      </c>
      <c r="E2423" t="s">
        <v>12042</v>
      </c>
      <c r="G2423" s="17" t="s">
        <v>32</v>
      </c>
    </row>
    <row r="2424" spans="1:7" ht="86.4" x14ac:dyDescent="0.3">
      <c r="A2424" t="s">
        <v>11985</v>
      </c>
      <c r="B2424" t="s">
        <v>12323</v>
      </c>
      <c r="C2424" s="20" t="s">
        <v>12324</v>
      </c>
      <c r="E2424" t="s">
        <v>12042</v>
      </c>
      <c r="G2424" s="17" t="s">
        <v>32</v>
      </c>
    </row>
    <row r="2425" spans="1:7" ht="28.8" x14ac:dyDescent="0.3">
      <c r="A2425" t="s">
        <v>11985</v>
      </c>
      <c r="B2425" t="s">
        <v>12325</v>
      </c>
      <c r="C2425" s="20" t="s">
        <v>12326</v>
      </c>
      <c r="E2425" t="s">
        <v>11996</v>
      </c>
      <c r="G2425" s="17" t="s">
        <v>32</v>
      </c>
    </row>
    <row r="2426" spans="1:7" ht="28.8" x14ac:dyDescent="0.3">
      <c r="A2426" t="s">
        <v>11985</v>
      </c>
      <c r="B2426" t="s">
        <v>12327</v>
      </c>
      <c r="C2426" s="20" t="s">
        <v>12328</v>
      </c>
      <c r="E2426" t="s">
        <v>12329</v>
      </c>
      <c r="G2426" s="17" t="s">
        <v>32</v>
      </c>
    </row>
    <row r="2427" spans="1:7" x14ac:dyDescent="0.3">
      <c r="A2427" t="s">
        <v>11985</v>
      </c>
      <c r="B2427" t="s">
        <v>12330</v>
      </c>
      <c r="C2427" s="20" t="s">
        <v>12331</v>
      </c>
      <c r="E2427" t="s">
        <v>12332</v>
      </c>
      <c r="G2427" s="17" t="s">
        <v>32</v>
      </c>
    </row>
    <row r="2428" spans="1:7" x14ac:dyDescent="0.3">
      <c r="A2428" t="s">
        <v>11985</v>
      </c>
      <c r="B2428" t="s">
        <v>12333</v>
      </c>
      <c r="C2428" s="20" t="s">
        <v>12334</v>
      </c>
      <c r="E2428" t="s">
        <v>11996</v>
      </c>
      <c r="G2428" s="17" t="s">
        <v>32</v>
      </c>
    </row>
    <row r="2429" spans="1:7" x14ac:dyDescent="0.3">
      <c r="A2429" t="s">
        <v>11985</v>
      </c>
      <c r="B2429" t="s">
        <v>12335</v>
      </c>
      <c r="C2429" s="20" t="s">
        <v>12334</v>
      </c>
      <c r="E2429" t="s">
        <v>11996</v>
      </c>
      <c r="G2429" s="17" t="s">
        <v>32</v>
      </c>
    </row>
    <row r="2430" spans="1:7" ht="28.8" x14ac:dyDescent="0.3">
      <c r="A2430" t="s">
        <v>11985</v>
      </c>
      <c r="B2430" t="s">
        <v>12336</v>
      </c>
      <c r="C2430" s="20" t="s">
        <v>12223</v>
      </c>
      <c r="E2430" t="s">
        <v>12224</v>
      </c>
      <c r="G2430" s="17" t="s">
        <v>32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New</vt:lpstr>
      <vt:lpstr>Changed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Duane Brown</cp:lastModifiedBy>
  <dcterms:created xsi:type="dcterms:W3CDTF">2016-06-29T00:52:27Z</dcterms:created>
  <dcterms:modified xsi:type="dcterms:W3CDTF">2023-02-15T18:19:03Z</dcterms:modified>
</cp:coreProperties>
</file>